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3.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N:\4.0 Projects\2015 Projects\2015-026 San Diego Basin Study FY15\3.0 Data &amp; Analysis\Task 2.5\Scoring\Calculation Spreadsheet\"/>
    </mc:Choice>
  </mc:AlternateContent>
  <xr:revisionPtr revIDLastSave="0" documentId="13_ncr:1_{92A31510-80F0-40F8-A35B-78DB5AC2DE7A}" xr6:coauthVersionLast="36" xr6:coauthVersionMax="36" xr10:uidLastSave="{00000000-0000-0000-0000-000000000000}"/>
  <bookViews>
    <workbookView xWindow="0" yWindow="0" windowWidth="11820" windowHeight="4845" tabRatio="958" firstSheet="1" activeTab="1" xr2:uid="{00000000-000D-0000-FFFF-FFFF00000000}"/>
  </bookViews>
  <sheets>
    <sheet name="Data Validation Sheet" sheetId="23" state="hidden" r:id="rId1"/>
    <sheet name="About" sheetId="22" r:id="rId2"/>
    <sheet name="Instructions &amp; Legend" sheetId="21" r:id="rId3"/>
    <sheet name="Definitions" sheetId="24" r:id="rId4"/>
    <sheet name="User Inputs" sheetId="1" r:id="rId5"/>
    <sheet name="Trade-off Analysis Results" sheetId="17" r:id="rId6"/>
    <sheet name="EO Climate Change GHG" sheetId="2" r:id="rId7"/>
    <sheet name="EO Climate Resilience" sheetId="3" r:id="rId8"/>
    <sheet name="EO Cost Effectiveness" sheetId="4" r:id="rId9"/>
    <sheet name="EO Env Justice" sheetId="5" r:id="rId10"/>
    <sheet name="EO Optimize Local Supplies" sheetId="6" r:id="rId11"/>
    <sheet name="EO Project Complexity" sheetId="7" r:id="rId12"/>
    <sheet name="EO Protect Habitats" sheetId="8" r:id="rId13"/>
    <sheet name="EO Scalability" sheetId="9" r:id="rId14"/>
    <sheet name="EO Quality of Life" sheetId="11" r:id="rId15"/>
    <sheet name="EO Regional Econ Impact" sheetId="12" r:id="rId16"/>
    <sheet name="EO Regional Integration" sheetId="13" r:id="rId17"/>
    <sheet name="EO Reliability and Robustness" sheetId="10" r:id="rId18"/>
    <sheet name="EO Water Quality and Watersheds" sheetId="18" r:id="rId19"/>
    <sheet name="Project-Level Data" sheetId="25" state="hidden" r:id="rId20"/>
    <sheet name="Concept-Level Data" sheetId="26" state="hidden" r:id="rId21"/>
    <sheet name="Economic Expert Workshop Data" sheetId="27" state="hidden" r:id="rId22"/>
  </sheets>
  <externalReferences>
    <externalReference r:id="rId23"/>
    <externalReference r:id="rId24"/>
  </externalReferences>
  <definedNames>
    <definedName name="_xlnm._FilterDatabase" localSheetId="6" hidden="1">'EO Climate Change GHG'!$B$35:$E$159</definedName>
    <definedName name="_xlnm._FilterDatabase" localSheetId="8" hidden="1">'EO Cost Effectiveness'!$B$80:$G$201</definedName>
    <definedName name="_xlnm._FilterDatabase" localSheetId="9" hidden="1">'EO Env Justice'!$B$72:$O$192</definedName>
    <definedName name="_xlnm._FilterDatabase" localSheetId="10" hidden="1">'EO Optimize Local Supplies'!$B$35:$E$155</definedName>
    <definedName name="_xlnm._FilterDatabase" localSheetId="11" hidden="1">'EO Project Complexity'!$B$35:$E$155</definedName>
    <definedName name="_xlnm._FilterDatabase" localSheetId="12" hidden="1">'EO Protect Habitats'!$B$111:$M$231</definedName>
    <definedName name="_xlnm._FilterDatabase" localSheetId="14" hidden="1">'EO Quality of Life'!$B$125:$G$246</definedName>
    <definedName name="_xlnm._FilterDatabase" localSheetId="15" hidden="1">'EO Regional Econ Impact'!$B$51:$F$171</definedName>
    <definedName name="_xlnm._FilterDatabase" localSheetId="13" hidden="1">'EO Scalability'!$B$35:$E$155</definedName>
    <definedName name="_xlnm._FilterDatabase" localSheetId="18" hidden="1">'EO Water Quality and Watersheds'!$B$187:$L$307</definedName>
    <definedName name="_xlnm._FilterDatabase" localSheetId="4" hidden="1">'User Inputs'!$B$27:$F$40</definedName>
    <definedName name="_xlnm.Print_Area" localSheetId="15">'EO Regional Econ Impact'!$A$1:$AB$270</definedName>
    <definedName name="_xlnm.Print_Area" localSheetId="13">'EO Scalability'!$A$1:$Z$417</definedName>
    <definedName name="_xlnm.Print_Area" localSheetId="5">'Trade-off Analysis Results'!$A$2:$R$110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6" i="1" l="1"/>
  <c r="A3" i="17"/>
  <c r="E38" i="12"/>
  <c r="F39" i="8"/>
  <c r="F54" i="8"/>
  <c r="F69" i="8"/>
  <c r="M118" i="8"/>
  <c r="H37" i="8"/>
  <c r="H82" i="8"/>
  <c r="M119" i="8"/>
  <c r="M120" i="8"/>
  <c r="H38" i="8"/>
  <c r="H83" i="8"/>
  <c r="M121" i="8"/>
  <c r="M122" i="8"/>
  <c r="M123" i="8"/>
  <c r="M124" i="8"/>
  <c r="M112" i="8"/>
  <c r="M113" i="8"/>
  <c r="M114" i="8"/>
  <c r="M115" i="8"/>
  <c r="M116" i="8"/>
  <c r="M117"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H39" i="8"/>
  <c r="H84" i="8"/>
  <c r="H40" i="8"/>
  <c r="H85" i="8"/>
  <c r="H41" i="8"/>
  <c r="H86" i="8"/>
  <c r="H42" i="8"/>
  <c r="H87" i="8"/>
  <c r="H43" i="8"/>
  <c r="H88" i="8"/>
  <c r="H44" i="8"/>
  <c r="H89" i="8"/>
  <c r="H45" i="8"/>
  <c r="H90" i="8"/>
  <c r="H46" i="8"/>
  <c r="H91" i="8"/>
  <c r="H47" i="8"/>
  <c r="H92" i="8"/>
  <c r="H36" i="8"/>
  <c r="H81" i="8"/>
  <c r="H67" i="8"/>
  <c r="H68" i="8"/>
  <c r="H69" i="8"/>
  <c r="H70" i="8"/>
  <c r="H71" i="8"/>
  <c r="H72" i="8"/>
  <c r="H73" i="8"/>
  <c r="H74" i="8"/>
  <c r="H75" i="8"/>
  <c r="H76" i="8"/>
  <c r="H77" i="8"/>
  <c r="H66" i="8"/>
  <c r="H52" i="8"/>
  <c r="H53" i="8"/>
  <c r="H54" i="8"/>
  <c r="H55" i="8"/>
  <c r="H56" i="8"/>
  <c r="H57" i="8"/>
  <c r="H58" i="8"/>
  <c r="H59" i="8"/>
  <c r="H60" i="8"/>
  <c r="H61" i="8"/>
  <c r="H62" i="8"/>
  <c r="H51" i="8"/>
  <c r="G36" i="8"/>
  <c r="G51" i="8"/>
  <c r="BR131" i="25"/>
  <c r="E127" i="25"/>
  <c r="F127" i="25"/>
  <c r="G127" i="25"/>
  <c r="H127" i="25"/>
  <c r="I127" i="25"/>
  <c r="J127" i="25"/>
  <c r="K127" i="25"/>
  <c r="L127" i="25"/>
  <c r="M127" i="25"/>
  <c r="N127" i="25"/>
  <c r="O127" i="25"/>
  <c r="P127" i="25"/>
  <c r="Q127" i="25"/>
  <c r="E128" i="25"/>
  <c r="F128" i="25"/>
  <c r="G128" i="25"/>
  <c r="H128" i="25"/>
  <c r="I128" i="25"/>
  <c r="J128" i="25"/>
  <c r="K128" i="25"/>
  <c r="L128" i="25"/>
  <c r="M128" i="25"/>
  <c r="N128" i="25"/>
  <c r="O128" i="25"/>
  <c r="P128" i="25"/>
  <c r="Q128" i="25"/>
  <c r="E129" i="25"/>
  <c r="F129" i="25"/>
  <c r="G129" i="25"/>
  <c r="H129" i="25"/>
  <c r="I129" i="25"/>
  <c r="J129" i="25"/>
  <c r="K129" i="25"/>
  <c r="L129" i="25"/>
  <c r="M129" i="25"/>
  <c r="N129" i="25"/>
  <c r="O129" i="25"/>
  <c r="P129" i="25"/>
  <c r="Q129" i="25"/>
  <c r="E130" i="25"/>
  <c r="F130" i="25"/>
  <c r="G130" i="25"/>
  <c r="H130" i="25"/>
  <c r="I130" i="25"/>
  <c r="J130" i="25"/>
  <c r="K130" i="25"/>
  <c r="L130" i="25"/>
  <c r="M130" i="25"/>
  <c r="N130" i="25"/>
  <c r="O130" i="25"/>
  <c r="P130" i="25"/>
  <c r="Q130" i="25"/>
  <c r="W127" i="25"/>
  <c r="X127" i="25"/>
  <c r="Y127" i="25"/>
  <c r="Z127" i="25"/>
  <c r="AA127" i="25"/>
  <c r="AB127" i="25"/>
  <c r="AC127" i="25"/>
  <c r="AD127" i="25"/>
  <c r="AE127" i="25"/>
  <c r="AF127" i="25"/>
  <c r="AG127" i="25"/>
  <c r="AH127" i="25"/>
  <c r="AI127" i="25"/>
  <c r="AJ127" i="25"/>
  <c r="AK127" i="25"/>
  <c r="AL127" i="25"/>
  <c r="AM127" i="25"/>
  <c r="AN127" i="25"/>
  <c r="AO127" i="25"/>
  <c r="AP127" i="25"/>
  <c r="AQ127" i="25"/>
  <c r="AR127" i="25"/>
  <c r="AS127" i="25"/>
  <c r="AT127" i="25"/>
  <c r="AU127" i="25"/>
  <c r="AV127" i="25"/>
  <c r="AW127" i="25"/>
  <c r="AX127" i="25"/>
  <c r="AY127" i="25"/>
  <c r="AZ127" i="25"/>
  <c r="BA127" i="25"/>
  <c r="BB127" i="25"/>
  <c r="BC127" i="25"/>
  <c r="BD127" i="25"/>
  <c r="BE127" i="25"/>
  <c r="BF127" i="25"/>
  <c r="BG127" i="25"/>
  <c r="BH127" i="25"/>
  <c r="BI127" i="25"/>
  <c r="BJ127" i="25"/>
  <c r="BK127" i="25"/>
  <c r="BL127" i="25"/>
  <c r="BM127" i="25"/>
  <c r="BN127" i="25"/>
  <c r="BO127" i="25"/>
  <c r="BP127" i="25"/>
  <c r="BQ127" i="25"/>
  <c r="BR127" i="25"/>
  <c r="BS127" i="25"/>
  <c r="W128" i="25"/>
  <c r="X128" i="25"/>
  <c r="Y128" i="25"/>
  <c r="Z128" i="25"/>
  <c r="AA128" i="25"/>
  <c r="AB128" i="25"/>
  <c r="AC128" i="25"/>
  <c r="AD128" i="25"/>
  <c r="AE128" i="25"/>
  <c r="AF128" i="25"/>
  <c r="AG128" i="25"/>
  <c r="AH128" i="25"/>
  <c r="AI128" i="25"/>
  <c r="AJ128" i="25"/>
  <c r="AK128" i="25"/>
  <c r="AL128" i="25"/>
  <c r="AM128" i="25"/>
  <c r="AN128" i="25"/>
  <c r="AO128" i="25"/>
  <c r="AP128" i="25"/>
  <c r="AQ128" i="25"/>
  <c r="AR128" i="25"/>
  <c r="AS128" i="25"/>
  <c r="AT128" i="25"/>
  <c r="AU128" i="25"/>
  <c r="AV128" i="25"/>
  <c r="AW128" i="25"/>
  <c r="AX128" i="25"/>
  <c r="AY128" i="25"/>
  <c r="AZ128" i="25"/>
  <c r="BA128" i="25"/>
  <c r="BB128" i="25"/>
  <c r="BC128" i="25"/>
  <c r="BD128" i="25"/>
  <c r="BE128" i="25"/>
  <c r="BF128" i="25"/>
  <c r="BG128" i="25"/>
  <c r="BH128" i="25"/>
  <c r="BI128" i="25"/>
  <c r="BJ128" i="25"/>
  <c r="BK128" i="25"/>
  <c r="BL128" i="25"/>
  <c r="BM128" i="25"/>
  <c r="BN128" i="25"/>
  <c r="BO128" i="25"/>
  <c r="BP128" i="25"/>
  <c r="BQ128" i="25"/>
  <c r="BR128" i="25"/>
  <c r="BS128" i="25"/>
  <c r="W129" i="25"/>
  <c r="X129" i="25"/>
  <c r="Y129" i="25"/>
  <c r="Z129" i="25"/>
  <c r="AA129" i="25"/>
  <c r="AB129" i="25"/>
  <c r="AC129" i="25"/>
  <c r="AD129" i="25"/>
  <c r="AE129" i="25"/>
  <c r="AF129" i="25"/>
  <c r="AG129" i="25"/>
  <c r="AH129" i="25"/>
  <c r="AI129" i="25"/>
  <c r="AJ129" i="25"/>
  <c r="AK129" i="25"/>
  <c r="AL129" i="25"/>
  <c r="AM129" i="25"/>
  <c r="AN129" i="25"/>
  <c r="AO129" i="25"/>
  <c r="AP129" i="25"/>
  <c r="AQ129" i="25"/>
  <c r="AR129" i="25"/>
  <c r="AS129" i="25"/>
  <c r="AT129" i="25"/>
  <c r="AU129" i="25"/>
  <c r="AV129" i="25"/>
  <c r="AW129" i="25"/>
  <c r="AX129" i="25"/>
  <c r="AY129" i="25"/>
  <c r="AZ129" i="25"/>
  <c r="BA129" i="25"/>
  <c r="BB129" i="25"/>
  <c r="BC129" i="25"/>
  <c r="BD129" i="25"/>
  <c r="BE129" i="25"/>
  <c r="BF129" i="25"/>
  <c r="BG129" i="25"/>
  <c r="BH129" i="25"/>
  <c r="BI129" i="25"/>
  <c r="BJ129" i="25"/>
  <c r="BK129" i="25"/>
  <c r="BL129" i="25"/>
  <c r="BM129" i="25"/>
  <c r="BN129" i="25"/>
  <c r="BO129" i="25"/>
  <c r="BP129" i="25"/>
  <c r="BQ129" i="25"/>
  <c r="BR129" i="25"/>
  <c r="BS129" i="25"/>
  <c r="W130" i="25"/>
  <c r="X130" i="25"/>
  <c r="Y130" i="25"/>
  <c r="Z130" i="25"/>
  <c r="AA130" i="25"/>
  <c r="AB130" i="25"/>
  <c r="AC130" i="25"/>
  <c r="AD130" i="25"/>
  <c r="AE130" i="25"/>
  <c r="AF130" i="25"/>
  <c r="AG130" i="25"/>
  <c r="AH130" i="25"/>
  <c r="AI130" i="25"/>
  <c r="AJ130" i="25"/>
  <c r="AK130" i="25"/>
  <c r="AL130" i="25"/>
  <c r="AM130" i="25"/>
  <c r="AN130" i="25"/>
  <c r="AO130" i="25"/>
  <c r="AP130" i="25"/>
  <c r="AQ130" i="25"/>
  <c r="AR130" i="25"/>
  <c r="AS130" i="25"/>
  <c r="AT130" i="25"/>
  <c r="AU130" i="25"/>
  <c r="AV130" i="25"/>
  <c r="AW130" i="25"/>
  <c r="AX130" i="25"/>
  <c r="AY130" i="25"/>
  <c r="AZ130" i="25"/>
  <c r="BA130" i="25"/>
  <c r="BB130" i="25"/>
  <c r="BC130" i="25"/>
  <c r="BD130" i="25"/>
  <c r="BE130" i="25"/>
  <c r="BF130" i="25"/>
  <c r="BG130" i="25"/>
  <c r="BH130" i="25"/>
  <c r="BI130" i="25"/>
  <c r="BJ130" i="25"/>
  <c r="BK130" i="25"/>
  <c r="BL130" i="25"/>
  <c r="BM130" i="25"/>
  <c r="BN130" i="25"/>
  <c r="BO130" i="25"/>
  <c r="BP130" i="25"/>
  <c r="BQ130" i="25"/>
  <c r="BR130" i="25"/>
  <c r="BS130" i="25"/>
  <c r="S127" i="25"/>
  <c r="T127" i="25"/>
  <c r="U127" i="25"/>
  <c r="S128" i="25"/>
  <c r="T128" i="25"/>
  <c r="U128" i="25"/>
  <c r="S129" i="25"/>
  <c r="T129" i="25"/>
  <c r="U129" i="25"/>
  <c r="S130" i="25"/>
  <c r="T130" i="25"/>
  <c r="U130" i="25"/>
  <c r="V130" i="25"/>
  <c r="V129" i="25"/>
  <c r="V128" i="25"/>
  <c r="V127" i="25"/>
  <c r="D130" i="25"/>
  <c r="D129" i="25"/>
  <c r="D128" i="25"/>
  <c r="D127" i="25"/>
  <c r="C163" i="2"/>
  <c r="E163" i="2"/>
  <c r="C164" i="2"/>
  <c r="C165"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D8" i="2"/>
  <c r="C24" i="5"/>
  <c r="C27" i="5"/>
  <c r="C9" i="5"/>
  <c r="C10" i="5"/>
  <c r="C12" i="5"/>
  <c r="C15" i="5"/>
  <c r="V40" i="1"/>
  <c r="V39" i="1"/>
  <c r="V38" i="1"/>
  <c r="V37" i="1"/>
  <c r="V36" i="1"/>
  <c r="V35" i="1"/>
  <c r="V34" i="1"/>
  <c r="V33" i="1"/>
  <c r="V32" i="1"/>
  <c r="V31" i="1"/>
  <c r="V30" i="1"/>
  <c r="V29" i="1"/>
  <c r="V28" i="1"/>
  <c r="N40" i="1"/>
  <c r="N39" i="1"/>
  <c r="N38" i="1"/>
  <c r="N37" i="1"/>
  <c r="N36" i="1"/>
  <c r="N35" i="1"/>
  <c r="N34" i="1"/>
  <c r="N33" i="1"/>
  <c r="N32" i="1"/>
  <c r="N31" i="1"/>
  <c r="N30" i="1"/>
  <c r="N29" i="1"/>
  <c r="N28" i="1"/>
  <c r="D69" i="11"/>
  <c r="D68" i="11"/>
  <c r="D70" i="11"/>
  <c r="D71" i="11"/>
  <c r="D72" i="11"/>
  <c r="D73" i="11"/>
  <c r="D74" i="11"/>
  <c r="D75" i="11"/>
  <c r="D76" i="11"/>
  <c r="D77" i="11"/>
  <c r="D78" i="11"/>
  <c r="D79" i="11"/>
  <c r="E69" i="11"/>
  <c r="D84" i="11"/>
  <c r="E70" i="11"/>
  <c r="D85" i="11"/>
  <c r="E71" i="11"/>
  <c r="D86" i="11"/>
  <c r="E72" i="11"/>
  <c r="D87" i="11"/>
  <c r="E73" i="11"/>
  <c r="D88" i="11"/>
  <c r="E74" i="11"/>
  <c r="D89" i="11"/>
  <c r="E75" i="11"/>
  <c r="D90" i="11"/>
  <c r="E76" i="11"/>
  <c r="D91" i="11"/>
  <c r="E77" i="11"/>
  <c r="D92" i="11"/>
  <c r="E78" i="11"/>
  <c r="D93" i="11"/>
  <c r="E79" i="11"/>
  <c r="D94" i="11"/>
  <c r="E68" i="11"/>
  <c r="D83" i="11"/>
  <c r="D13" i="10"/>
  <c r="G24" i="3"/>
  <c r="D24" i="3"/>
  <c r="E24" i="3"/>
  <c r="C24" i="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F450" i="13"/>
  <c r="G450" i="13"/>
  <c r="F451" i="13"/>
  <c r="G451" i="13"/>
  <c r="F452" i="13"/>
  <c r="G452" i="13"/>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G433" i="10"/>
  <c r="G434" i="10"/>
  <c r="G435" i="10"/>
  <c r="G436" i="10"/>
  <c r="G437" i="10"/>
  <c r="G438" i="10"/>
  <c r="G439" i="10"/>
  <c r="G440" i="10"/>
  <c r="G441" i="10"/>
  <c r="G442" i="10"/>
  <c r="G443" i="10"/>
  <c r="G444" i="10"/>
  <c r="G445" i="10"/>
  <c r="G446" i="10"/>
  <c r="G447" i="10"/>
  <c r="G448" i="10"/>
  <c r="G449" i="10"/>
  <c r="G450" i="10"/>
  <c r="G451" i="10"/>
  <c r="G452" i="10"/>
  <c r="G453" i="10"/>
  <c r="G454" i="10"/>
  <c r="G455" i="10"/>
  <c r="G456" i="10"/>
  <c r="G457" i="10"/>
  <c r="G458" i="10"/>
  <c r="G459" i="10"/>
  <c r="G460" i="10"/>
  <c r="G461" i="10"/>
  <c r="G462" i="10"/>
  <c r="G463" i="10"/>
  <c r="G464" i="10"/>
  <c r="G465" i="10"/>
  <c r="G466" i="10"/>
  <c r="G467" i="10"/>
  <c r="G468" i="10"/>
  <c r="G469" i="10"/>
  <c r="G470" i="10"/>
  <c r="G471" i="10"/>
  <c r="G472" i="10"/>
  <c r="G473" i="10"/>
  <c r="G474" i="10"/>
  <c r="G475" i="10"/>
  <c r="G476" i="10"/>
  <c r="G477" i="10"/>
  <c r="G478" i="10"/>
  <c r="G479" i="10"/>
  <c r="G480" i="10"/>
  <c r="G481" i="10"/>
  <c r="G482" i="10"/>
  <c r="G483" i="10"/>
  <c r="G484" i="10"/>
  <c r="G485" i="10"/>
  <c r="G486" i="10"/>
  <c r="G487" i="10"/>
  <c r="G488" i="10"/>
  <c r="G489" i="10"/>
  <c r="G490" i="10"/>
  <c r="G491" i="10"/>
  <c r="G492" i="10"/>
  <c r="G493" i="10"/>
  <c r="G494" i="10"/>
  <c r="G495" i="10"/>
  <c r="G496"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F497" i="10"/>
  <c r="G497" i="10"/>
  <c r="H497" i="10"/>
  <c r="I497" i="10"/>
  <c r="F498" i="10"/>
  <c r="G498" i="10"/>
  <c r="H498" i="10"/>
  <c r="I498" i="10"/>
  <c r="F499" i="10"/>
  <c r="G499" i="10"/>
  <c r="H499" i="10"/>
  <c r="I499" i="10"/>
  <c r="E390" i="2"/>
  <c r="E389" i="2"/>
  <c r="E388" i="2"/>
  <c r="E387" i="2"/>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90" i="6"/>
  <c r="E389" i="6"/>
  <c r="E388" i="6"/>
  <c r="E387" i="6"/>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90" i="7"/>
  <c r="E389" i="7"/>
  <c r="E388" i="7"/>
  <c r="E387" i="7"/>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90" i="9"/>
  <c r="E389" i="9"/>
  <c r="E388" i="9"/>
  <c r="E387" i="9"/>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9" i="10"/>
  <c r="E498" i="10"/>
  <c r="E497" i="10"/>
  <c r="E496" i="10"/>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52" i="13"/>
  <c r="E451" i="13"/>
  <c r="E450" i="13"/>
  <c r="E449" i="13"/>
  <c r="F540" i="18"/>
  <c r="F541" i="18"/>
  <c r="F542" i="18"/>
  <c r="F543" i="18"/>
  <c r="E543" i="18"/>
  <c r="E542" i="18"/>
  <c r="E541" i="18"/>
  <c r="E540" i="18"/>
  <c r="B36" i="9"/>
  <c r="C36" i="9"/>
  <c r="E36" i="9"/>
  <c r="B37" i="9"/>
  <c r="C37" i="9"/>
  <c r="E37" i="9"/>
  <c r="D98" i="18"/>
  <c r="E98" i="18"/>
  <c r="F98" i="18"/>
  <c r="C98" i="18"/>
  <c r="D82" i="13"/>
  <c r="E82" i="13"/>
  <c r="C82" i="13"/>
  <c r="D112" i="11"/>
  <c r="E112" i="11"/>
  <c r="C112" i="11"/>
  <c r="D129" i="10"/>
  <c r="E129" i="10"/>
  <c r="F129" i="10"/>
  <c r="C129" i="10"/>
  <c r="E22" i="8"/>
  <c r="F22" i="8"/>
  <c r="D22" i="8"/>
  <c r="C22" i="8"/>
  <c r="F67" i="4"/>
  <c r="E67" i="4"/>
  <c r="D67" i="4"/>
  <c r="C67" i="4"/>
  <c r="E52" i="5"/>
  <c r="D52" i="5"/>
  <c r="C52" i="5"/>
  <c r="F176" i="5"/>
  <c r="F137" i="5"/>
  <c r="F138" i="5"/>
  <c r="F139" i="5"/>
  <c r="F140" i="5"/>
  <c r="F177" i="5"/>
  <c r="F93" i="5"/>
  <c r="F134" i="5"/>
  <c r="F178" i="5"/>
  <c r="F106" i="5"/>
  <c r="F107" i="5"/>
  <c r="F179" i="5"/>
  <c r="F141" i="5"/>
  <c r="F80" i="5"/>
  <c r="F73" i="5"/>
  <c r="F94" i="5"/>
  <c r="F95" i="5"/>
  <c r="F96" i="5"/>
  <c r="F97" i="5"/>
  <c r="F79" i="5"/>
  <c r="F108" i="5"/>
  <c r="F109" i="5"/>
  <c r="F180" i="5"/>
  <c r="F181" i="5"/>
  <c r="F142" i="5"/>
  <c r="F81" i="5"/>
  <c r="F82" i="5"/>
  <c r="F110" i="5"/>
  <c r="F111" i="5"/>
  <c r="F112" i="5"/>
  <c r="F113" i="5"/>
  <c r="F143" i="5"/>
  <c r="F144" i="5"/>
  <c r="F145" i="5"/>
  <c r="F114" i="5"/>
  <c r="F146" i="5"/>
  <c r="F147" i="5"/>
  <c r="F115" i="5"/>
  <c r="F148" i="5"/>
  <c r="F149" i="5"/>
  <c r="F150" i="5"/>
  <c r="F182" i="5"/>
  <c r="F116" i="5"/>
  <c r="F117" i="5"/>
  <c r="F83" i="5"/>
  <c r="F74" i="5"/>
  <c r="F84" i="5"/>
  <c r="F168" i="5"/>
  <c r="F183" i="5"/>
  <c r="F166" i="5"/>
  <c r="F184" i="5"/>
  <c r="F98" i="5"/>
  <c r="F185" i="5"/>
  <c r="F118" i="5"/>
  <c r="F119" i="5"/>
  <c r="F120" i="5"/>
  <c r="F121" i="5"/>
  <c r="F122" i="5"/>
  <c r="F123" i="5"/>
  <c r="F85" i="5"/>
  <c r="F86" i="5"/>
  <c r="F186" i="5"/>
  <c r="F187" i="5"/>
  <c r="F151" i="5"/>
  <c r="F75" i="5"/>
  <c r="F99" i="5"/>
  <c r="F152" i="5"/>
  <c r="F100" i="5"/>
  <c r="F101" i="5"/>
  <c r="F167" i="5"/>
  <c r="F124" i="5"/>
  <c r="F87" i="5"/>
  <c r="F125" i="5"/>
  <c r="F169" i="5"/>
  <c r="F170" i="5"/>
  <c r="F135" i="5"/>
  <c r="F171" i="5"/>
  <c r="F136" i="5"/>
  <c r="F126" i="5"/>
  <c r="F153" i="5"/>
  <c r="F154" i="5"/>
  <c r="F76" i="5"/>
  <c r="F88" i="5"/>
  <c r="F188" i="5"/>
  <c r="F172" i="5"/>
  <c r="F173" i="5"/>
  <c r="F89" i="5"/>
  <c r="F90" i="5"/>
  <c r="F155" i="5"/>
  <c r="F156" i="5"/>
  <c r="F157" i="5"/>
  <c r="F91" i="5"/>
  <c r="F77" i="5"/>
  <c r="F92" i="5"/>
  <c r="F127" i="5"/>
  <c r="F78" i="5"/>
  <c r="F102" i="5"/>
  <c r="F128" i="5"/>
  <c r="F158" i="5"/>
  <c r="F159" i="5"/>
  <c r="F103" i="5"/>
  <c r="F104" i="5"/>
  <c r="F105" i="5"/>
  <c r="F160" i="5"/>
  <c r="F161" i="5"/>
  <c r="F189" i="5"/>
  <c r="F162" i="5"/>
  <c r="F190" i="5"/>
  <c r="F163" i="5"/>
  <c r="F191" i="5"/>
  <c r="F129" i="5"/>
  <c r="F164" i="5"/>
  <c r="F192" i="5"/>
  <c r="F174" i="5"/>
  <c r="F130" i="5"/>
  <c r="F131" i="5"/>
  <c r="F132" i="5"/>
  <c r="F133" i="5"/>
  <c r="F165" i="5"/>
  <c r="F175" i="5"/>
  <c r="D176" i="5"/>
  <c r="D137" i="5"/>
  <c r="D138" i="5"/>
  <c r="D139" i="5"/>
  <c r="D140" i="5"/>
  <c r="D177" i="5"/>
  <c r="D93" i="5"/>
  <c r="D134" i="5"/>
  <c r="D178" i="5"/>
  <c r="D106" i="5"/>
  <c r="D107" i="5"/>
  <c r="D179" i="5"/>
  <c r="D141" i="5"/>
  <c r="D80" i="5"/>
  <c r="D73" i="5"/>
  <c r="D94" i="5"/>
  <c r="D95" i="5"/>
  <c r="D96" i="5"/>
  <c r="D97" i="5"/>
  <c r="D79" i="5"/>
  <c r="D108" i="5"/>
  <c r="D109" i="5"/>
  <c r="D180" i="5"/>
  <c r="D181" i="5"/>
  <c r="D142" i="5"/>
  <c r="D81" i="5"/>
  <c r="D82" i="5"/>
  <c r="D110" i="5"/>
  <c r="D111" i="5"/>
  <c r="D112" i="5"/>
  <c r="D113" i="5"/>
  <c r="D143" i="5"/>
  <c r="D144" i="5"/>
  <c r="D145" i="5"/>
  <c r="D114" i="5"/>
  <c r="D146" i="5"/>
  <c r="D147" i="5"/>
  <c r="D115" i="5"/>
  <c r="D148" i="5"/>
  <c r="D149" i="5"/>
  <c r="D150" i="5"/>
  <c r="D182" i="5"/>
  <c r="D116" i="5"/>
  <c r="D117" i="5"/>
  <c r="D83" i="5"/>
  <c r="D74" i="5"/>
  <c r="D84" i="5"/>
  <c r="D168" i="5"/>
  <c r="D183" i="5"/>
  <c r="D166" i="5"/>
  <c r="D184" i="5"/>
  <c r="D98" i="5"/>
  <c r="D185" i="5"/>
  <c r="D118" i="5"/>
  <c r="D119" i="5"/>
  <c r="D120" i="5"/>
  <c r="D121" i="5"/>
  <c r="D122" i="5"/>
  <c r="D123" i="5"/>
  <c r="D85" i="5"/>
  <c r="D86" i="5"/>
  <c r="D186" i="5"/>
  <c r="D187" i="5"/>
  <c r="D151" i="5"/>
  <c r="D75" i="5"/>
  <c r="D99" i="5"/>
  <c r="D152" i="5"/>
  <c r="D100" i="5"/>
  <c r="D101" i="5"/>
  <c r="D167" i="5"/>
  <c r="D124" i="5"/>
  <c r="D87" i="5"/>
  <c r="D125" i="5"/>
  <c r="D169" i="5"/>
  <c r="D170" i="5"/>
  <c r="D135" i="5"/>
  <c r="D171" i="5"/>
  <c r="D136" i="5"/>
  <c r="D126" i="5"/>
  <c r="D153" i="5"/>
  <c r="D154" i="5"/>
  <c r="D76" i="5"/>
  <c r="D88" i="5"/>
  <c r="D188" i="5"/>
  <c r="D172" i="5"/>
  <c r="D173" i="5"/>
  <c r="D89" i="5"/>
  <c r="D90" i="5"/>
  <c r="D155" i="5"/>
  <c r="D156" i="5"/>
  <c r="D157" i="5"/>
  <c r="D91" i="5"/>
  <c r="D77" i="5"/>
  <c r="D92" i="5"/>
  <c r="D127" i="5"/>
  <c r="D78" i="5"/>
  <c r="D102" i="5"/>
  <c r="D128" i="5"/>
  <c r="D158" i="5"/>
  <c r="D159" i="5"/>
  <c r="D103" i="5"/>
  <c r="D104" i="5"/>
  <c r="D105" i="5"/>
  <c r="D160" i="5"/>
  <c r="D161" i="5"/>
  <c r="D189" i="5"/>
  <c r="D162" i="5"/>
  <c r="D190" i="5"/>
  <c r="D163" i="5"/>
  <c r="D191" i="5"/>
  <c r="D129" i="5"/>
  <c r="D164" i="5"/>
  <c r="D192" i="5"/>
  <c r="D174" i="5"/>
  <c r="D130" i="5"/>
  <c r="D131" i="5"/>
  <c r="D132" i="5"/>
  <c r="D133" i="5"/>
  <c r="D165" i="5"/>
  <c r="D175" i="5"/>
  <c r="D68" i="5"/>
  <c r="D70" i="5"/>
  <c r="D69" i="5"/>
  <c r="D71" i="5"/>
  <c r="D67" i="5"/>
  <c r="F71" i="5"/>
  <c r="F67" i="5"/>
  <c r="F70" i="5"/>
  <c r="F69" i="5"/>
  <c r="F68" i="5"/>
  <c r="D196" i="5"/>
  <c r="D195" i="5"/>
  <c r="D194" i="5"/>
  <c r="D193" i="5"/>
  <c r="F195" i="5"/>
  <c r="F194" i="5"/>
  <c r="F193" i="5"/>
  <c r="F196" i="5"/>
  <c r="M176" i="5"/>
  <c r="N176" i="5"/>
  <c r="M137" i="5"/>
  <c r="N137" i="5"/>
  <c r="M138" i="5"/>
  <c r="N138" i="5"/>
  <c r="M139" i="5"/>
  <c r="N139" i="5"/>
  <c r="M140" i="5"/>
  <c r="N140" i="5"/>
  <c r="M177" i="5"/>
  <c r="N177" i="5"/>
  <c r="M93" i="5"/>
  <c r="N93" i="5"/>
  <c r="M134" i="5"/>
  <c r="N134" i="5"/>
  <c r="M178" i="5"/>
  <c r="N178" i="5"/>
  <c r="M106" i="5"/>
  <c r="N106" i="5"/>
  <c r="M107" i="5"/>
  <c r="N107" i="5"/>
  <c r="M179" i="5"/>
  <c r="N179" i="5"/>
  <c r="M141" i="5"/>
  <c r="N141" i="5"/>
  <c r="M80" i="5"/>
  <c r="N80" i="5"/>
  <c r="M73" i="5"/>
  <c r="N73" i="5"/>
  <c r="M94" i="5"/>
  <c r="N94" i="5"/>
  <c r="M95" i="5"/>
  <c r="N95" i="5"/>
  <c r="M96" i="5"/>
  <c r="N96" i="5"/>
  <c r="M97" i="5"/>
  <c r="N97" i="5"/>
  <c r="M79" i="5"/>
  <c r="N79" i="5"/>
  <c r="M108" i="5"/>
  <c r="N108" i="5"/>
  <c r="M109" i="5"/>
  <c r="N109" i="5"/>
  <c r="M180" i="5"/>
  <c r="N180" i="5"/>
  <c r="M181" i="5"/>
  <c r="N181" i="5"/>
  <c r="M142" i="5"/>
  <c r="N142" i="5"/>
  <c r="M81" i="5"/>
  <c r="N81" i="5"/>
  <c r="M82" i="5"/>
  <c r="N82" i="5"/>
  <c r="M110" i="5"/>
  <c r="N110" i="5"/>
  <c r="M111" i="5"/>
  <c r="N111" i="5"/>
  <c r="M112" i="5"/>
  <c r="N112" i="5"/>
  <c r="M113" i="5"/>
  <c r="N113" i="5"/>
  <c r="M143" i="5"/>
  <c r="N143" i="5"/>
  <c r="M144" i="5"/>
  <c r="N144" i="5"/>
  <c r="M145" i="5"/>
  <c r="N145" i="5"/>
  <c r="M114" i="5"/>
  <c r="N114" i="5"/>
  <c r="M146" i="5"/>
  <c r="N146" i="5"/>
  <c r="M147" i="5"/>
  <c r="N147" i="5"/>
  <c r="M115" i="5"/>
  <c r="N115" i="5"/>
  <c r="M148" i="5"/>
  <c r="N148" i="5"/>
  <c r="M149" i="5"/>
  <c r="N149" i="5"/>
  <c r="M150" i="5"/>
  <c r="N150" i="5"/>
  <c r="M182" i="5"/>
  <c r="N182" i="5"/>
  <c r="M116" i="5"/>
  <c r="N116" i="5"/>
  <c r="M117" i="5"/>
  <c r="N117" i="5"/>
  <c r="M83" i="5"/>
  <c r="N83" i="5"/>
  <c r="M74" i="5"/>
  <c r="N74" i="5"/>
  <c r="M84" i="5"/>
  <c r="N84" i="5"/>
  <c r="M168" i="5"/>
  <c r="N168" i="5"/>
  <c r="M183" i="5"/>
  <c r="N183" i="5"/>
  <c r="M166" i="5"/>
  <c r="N166" i="5"/>
  <c r="M184" i="5"/>
  <c r="N184" i="5"/>
  <c r="M98" i="5"/>
  <c r="N98" i="5"/>
  <c r="M185" i="5"/>
  <c r="N185" i="5"/>
  <c r="M118" i="5"/>
  <c r="N118" i="5"/>
  <c r="M119" i="5"/>
  <c r="N119" i="5"/>
  <c r="M120" i="5"/>
  <c r="N120" i="5"/>
  <c r="M121" i="5"/>
  <c r="N121" i="5"/>
  <c r="M122" i="5"/>
  <c r="N122" i="5"/>
  <c r="M123" i="5"/>
  <c r="N123" i="5"/>
  <c r="M85" i="5"/>
  <c r="N85" i="5"/>
  <c r="M86" i="5"/>
  <c r="N86" i="5"/>
  <c r="M186" i="5"/>
  <c r="N186" i="5"/>
  <c r="M187" i="5"/>
  <c r="N187" i="5"/>
  <c r="M151" i="5"/>
  <c r="N151" i="5"/>
  <c r="M75" i="5"/>
  <c r="N75" i="5"/>
  <c r="M99" i="5"/>
  <c r="N99" i="5"/>
  <c r="M152" i="5"/>
  <c r="N152" i="5"/>
  <c r="M100" i="5"/>
  <c r="N100" i="5"/>
  <c r="M101" i="5"/>
  <c r="N101" i="5"/>
  <c r="M167" i="5"/>
  <c r="N167" i="5"/>
  <c r="M124" i="5"/>
  <c r="N124" i="5"/>
  <c r="M87" i="5"/>
  <c r="N87" i="5"/>
  <c r="M125" i="5"/>
  <c r="N125" i="5"/>
  <c r="M169" i="5"/>
  <c r="N169" i="5"/>
  <c r="M170" i="5"/>
  <c r="N170" i="5"/>
  <c r="M135" i="5"/>
  <c r="N135" i="5"/>
  <c r="M171" i="5"/>
  <c r="N171" i="5"/>
  <c r="M136" i="5"/>
  <c r="N136" i="5"/>
  <c r="M126" i="5"/>
  <c r="N126" i="5"/>
  <c r="M153" i="5"/>
  <c r="N153" i="5"/>
  <c r="M154" i="5"/>
  <c r="N154" i="5"/>
  <c r="M76" i="5"/>
  <c r="N76" i="5"/>
  <c r="M88" i="5"/>
  <c r="N88" i="5"/>
  <c r="M188" i="5"/>
  <c r="N188" i="5"/>
  <c r="M172" i="5"/>
  <c r="N172" i="5"/>
  <c r="M173" i="5"/>
  <c r="N173" i="5"/>
  <c r="M89" i="5"/>
  <c r="N89" i="5"/>
  <c r="M90" i="5"/>
  <c r="N90" i="5"/>
  <c r="M155" i="5"/>
  <c r="N155" i="5"/>
  <c r="M156" i="5"/>
  <c r="N156" i="5"/>
  <c r="M157" i="5"/>
  <c r="N157" i="5"/>
  <c r="M91" i="5"/>
  <c r="N91" i="5"/>
  <c r="M77" i="5"/>
  <c r="N77" i="5"/>
  <c r="M92" i="5"/>
  <c r="N92" i="5"/>
  <c r="M127" i="5"/>
  <c r="N127" i="5"/>
  <c r="M78" i="5"/>
  <c r="N78" i="5"/>
  <c r="M102" i="5"/>
  <c r="N102" i="5"/>
  <c r="M128" i="5"/>
  <c r="N128" i="5"/>
  <c r="M158" i="5"/>
  <c r="N158" i="5"/>
  <c r="M159" i="5"/>
  <c r="N159" i="5"/>
  <c r="M103" i="5"/>
  <c r="N103" i="5"/>
  <c r="M104" i="5"/>
  <c r="N104" i="5"/>
  <c r="M105" i="5"/>
  <c r="N105" i="5"/>
  <c r="M160" i="5"/>
  <c r="N160" i="5"/>
  <c r="M161" i="5"/>
  <c r="N161" i="5"/>
  <c r="M189" i="5"/>
  <c r="N189" i="5"/>
  <c r="M162" i="5"/>
  <c r="N162" i="5"/>
  <c r="M190" i="5"/>
  <c r="N190" i="5"/>
  <c r="M163" i="5"/>
  <c r="N163" i="5"/>
  <c r="M191" i="5"/>
  <c r="N191" i="5"/>
  <c r="M129" i="5"/>
  <c r="N129" i="5"/>
  <c r="M164" i="5"/>
  <c r="N164" i="5"/>
  <c r="M192" i="5"/>
  <c r="N192" i="5"/>
  <c r="M174" i="5"/>
  <c r="N174" i="5"/>
  <c r="M130" i="5"/>
  <c r="N130" i="5"/>
  <c r="M131" i="5"/>
  <c r="N131" i="5"/>
  <c r="M132" i="5"/>
  <c r="N132" i="5"/>
  <c r="M133" i="5"/>
  <c r="N133" i="5"/>
  <c r="M165" i="5"/>
  <c r="N165" i="5"/>
  <c r="N175" i="5"/>
  <c r="M175" i="5"/>
  <c r="I176" i="5"/>
  <c r="I137" i="5"/>
  <c r="I138" i="5"/>
  <c r="I139" i="5"/>
  <c r="I140" i="5"/>
  <c r="I177" i="5"/>
  <c r="I93" i="5"/>
  <c r="I134" i="5"/>
  <c r="I178" i="5"/>
  <c r="I106" i="5"/>
  <c r="I107" i="5"/>
  <c r="I179" i="5"/>
  <c r="I141" i="5"/>
  <c r="I80" i="5"/>
  <c r="I73" i="5"/>
  <c r="I94" i="5"/>
  <c r="I95" i="5"/>
  <c r="I96" i="5"/>
  <c r="I97" i="5"/>
  <c r="I79" i="5"/>
  <c r="I108" i="5"/>
  <c r="I109" i="5"/>
  <c r="I180" i="5"/>
  <c r="I181" i="5"/>
  <c r="I142" i="5"/>
  <c r="I81" i="5"/>
  <c r="I82" i="5"/>
  <c r="I110" i="5"/>
  <c r="I111" i="5"/>
  <c r="I112" i="5"/>
  <c r="I113" i="5"/>
  <c r="I143" i="5"/>
  <c r="I144" i="5"/>
  <c r="I145" i="5"/>
  <c r="I114" i="5"/>
  <c r="I146" i="5"/>
  <c r="I147" i="5"/>
  <c r="I115" i="5"/>
  <c r="I148" i="5"/>
  <c r="I149" i="5"/>
  <c r="I150" i="5"/>
  <c r="I182" i="5"/>
  <c r="I116" i="5"/>
  <c r="I117" i="5"/>
  <c r="I83" i="5"/>
  <c r="I74" i="5"/>
  <c r="I84" i="5"/>
  <c r="I168" i="5"/>
  <c r="I183" i="5"/>
  <c r="I166" i="5"/>
  <c r="I184" i="5"/>
  <c r="I98" i="5"/>
  <c r="I185" i="5"/>
  <c r="I118" i="5"/>
  <c r="I119" i="5"/>
  <c r="I120" i="5"/>
  <c r="I121" i="5"/>
  <c r="I122" i="5"/>
  <c r="I123" i="5"/>
  <c r="I85" i="5"/>
  <c r="I86" i="5"/>
  <c r="I186" i="5"/>
  <c r="I187" i="5"/>
  <c r="I151" i="5"/>
  <c r="I75" i="5"/>
  <c r="I99" i="5"/>
  <c r="I152" i="5"/>
  <c r="I100" i="5"/>
  <c r="I101" i="5"/>
  <c r="I167" i="5"/>
  <c r="I124" i="5"/>
  <c r="I87" i="5"/>
  <c r="I125" i="5"/>
  <c r="I169" i="5"/>
  <c r="I170" i="5"/>
  <c r="I135" i="5"/>
  <c r="I171" i="5"/>
  <c r="I136" i="5"/>
  <c r="I126" i="5"/>
  <c r="I153" i="5"/>
  <c r="I154" i="5"/>
  <c r="I76" i="5"/>
  <c r="I88" i="5"/>
  <c r="I188" i="5"/>
  <c r="I172" i="5"/>
  <c r="I173" i="5"/>
  <c r="I89" i="5"/>
  <c r="I90" i="5"/>
  <c r="I155" i="5"/>
  <c r="I156" i="5"/>
  <c r="I157" i="5"/>
  <c r="I91" i="5"/>
  <c r="I77" i="5"/>
  <c r="I92" i="5"/>
  <c r="I127" i="5"/>
  <c r="I78" i="5"/>
  <c r="I102" i="5"/>
  <c r="I128" i="5"/>
  <c r="I158" i="5"/>
  <c r="I159" i="5"/>
  <c r="I103" i="5"/>
  <c r="I104" i="5"/>
  <c r="I105" i="5"/>
  <c r="I160" i="5"/>
  <c r="I161" i="5"/>
  <c r="I189" i="5"/>
  <c r="I162" i="5"/>
  <c r="I190" i="5"/>
  <c r="I163" i="5"/>
  <c r="I191" i="5"/>
  <c r="I129" i="5"/>
  <c r="I164" i="5"/>
  <c r="I192" i="5"/>
  <c r="I174" i="5"/>
  <c r="I130" i="5"/>
  <c r="I131" i="5"/>
  <c r="I132" i="5"/>
  <c r="I133" i="5"/>
  <c r="I165" i="5"/>
  <c r="I175" i="5"/>
  <c r="M195" i="5"/>
  <c r="M194" i="5"/>
  <c r="M193" i="5"/>
  <c r="M196" i="5"/>
  <c r="I196" i="5"/>
  <c r="I195" i="5"/>
  <c r="I194" i="5"/>
  <c r="I193" i="5"/>
  <c r="O133" i="5"/>
  <c r="O113" i="5"/>
  <c r="O84" i="5"/>
  <c r="O131" i="5"/>
  <c r="O174" i="5"/>
  <c r="O164" i="5"/>
  <c r="O191" i="5"/>
  <c r="O190" i="5"/>
  <c r="O189" i="5"/>
  <c r="O160" i="5"/>
  <c r="O104" i="5"/>
  <c r="O159" i="5"/>
  <c r="O128" i="5"/>
  <c r="O78" i="5"/>
  <c r="O92" i="5"/>
  <c r="O91" i="5"/>
  <c r="O156" i="5"/>
  <c r="O90" i="5"/>
  <c r="O173" i="5"/>
  <c r="O188" i="5"/>
  <c r="O76" i="5"/>
  <c r="O153" i="5"/>
  <c r="O136" i="5"/>
  <c r="O135" i="5"/>
  <c r="O169" i="5"/>
  <c r="O87" i="5"/>
  <c r="O167" i="5"/>
  <c r="O100" i="5"/>
  <c r="O99" i="5"/>
  <c r="O151" i="5"/>
  <c r="O186" i="5"/>
  <c r="O85" i="5"/>
  <c r="O122" i="5"/>
  <c r="O120" i="5"/>
  <c r="O118" i="5"/>
  <c r="O98" i="5"/>
  <c r="O166" i="5"/>
  <c r="O168" i="5"/>
  <c r="O74" i="5"/>
  <c r="O117" i="5"/>
  <c r="O182" i="5"/>
  <c r="O149" i="5"/>
  <c r="O115" i="5"/>
  <c r="O146" i="5"/>
  <c r="O145" i="5"/>
  <c r="O143" i="5"/>
  <c r="O112" i="5"/>
  <c r="O110" i="5"/>
  <c r="O81" i="5"/>
  <c r="O181" i="5"/>
  <c r="O109" i="5"/>
  <c r="O79" i="5"/>
  <c r="O96" i="5"/>
  <c r="O94" i="5"/>
  <c r="O80" i="5"/>
  <c r="O179" i="5"/>
  <c r="O106" i="5"/>
  <c r="O134" i="5"/>
  <c r="O177" i="5"/>
  <c r="O139" i="5"/>
  <c r="O137" i="5"/>
  <c r="O165" i="5"/>
  <c r="O130" i="5"/>
  <c r="O129" i="5"/>
  <c r="O162" i="5"/>
  <c r="O105" i="5"/>
  <c r="O158" i="5"/>
  <c r="O127" i="5"/>
  <c r="O157" i="5"/>
  <c r="O89" i="5"/>
  <c r="O88" i="5"/>
  <c r="O126" i="5"/>
  <c r="O170" i="5"/>
  <c r="O124" i="5"/>
  <c r="O152" i="5"/>
  <c r="O187" i="5"/>
  <c r="O123" i="5"/>
  <c r="O119" i="5"/>
  <c r="O184" i="5"/>
  <c r="O116" i="5"/>
  <c r="O148" i="5"/>
  <c r="O114" i="5"/>
  <c r="O82" i="5"/>
  <c r="O180" i="5"/>
  <c r="O97" i="5"/>
  <c r="O73" i="5"/>
  <c r="O107" i="5"/>
  <c r="O93" i="5"/>
  <c r="O138" i="5"/>
  <c r="O132" i="5"/>
  <c r="O192" i="5"/>
  <c r="O163" i="5"/>
  <c r="O161" i="5"/>
  <c r="O103" i="5"/>
  <c r="O102" i="5"/>
  <c r="O77" i="5"/>
  <c r="O155" i="5"/>
  <c r="O172" i="5"/>
  <c r="O154" i="5"/>
  <c r="O171" i="5"/>
  <c r="O125" i="5"/>
  <c r="O101" i="5"/>
  <c r="O75" i="5"/>
  <c r="O86" i="5"/>
  <c r="O121" i="5"/>
  <c r="O185" i="5"/>
  <c r="O183" i="5"/>
  <c r="O83" i="5"/>
  <c r="O150" i="5"/>
  <c r="O147" i="5"/>
  <c r="O144" i="5"/>
  <c r="O111" i="5"/>
  <c r="O142" i="5"/>
  <c r="O108" i="5"/>
  <c r="O95" i="5"/>
  <c r="O141" i="5"/>
  <c r="O178" i="5"/>
  <c r="O140" i="5"/>
  <c r="O176" i="5"/>
  <c r="O175" i="5"/>
  <c r="M24" i="18"/>
  <c r="M25" i="18"/>
  <c r="M26" i="18"/>
  <c r="M27" i="18"/>
  <c r="M28" i="18"/>
  <c r="M29" i="18"/>
  <c r="M30" i="18"/>
  <c r="M31" i="18"/>
  <c r="M32" i="18"/>
  <c r="M33" i="18"/>
  <c r="M34" i="18"/>
  <c r="M23" i="18"/>
  <c r="M9" i="18"/>
  <c r="M10" i="18"/>
  <c r="M11" i="18"/>
  <c r="M12" i="18"/>
  <c r="M13" i="18"/>
  <c r="M14" i="18"/>
  <c r="M15" i="18"/>
  <c r="M16" i="18"/>
  <c r="M17" i="18"/>
  <c r="M18" i="18"/>
  <c r="M19" i="18"/>
  <c r="M8" i="18"/>
  <c r="K22" i="18"/>
  <c r="K7" i="18"/>
  <c r="K8" i="18"/>
  <c r="K9" i="18"/>
  <c r="K28" i="18"/>
  <c r="K29" i="18"/>
  <c r="K16" i="18"/>
  <c r="K17" i="18"/>
  <c r="K23" i="18"/>
  <c r="K10" i="18"/>
  <c r="K11" i="18"/>
  <c r="K32" i="18"/>
  <c r="K33" i="18"/>
  <c r="K24" i="18"/>
  <c r="K25" i="18"/>
  <c r="K12" i="18"/>
  <c r="K13" i="18"/>
  <c r="K34" i="18"/>
  <c r="K27" i="18"/>
  <c r="K14" i="18"/>
  <c r="K26" i="18"/>
  <c r="K15" i="18"/>
  <c r="K30" i="18"/>
  <c r="K19" i="18"/>
  <c r="K18" i="18"/>
  <c r="K31" i="18"/>
  <c r="J7" i="18"/>
  <c r="J22" i="18"/>
  <c r="J25" i="18"/>
  <c r="O25" i="18"/>
  <c r="J23" i="18"/>
  <c r="O23" i="18"/>
  <c r="J24" i="18"/>
  <c r="O24" i="18"/>
  <c r="J26" i="18"/>
  <c r="O26" i="18"/>
  <c r="J27" i="18"/>
  <c r="O27" i="18"/>
  <c r="J32" i="18"/>
  <c r="O32" i="18"/>
  <c r="J34" i="18"/>
  <c r="O34" i="18"/>
  <c r="J33" i="18"/>
  <c r="O33" i="18"/>
  <c r="J30" i="18"/>
  <c r="O30" i="18"/>
  <c r="J31" i="18"/>
  <c r="O31" i="18"/>
  <c r="J28" i="18"/>
  <c r="O28" i="18"/>
  <c r="J29" i="18"/>
  <c r="O29" i="18"/>
  <c r="K43" i="18"/>
  <c r="K46" i="18"/>
  <c r="K42" i="18"/>
  <c r="K40" i="18"/>
  <c r="K48" i="18"/>
  <c r="K49" i="18"/>
  <c r="K47" i="18"/>
  <c r="K39" i="18"/>
  <c r="L39" i="18"/>
  <c r="J85" i="18"/>
  <c r="K44" i="18"/>
  <c r="K41" i="18"/>
  <c r="K45" i="18"/>
  <c r="K38" i="18"/>
  <c r="E155" i="12"/>
  <c r="E116" i="12"/>
  <c r="E117" i="12"/>
  <c r="E118" i="12"/>
  <c r="E119" i="12"/>
  <c r="E156" i="12"/>
  <c r="E72" i="12"/>
  <c r="E113" i="12"/>
  <c r="E157" i="12"/>
  <c r="E85" i="12"/>
  <c r="E86" i="12"/>
  <c r="E158" i="12"/>
  <c r="E120" i="12"/>
  <c r="E59" i="12"/>
  <c r="E52" i="12"/>
  <c r="E73" i="12"/>
  <c r="E74" i="12"/>
  <c r="E75" i="12"/>
  <c r="E76" i="12"/>
  <c r="E58" i="12"/>
  <c r="E87" i="12"/>
  <c r="E88" i="12"/>
  <c r="E159" i="12"/>
  <c r="E160" i="12"/>
  <c r="E121" i="12"/>
  <c r="E60" i="12"/>
  <c r="E61" i="12"/>
  <c r="E89" i="12"/>
  <c r="E90" i="12"/>
  <c r="E91" i="12"/>
  <c r="E92" i="12"/>
  <c r="E122" i="12"/>
  <c r="E123" i="12"/>
  <c r="E124" i="12"/>
  <c r="E93" i="12"/>
  <c r="E125" i="12"/>
  <c r="E126" i="12"/>
  <c r="E94" i="12"/>
  <c r="E127" i="12"/>
  <c r="E128" i="12"/>
  <c r="E129" i="12"/>
  <c r="E161" i="12"/>
  <c r="E95" i="12"/>
  <c r="E96" i="12"/>
  <c r="E62" i="12"/>
  <c r="E53" i="12"/>
  <c r="E63" i="12"/>
  <c r="E147" i="12"/>
  <c r="E162" i="12"/>
  <c r="E145" i="12"/>
  <c r="E163" i="12"/>
  <c r="E77" i="12"/>
  <c r="E164" i="12"/>
  <c r="E97" i="12"/>
  <c r="E98" i="12"/>
  <c r="E99" i="12"/>
  <c r="E100" i="12"/>
  <c r="E101" i="12"/>
  <c r="E102" i="12"/>
  <c r="E64" i="12"/>
  <c r="E65" i="12"/>
  <c r="E165" i="12"/>
  <c r="E166" i="12"/>
  <c r="E130" i="12"/>
  <c r="E54" i="12"/>
  <c r="E78" i="12"/>
  <c r="E131" i="12"/>
  <c r="E79" i="12"/>
  <c r="E80" i="12"/>
  <c r="E146" i="12"/>
  <c r="E103" i="12"/>
  <c r="E66" i="12"/>
  <c r="E104" i="12"/>
  <c r="E148" i="12"/>
  <c r="E149" i="12"/>
  <c r="E114" i="12"/>
  <c r="E150" i="12"/>
  <c r="E115" i="12"/>
  <c r="E105" i="12"/>
  <c r="E132" i="12"/>
  <c r="E133" i="12"/>
  <c r="E55" i="12"/>
  <c r="E67" i="12"/>
  <c r="E167" i="12"/>
  <c r="E151" i="12"/>
  <c r="E152" i="12"/>
  <c r="E68" i="12"/>
  <c r="E69" i="12"/>
  <c r="E134" i="12"/>
  <c r="E135" i="12"/>
  <c r="E136" i="12"/>
  <c r="E70" i="12"/>
  <c r="E56" i="12"/>
  <c r="E71" i="12"/>
  <c r="E106" i="12"/>
  <c r="E57" i="12"/>
  <c r="E81" i="12"/>
  <c r="E107" i="12"/>
  <c r="E137" i="12"/>
  <c r="E138" i="12"/>
  <c r="E82" i="12"/>
  <c r="E83" i="12"/>
  <c r="E84" i="12"/>
  <c r="E139" i="12"/>
  <c r="E140" i="12"/>
  <c r="E168" i="12"/>
  <c r="E141" i="12"/>
  <c r="E169" i="12"/>
  <c r="E142" i="12"/>
  <c r="E170" i="12"/>
  <c r="E108" i="12"/>
  <c r="E143" i="12"/>
  <c r="E171" i="12"/>
  <c r="E153" i="12"/>
  <c r="E109" i="12"/>
  <c r="E110" i="12"/>
  <c r="E111" i="12"/>
  <c r="E112" i="12"/>
  <c r="E144" i="12"/>
  <c r="E154" i="12"/>
  <c r="E175" i="12"/>
  <c r="E174" i="12"/>
  <c r="E173" i="12"/>
  <c r="E172" i="12"/>
  <c r="B176" i="5"/>
  <c r="C176" i="5"/>
  <c r="J176" i="5"/>
  <c r="K176" i="5"/>
  <c r="B137" i="5"/>
  <c r="C137" i="5"/>
  <c r="J137" i="5"/>
  <c r="K137" i="5"/>
  <c r="B138" i="5"/>
  <c r="C138" i="5"/>
  <c r="J138" i="5"/>
  <c r="K138" i="5"/>
  <c r="B139" i="5"/>
  <c r="C139" i="5"/>
  <c r="J139" i="5"/>
  <c r="K139" i="5"/>
  <c r="B140" i="5"/>
  <c r="C140" i="5"/>
  <c r="J140" i="5"/>
  <c r="K140" i="5"/>
  <c r="B177" i="5"/>
  <c r="C177" i="5"/>
  <c r="J177" i="5"/>
  <c r="K177" i="5"/>
  <c r="B93" i="5"/>
  <c r="C93" i="5"/>
  <c r="J93" i="5"/>
  <c r="K93" i="5"/>
  <c r="B134" i="5"/>
  <c r="C134" i="5"/>
  <c r="J134" i="5"/>
  <c r="K134" i="5"/>
  <c r="B178" i="5"/>
  <c r="C178" i="5"/>
  <c r="J178" i="5"/>
  <c r="K178" i="5"/>
  <c r="B106" i="5"/>
  <c r="C106" i="5"/>
  <c r="J106" i="5"/>
  <c r="K106" i="5"/>
  <c r="B107" i="5"/>
  <c r="C107" i="5"/>
  <c r="J107" i="5"/>
  <c r="K107" i="5"/>
  <c r="B179" i="5"/>
  <c r="C179" i="5"/>
  <c r="J179" i="5"/>
  <c r="K179" i="5"/>
  <c r="B141" i="5"/>
  <c r="C141" i="5"/>
  <c r="J141" i="5"/>
  <c r="K141" i="5"/>
  <c r="B80" i="5"/>
  <c r="C80" i="5"/>
  <c r="J80" i="5"/>
  <c r="K80" i="5"/>
  <c r="B73" i="5"/>
  <c r="C73" i="5"/>
  <c r="J73" i="5"/>
  <c r="B94" i="5"/>
  <c r="C94" i="5"/>
  <c r="J94" i="5"/>
  <c r="K94" i="5"/>
  <c r="B95" i="5"/>
  <c r="C95" i="5"/>
  <c r="J95" i="5"/>
  <c r="K95" i="5"/>
  <c r="B96" i="5"/>
  <c r="C96" i="5"/>
  <c r="J96" i="5"/>
  <c r="K96" i="5"/>
  <c r="B97" i="5"/>
  <c r="C97" i="5"/>
  <c r="J97" i="5"/>
  <c r="K97" i="5"/>
  <c r="B79" i="5"/>
  <c r="C79" i="5"/>
  <c r="J79" i="5"/>
  <c r="K79" i="5"/>
  <c r="B108" i="5"/>
  <c r="C108" i="5"/>
  <c r="J108" i="5"/>
  <c r="K108" i="5"/>
  <c r="B109" i="5"/>
  <c r="C109" i="5"/>
  <c r="J109" i="5"/>
  <c r="K109" i="5"/>
  <c r="B180" i="5"/>
  <c r="C180" i="5"/>
  <c r="J180" i="5"/>
  <c r="K180" i="5"/>
  <c r="B181" i="5"/>
  <c r="C181" i="5"/>
  <c r="J181" i="5"/>
  <c r="K181" i="5"/>
  <c r="B142" i="5"/>
  <c r="C142" i="5"/>
  <c r="J142" i="5"/>
  <c r="K142" i="5"/>
  <c r="B81" i="5"/>
  <c r="C81" i="5"/>
  <c r="J81" i="5"/>
  <c r="K81" i="5"/>
  <c r="B82" i="5"/>
  <c r="C82" i="5"/>
  <c r="J82" i="5"/>
  <c r="K82" i="5"/>
  <c r="B110" i="5"/>
  <c r="C110" i="5"/>
  <c r="J110" i="5"/>
  <c r="K110" i="5"/>
  <c r="B111" i="5"/>
  <c r="C111" i="5"/>
  <c r="J111" i="5"/>
  <c r="K111" i="5"/>
  <c r="B112" i="5"/>
  <c r="C112" i="5"/>
  <c r="J112" i="5"/>
  <c r="K112" i="5"/>
  <c r="B113" i="5"/>
  <c r="C113" i="5"/>
  <c r="J113" i="5"/>
  <c r="K113" i="5"/>
  <c r="B143" i="5"/>
  <c r="C143" i="5"/>
  <c r="J143" i="5"/>
  <c r="K143" i="5"/>
  <c r="B144" i="5"/>
  <c r="C144" i="5"/>
  <c r="J144" i="5"/>
  <c r="K144" i="5"/>
  <c r="B145" i="5"/>
  <c r="C145" i="5"/>
  <c r="J145" i="5"/>
  <c r="K145" i="5"/>
  <c r="B114" i="5"/>
  <c r="C114" i="5"/>
  <c r="J114" i="5"/>
  <c r="K114" i="5"/>
  <c r="B146" i="5"/>
  <c r="C146" i="5"/>
  <c r="J146" i="5"/>
  <c r="K146" i="5"/>
  <c r="B147" i="5"/>
  <c r="C147" i="5"/>
  <c r="J147" i="5"/>
  <c r="K147" i="5"/>
  <c r="B115" i="5"/>
  <c r="C115" i="5"/>
  <c r="J115" i="5"/>
  <c r="K115" i="5"/>
  <c r="B148" i="5"/>
  <c r="C148" i="5"/>
  <c r="J148" i="5"/>
  <c r="K148" i="5"/>
  <c r="B149" i="5"/>
  <c r="C149" i="5"/>
  <c r="J149" i="5"/>
  <c r="K149" i="5"/>
  <c r="B150" i="5"/>
  <c r="C150" i="5"/>
  <c r="J150" i="5"/>
  <c r="K150" i="5"/>
  <c r="B182" i="5"/>
  <c r="C182" i="5"/>
  <c r="J182" i="5"/>
  <c r="K182" i="5"/>
  <c r="B116" i="5"/>
  <c r="C116" i="5"/>
  <c r="J116" i="5"/>
  <c r="K116" i="5"/>
  <c r="B117" i="5"/>
  <c r="C117" i="5"/>
  <c r="J117" i="5"/>
  <c r="K117" i="5"/>
  <c r="B83" i="5"/>
  <c r="C83" i="5"/>
  <c r="J83" i="5"/>
  <c r="K83" i="5"/>
  <c r="B74" i="5"/>
  <c r="C74" i="5"/>
  <c r="J74" i="5"/>
  <c r="K74" i="5"/>
  <c r="B84" i="5"/>
  <c r="C84" i="5"/>
  <c r="J84" i="5"/>
  <c r="K84" i="5"/>
  <c r="B168" i="5"/>
  <c r="C168" i="5"/>
  <c r="J168" i="5"/>
  <c r="K168" i="5"/>
  <c r="B183" i="5"/>
  <c r="C183" i="5"/>
  <c r="J183" i="5"/>
  <c r="K183" i="5"/>
  <c r="B166" i="5"/>
  <c r="C166" i="5"/>
  <c r="J166" i="5"/>
  <c r="K166" i="5"/>
  <c r="B184" i="5"/>
  <c r="C184" i="5"/>
  <c r="J184" i="5"/>
  <c r="K184" i="5"/>
  <c r="B98" i="5"/>
  <c r="C98" i="5"/>
  <c r="J98" i="5"/>
  <c r="K98" i="5"/>
  <c r="B185" i="5"/>
  <c r="C185" i="5"/>
  <c r="J185" i="5"/>
  <c r="K185" i="5"/>
  <c r="B118" i="5"/>
  <c r="C118" i="5"/>
  <c r="J118" i="5"/>
  <c r="K118" i="5"/>
  <c r="B119" i="5"/>
  <c r="C119" i="5"/>
  <c r="J119" i="5"/>
  <c r="K119" i="5"/>
  <c r="B120" i="5"/>
  <c r="C120" i="5"/>
  <c r="J120" i="5"/>
  <c r="K120" i="5"/>
  <c r="B121" i="5"/>
  <c r="C121" i="5"/>
  <c r="J121" i="5"/>
  <c r="K121" i="5"/>
  <c r="B122" i="5"/>
  <c r="C122" i="5"/>
  <c r="J122" i="5"/>
  <c r="K122" i="5"/>
  <c r="B123" i="5"/>
  <c r="C123" i="5"/>
  <c r="J123" i="5"/>
  <c r="K123" i="5"/>
  <c r="B85" i="5"/>
  <c r="C85" i="5"/>
  <c r="J85" i="5"/>
  <c r="K85" i="5"/>
  <c r="B86" i="5"/>
  <c r="C86" i="5"/>
  <c r="J86" i="5"/>
  <c r="K86" i="5"/>
  <c r="B186" i="5"/>
  <c r="C186" i="5"/>
  <c r="J186" i="5"/>
  <c r="K186" i="5"/>
  <c r="B187" i="5"/>
  <c r="C187" i="5"/>
  <c r="J187" i="5"/>
  <c r="K187" i="5"/>
  <c r="B151" i="5"/>
  <c r="C151" i="5"/>
  <c r="J151" i="5"/>
  <c r="K151" i="5"/>
  <c r="B75" i="5"/>
  <c r="C75" i="5"/>
  <c r="J75" i="5"/>
  <c r="K75" i="5"/>
  <c r="B99" i="5"/>
  <c r="C99" i="5"/>
  <c r="J99" i="5"/>
  <c r="K99" i="5"/>
  <c r="B152" i="5"/>
  <c r="C152" i="5"/>
  <c r="J152" i="5"/>
  <c r="K152" i="5"/>
  <c r="B100" i="5"/>
  <c r="C100" i="5"/>
  <c r="J100" i="5"/>
  <c r="K100" i="5"/>
  <c r="B101" i="5"/>
  <c r="C101" i="5"/>
  <c r="J101" i="5"/>
  <c r="K101" i="5"/>
  <c r="B167" i="5"/>
  <c r="C167" i="5"/>
  <c r="J167" i="5"/>
  <c r="K167" i="5"/>
  <c r="B124" i="5"/>
  <c r="C124" i="5"/>
  <c r="J124" i="5"/>
  <c r="K124" i="5"/>
  <c r="B87" i="5"/>
  <c r="C87" i="5"/>
  <c r="J87" i="5"/>
  <c r="K87" i="5"/>
  <c r="B125" i="5"/>
  <c r="C125" i="5"/>
  <c r="J125" i="5"/>
  <c r="K125" i="5"/>
  <c r="B169" i="5"/>
  <c r="C169" i="5"/>
  <c r="J169" i="5"/>
  <c r="K169" i="5"/>
  <c r="B170" i="5"/>
  <c r="C170" i="5"/>
  <c r="J170" i="5"/>
  <c r="K170" i="5"/>
  <c r="B135" i="5"/>
  <c r="C135" i="5"/>
  <c r="J135" i="5"/>
  <c r="K135" i="5"/>
  <c r="B171" i="5"/>
  <c r="C171" i="5"/>
  <c r="J171" i="5"/>
  <c r="K171" i="5"/>
  <c r="B136" i="5"/>
  <c r="C136" i="5"/>
  <c r="J136" i="5"/>
  <c r="K136" i="5"/>
  <c r="B126" i="5"/>
  <c r="C126" i="5"/>
  <c r="J126" i="5"/>
  <c r="K126" i="5"/>
  <c r="B153" i="5"/>
  <c r="C153" i="5"/>
  <c r="J153" i="5"/>
  <c r="K153" i="5"/>
  <c r="B154" i="5"/>
  <c r="C154" i="5"/>
  <c r="J154" i="5"/>
  <c r="K154" i="5"/>
  <c r="B76" i="5"/>
  <c r="C76" i="5"/>
  <c r="J76" i="5"/>
  <c r="K76" i="5"/>
  <c r="B88" i="5"/>
  <c r="C88" i="5"/>
  <c r="J88" i="5"/>
  <c r="K88" i="5"/>
  <c r="B188" i="5"/>
  <c r="C188" i="5"/>
  <c r="J188" i="5"/>
  <c r="K188" i="5"/>
  <c r="B172" i="5"/>
  <c r="C172" i="5"/>
  <c r="J172" i="5"/>
  <c r="K172" i="5"/>
  <c r="B173" i="5"/>
  <c r="C173" i="5"/>
  <c r="J173" i="5"/>
  <c r="K173" i="5"/>
  <c r="B89" i="5"/>
  <c r="C89" i="5"/>
  <c r="J89" i="5"/>
  <c r="K89" i="5"/>
  <c r="B90" i="5"/>
  <c r="C90" i="5"/>
  <c r="J90" i="5"/>
  <c r="K90" i="5"/>
  <c r="B155" i="5"/>
  <c r="C155" i="5"/>
  <c r="J155" i="5"/>
  <c r="K155" i="5"/>
  <c r="B156" i="5"/>
  <c r="C156" i="5"/>
  <c r="J156" i="5"/>
  <c r="K156" i="5"/>
  <c r="B157" i="5"/>
  <c r="C157" i="5"/>
  <c r="J157" i="5"/>
  <c r="K157" i="5"/>
  <c r="B91" i="5"/>
  <c r="C91" i="5"/>
  <c r="J91" i="5"/>
  <c r="K91" i="5"/>
  <c r="B77" i="5"/>
  <c r="C77" i="5"/>
  <c r="J77" i="5"/>
  <c r="K77" i="5"/>
  <c r="B92" i="5"/>
  <c r="C92" i="5"/>
  <c r="J92" i="5"/>
  <c r="K92" i="5"/>
  <c r="B127" i="5"/>
  <c r="C127" i="5"/>
  <c r="J127" i="5"/>
  <c r="K127" i="5"/>
  <c r="B78" i="5"/>
  <c r="C78" i="5"/>
  <c r="J78" i="5"/>
  <c r="K78" i="5"/>
  <c r="B102" i="5"/>
  <c r="C102" i="5"/>
  <c r="J102" i="5"/>
  <c r="K102" i="5"/>
  <c r="B128" i="5"/>
  <c r="C128" i="5"/>
  <c r="J128" i="5"/>
  <c r="K128" i="5"/>
  <c r="B158" i="5"/>
  <c r="C158" i="5"/>
  <c r="J158" i="5"/>
  <c r="K158" i="5"/>
  <c r="B159" i="5"/>
  <c r="C159" i="5"/>
  <c r="J159" i="5"/>
  <c r="K159" i="5"/>
  <c r="B103" i="5"/>
  <c r="C103" i="5"/>
  <c r="J103" i="5"/>
  <c r="K103" i="5"/>
  <c r="B104" i="5"/>
  <c r="C104" i="5"/>
  <c r="J104" i="5"/>
  <c r="K104" i="5"/>
  <c r="B105" i="5"/>
  <c r="C105" i="5"/>
  <c r="J105" i="5"/>
  <c r="K105" i="5"/>
  <c r="B160" i="5"/>
  <c r="C160" i="5"/>
  <c r="J160" i="5"/>
  <c r="K160" i="5"/>
  <c r="B161" i="5"/>
  <c r="C161" i="5"/>
  <c r="J161" i="5"/>
  <c r="K161" i="5"/>
  <c r="B189" i="5"/>
  <c r="C189" i="5"/>
  <c r="J189" i="5"/>
  <c r="K189" i="5"/>
  <c r="B162" i="5"/>
  <c r="C162" i="5"/>
  <c r="J162" i="5"/>
  <c r="K162" i="5"/>
  <c r="B190" i="5"/>
  <c r="C190" i="5"/>
  <c r="J190" i="5"/>
  <c r="K190" i="5"/>
  <c r="B163" i="5"/>
  <c r="C163" i="5"/>
  <c r="J163" i="5"/>
  <c r="K163" i="5"/>
  <c r="B191" i="5"/>
  <c r="C191" i="5"/>
  <c r="J191" i="5"/>
  <c r="K191" i="5"/>
  <c r="B129" i="5"/>
  <c r="C129" i="5"/>
  <c r="J129" i="5"/>
  <c r="K129" i="5"/>
  <c r="B164" i="5"/>
  <c r="C164" i="5"/>
  <c r="J164" i="5"/>
  <c r="K164" i="5"/>
  <c r="B192" i="5"/>
  <c r="C192" i="5"/>
  <c r="J192" i="5"/>
  <c r="K192" i="5"/>
  <c r="B174" i="5"/>
  <c r="C174" i="5"/>
  <c r="J174" i="5"/>
  <c r="K174" i="5"/>
  <c r="B130" i="5"/>
  <c r="C130" i="5"/>
  <c r="J130" i="5"/>
  <c r="K130" i="5"/>
  <c r="B131" i="5"/>
  <c r="C131" i="5"/>
  <c r="J131" i="5"/>
  <c r="K131" i="5"/>
  <c r="B132" i="5"/>
  <c r="C132" i="5"/>
  <c r="J132" i="5"/>
  <c r="K132" i="5"/>
  <c r="B133" i="5"/>
  <c r="C133" i="5"/>
  <c r="J133" i="5"/>
  <c r="K133" i="5"/>
  <c r="B165" i="5"/>
  <c r="C165" i="5"/>
  <c r="J165" i="5"/>
  <c r="K165" i="5"/>
  <c r="J175" i="5"/>
  <c r="K175" i="5"/>
  <c r="C175" i="5"/>
  <c r="B175" i="5"/>
  <c r="C25" i="5"/>
  <c r="C29" i="5"/>
  <c r="C33" i="5"/>
  <c r="C26" i="5"/>
  <c r="C31" i="5"/>
  <c r="C23" i="5"/>
  <c r="C30" i="5"/>
  <c r="C28" i="5"/>
  <c r="C32" i="5"/>
  <c r="C34" i="5"/>
  <c r="K73" i="5"/>
  <c r="J195" i="5"/>
  <c r="J194" i="5"/>
  <c r="J193" i="5"/>
  <c r="J196" i="5"/>
  <c r="B40" i="3"/>
  <c r="C40" i="3"/>
  <c r="E40" i="3"/>
  <c r="F40" i="3"/>
  <c r="G40" i="3"/>
  <c r="B41" i="3"/>
  <c r="C41" i="3"/>
  <c r="E41" i="3"/>
  <c r="F41" i="3"/>
  <c r="G41" i="3"/>
  <c r="B42" i="3"/>
  <c r="C42" i="3"/>
  <c r="E42" i="3"/>
  <c r="F42" i="3"/>
  <c r="G42" i="3"/>
  <c r="B43" i="3"/>
  <c r="C43" i="3"/>
  <c r="E43" i="3"/>
  <c r="F43" i="3"/>
  <c r="G43" i="3"/>
  <c r="B44" i="3"/>
  <c r="C44" i="3"/>
  <c r="E44" i="3"/>
  <c r="F44" i="3"/>
  <c r="G44" i="3"/>
  <c r="B45" i="3"/>
  <c r="C45" i="3"/>
  <c r="E45" i="3"/>
  <c r="F45" i="3"/>
  <c r="G45" i="3"/>
  <c r="B46" i="3"/>
  <c r="C46" i="3"/>
  <c r="E46" i="3"/>
  <c r="F46" i="3"/>
  <c r="G46" i="3"/>
  <c r="B47" i="3"/>
  <c r="C47" i="3"/>
  <c r="E47" i="3"/>
  <c r="F47" i="3"/>
  <c r="G47" i="3"/>
  <c r="B48" i="3"/>
  <c r="C48" i="3"/>
  <c r="E48" i="3"/>
  <c r="F48" i="3"/>
  <c r="G48" i="3"/>
  <c r="B49" i="3"/>
  <c r="C49" i="3"/>
  <c r="E49" i="3"/>
  <c r="F49" i="3"/>
  <c r="G49" i="3"/>
  <c r="B50" i="3"/>
  <c r="C50" i="3"/>
  <c r="E50" i="3"/>
  <c r="F50" i="3"/>
  <c r="G50" i="3"/>
  <c r="B51" i="3"/>
  <c r="C51" i="3"/>
  <c r="E51" i="3"/>
  <c r="F51" i="3"/>
  <c r="G51" i="3"/>
  <c r="B52" i="3"/>
  <c r="C52" i="3"/>
  <c r="E52" i="3"/>
  <c r="F52" i="3"/>
  <c r="G52" i="3"/>
  <c r="B53" i="3"/>
  <c r="C53" i="3"/>
  <c r="E53" i="3"/>
  <c r="F53" i="3"/>
  <c r="G53" i="3"/>
  <c r="B54" i="3"/>
  <c r="C54" i="3"/>
  <c r="E54" i="3"/>
  <c r="F54" i="3"/>
  <c r="G54" i="3"/>
  <c r="B55" i="3"/>
  <c r="C55" i="3"/>
  <c r="E55" i="3"/>
  <c r="F55" i="3"/>
  <c r="G55" i="3"/>
  <c r="B56" i="3"/>
  <c r="C56" i="3"/>
  <c r="E56" i="3"/>
  <c r="F56" i="3"/>
  <c r="G56" i="3"/>
  <c r="B57" i="3"/>
  <c r="C57" i="3"/>
  <c r="E57" i="3"/>
  <c r="F57" i="3"/>
  <c r="G57" i="3"/>
  <c r="B58" i="3"/>
  <c r="C58" i="3"/>
  <c r="E58" i="3"/>
  <c r="F58" i="3"/>
  <c r="G58" i="3"/>
  <c r="B59" i="3"/>
  <c r="C59" i="3"/>
  <c r="E59" i="3"/>
  <c r="F59" i="3"/>
  <c r="G59" i="3"/>
  <c r="B60" i="3"/>
  <c r="C60" i="3"/>
  <c r="E60" i="3"/>
  <c r="F60" i="3"/>
  <c r="G60" i="3"/>
  <c r="B61" i="3"/>
  <c r="C61" i="3"/>
  <c r="E61" i="3"/>
  <c r="F61" i="3"/>
  <c r="G61" i="3"/>
  <c r="B62" i="3"/>
  <c r="C62" i="3"/>
  <c r="E62" i="3"/>
  <c r="F62" i="3"/>
  <c r="G62" i="3"/>
  <c r="B63" i="3"/>
  <c r="C63" i="3"/>
  <c r="E63" i="3"/>
  <c r="F63" i="3"/>
  <c r="G63" i="3"/>
  <c r="B64" i="3"/>
  <c r="C64" i="3"/>
  <c r="E64" i="3"/>
  <c r="F64" i="3"/>
  <c r="G64" i="3"/>
  <c r="B65" i="3"/>
  <c r="C65" i="3"/>
  <c r="E65" i="3"/>
  <c r="F65" i="3"/>
  <c r="G65" i="3"/>
  <c r="B66" i="3"/>
  <c r="C66" i="3"/>
  <c r="E66" i="3"/>
  <c r="F66" i="3"/>
  <c r="G66" i="3"/>
  <c r="B67" i="3"/>
  <c r="C67" i="3"/>
  <c r="E67" i="3"/>
  <c r="F67" i="3"/>
  <c r="G67" i="3"/>
  <c r="B68" i="3"/>
  <c r="C68" i="3"/>
  <c r="E68" i="3"/>
  <c r="F68" i="3"/>
  <c r="G68" i="3"/>
  <c r="B69" i="3"/>
  <c r="C69" i="3"/>
  <c r="E69" i="3"/>
  <c r="F69" i="3"/>
  <c r="G69" i="3"/>
  <c r="B70" i="3"/>
  <c r="C70" i="3"/>
  <c r="E70" i="3"/>
  <c r="F70" i="3"/>
  <c r="G70" i="3"/>
  <c r="B71" i="3"/>
  <c r="C71" i="3"/>
  <c r="E71" i="3"/>
  <c r="F71" i="3"/>
  <c r="G71" i="3"/>
  <c r="B72" i="3"/>
  <c r="C72" i="3"/>
  <c r="E72" i="3"/>
  <c r="F72" i="3"/>
  <c r="G72" i="3"/>
  <c r="B73" i="3"/>
  <c r="C73" i="3"/>
  <c r="E73" i="3"/>
  <c r="F73" i="3"/>
  <c r="G73" i="3"/>
  <c r="B74" i="3"/>
  <c r="C74" i="3"/>
  <c r="E74" i="3"/>
  <c r="F74" i="3"/>
  <c r="G74" i="3"/>
  <c r="B75" i="3"/>
  <c r="C75" i="3"/>
  <c r="E75" i="3"/>
  <c r="F75" i="3"/>
  <c r="G75" i="3"/>
  <c r="B76" i="3"/>
  <c r="C76" i="3"/>
  <c r="E76" i="3"/>
  <c r="F76" i="3"/>
  <c r="G76" i="3"/>
  <c r="B77" i="3"/>
  <c r="C77" i="3"/>
  <c r="E77" i="3"/>
  <c r="F77" i="3"/>
  <c r="G77" i="3"/>
  <c r="B78" i="3"/>
  <c r="C78" i="3"/>
  <c r="E78" i="3"/>
  <c r="F78" i="3"/>
  <c r="G78" i="3"/>
  <c r="B79" i="3"/>
  <c r="C79" i="3"/>
  <c r="E79" i="3"/>
  <c r="F79" i="3"/>
  <c r="G79" i="3"/>
  <c r="B80" i="3"/>
  <c r="C80" i="3"/>
  <c r="E80" i="3"/>
  <c r="F80" i="3"/>
  <c r="G80" i="3"/>
  <c r="B81" i="3"/>
  <c r="C81" i="3"/>
  <c r="E81" i="3"/>
  <c r="F81" i="3"/>
  <c r="G81" i="3"/>
  <c r="B82" i="3"/>
  <c r="C82" i="3"/>
  <c r="E82" i="3"/>
  <c r="F82" i="3"/>
  <c r="G82" i="3"/>
  <c r="B83" i="3"/>
  <c r="C83" i="3"/>
  <c r="E83" i="3"/>
  <c r="F83" i="3"/>
  <c r="G83" i="3"/>
  <c r="B84" i="3"/>
  <c r="C84" i="3"/>
  <c r="E84" i="3"/>
  <c r="F84" i="3"/>
  <c r="G84" i="3"/>
  <c r="B85" i="3"/>
  <c r="C85" i="3"/>
  <c r="E85" i="3"/>
  <c r="F85" i="3"/>
  <c r="G85" i="3"/>
  <c r="B86" i="3"/>
  <c r="C86" i="3"/>
  <c r="E86" i="3"/>
  <c r="F86" i="3"/>
  <c r="G86" i="3"/>
  <c r="B87" i="3"/>
  <c r="C87" i="3"/>
  <c r="E87" i="3"/>
  <c r="F87" i="3"/>
  <c r="G87" i="3"/>
  <c r="B88" i="3"/>
  <c r="C88" i="3"/>
  <c r="E88" i="3"/>
  <c r="F88" i="3"/>
  <c r="G88" i="3"/>
  <c r="B89" i="3"/>
  <c r="C89" i="3"/>
  <c r="E89" i="3"/>
  <c r="F89" i="3"/>
  <c r="G89" i="3"/>
  <c r="B90" i="3"/>
  <c r="C90" i="3"/>
  <c r="E90" i="3"/>
  <c r="F90" i="3"/>
  <c r="G90" i="3"/>
  <c r="B91" i="3"/>
  <c r="C91" i="3"/>
  <c r="E91" i="3"/>
  <c r="F91" i="3"/>
  <c r="G91" i="3"/>
  <c r="B92" i="3"/>
  <c r="C92" i="3"/>
  <c r="E92" i="3"/>
  <c r="F92" i="3"/>
  <c r="G92" i="3"/>
  <c r="B93" i="3"/>
  <c r="C93" i="3"/>
  <c r="E93" i="3"/>
  <c r="F93" i="3"/>
  <c r="G93" i="3"/>
  <c r="B94" i="3"/>
  <c r="C94" i="3"/>
  <c r="E94" i="3"/>
  <c r="F94" i="3"/>
  <c r="G94" i="3"/>
  <c r="B95" i="3"/>
  <c r="C95" i="3"/>
  <c r="E95" i="3"/>
  <c r="F95" i="3"/>
  <c r="G95" i="3"/>
  <c r="B96" i="3"/>
  <c r="C96" i="3"/>
  <c r="E96" i="3"/>
  <c r="F96" i="3"/>
  <c r="G96" i="3"/>
  <c r="B97" i="3"/>
  <c r="C97" i="3"/>
  <c r="E97" i="3"/>
  <c r="F97" i="3"/>
  <c r="G97" i="3"/>
  <c r="B98" i="3"/>
  <c r="C98" i="3"/>
  <c r="E98" i="3"/>
  <c r="F98" i="3"/>
  <c r="G98" i="3"/>
  <c r="B99" i="3"/>
  <c r="C99" i="3"/>
  <c r="E99" i="3"/>
  <c r="F99" i="3"/>
  <c r="G99" i="3"/>
  <c r="B100" i="3"/>
  <c r="C100" i="3"/>
  <c r="E100" i="3"/>
  <c r="F100" i="3"/>
  <c r="G100" i="3"/>
  <c r="B101" i="3"/>
  <c r="C101" i="3"/>
  <c r="E101" i="3"/>
  <c r="F101" i="3"/>
  <c r="G101" i="3"/>
  <c r="B102" i="3"/>
  <c r="C102" i="3"/>
  <c r="E102" i="3"/>
  <c r="F102" i="3"/>
  <c r="G102" i="3"/>
  <c r="B103" i="3"/>
  <c r="C103" i="3"/>
  <c r="E103" i="3"/>
  <c r="F103" i="3"/>
  <c r="G103" i="3"/>
  <c r="B104" i="3"/>
  <c r="C104" i="3"/>
  <c r="E104" i="3"/>
  <c r="F104" i="3"/>
  <c r="G104" i="3"/>
  <c r="B105" i="3"/>
  <c r="C105" i="3"/>
  <c r="E105" i="3"/>
  <c r="F105" i="3"/>
  <c r="G105" i="3"/>
  <c r="B106" i="3"/>
  <c r="C106" i="3"/>
  <c r="E106" i="3"/>
  <c r="F106" i="3"/>
  <c r="G106" i="3"/>
  <c r="B107" i="3"/>
  <c r="C107" i="3"/>
  <c r="E107" i="3"/>
  <c r="F107" i="3"/>
  <c r="G107" i="3"/>
  <c r="B108" i="3"/>
  <c r="C108" i="3"/>
  <c r="E108" i="3"/>
  <c r="F108" i="3"/>
  <c r="G108" i="3"/>
  <c r="B109" i="3"/>
  <c r="C109" i="3"/>
  <c r="E109" i="3"/>
  <c r="F109" i="3"/>
  <c r="G109" i="3"/>
  <c r="B110" i="3"/>
  <c r="C110" i="3"/>
  <c r="E110" i="3"/>
  <c r="F110" i="3"/>
  <c r="G110" i="3"/>
  <c r="B111" i="3"/>
  <c r="C111" i="3"/>
  <c r="E111" i="3"/>
  <c r="F111" i="3"/>
  <c r="G111" i="3"/>
  <c r="B112" i="3"/>
  <c r="C112" i="3"/>
  <c r="E112" i="3"/>
  <c r="F112" i="3"/>
  <c r="G112" i="3"/>
  <c r="B113" i="3"/>
  <c r="C113" i="3"/>
  <c r="E113" i="3"/>
  <c r="F113" i="3"/>
  <c r="G113" i="3"/>
  <c r="B114" i="3"/>
  <c r="C114" i="3"/>
  <c r="E114" i="3"/>
  <c r="F114" i="3"/>
  <c r="G114" i="3"/>
  <c r="B115" i="3"/>
  <c r="C115" i="3"/>
  <c r="E115" i="3"/>
  <c r="F115" i="3"/>
  <c r="G115" i="3"/>
  <c r="B116" i="3"/>
  <c r="C116" i="3"/>
  <c r="E116" i="3"/>
  <c r="F116" i="3"/>
  <c r="G116" i="3"/>
  <c r="B117" i="3"/>
  <c r="C117" i="3"/>
  <c r="E117" i="3"/>
  <c r="F117" i="3"/>
  <c r="G117" i="3"/>
  <c r="B118" i="3"/>
  <c r="C118" i="3"/>
  <c r="E118" i="3"/>
  <c r="F118" i="3"/>
  <c r="G118" i="3"/>
  <c r="B119" i="3"/>
  <c r="C119" i="3"/>
  <c r="E119" i="3"/>
  <c r="F119" i="3"/>
  <c r="G119" i="3"/>
  <c r="B120" i="3"/>
  <c r="C120" i="3"/>
  <c r="E120" i="3"/>
  <c r="F120" i="3"/>
  <c r="G120" i="3"/>
  <c r="B121" i="3"/>
  <c r="C121" i="3"/>
  <c r="E121" i="3"/>
  <c r="F121" i="3"/>
  <c r="G121" i="3"/>
  <c r="B122" i="3"/>
  <c r="C122" i="3"/>
  <c r="E122" i="3"/>
  <c r="F122" i="3"/>
  <c r="G122" i="3"/>
  <c r="B123" i="3"/>
  <c r="C123" i="3"/>
  <c r="E123" i="3"/>
  <c r="F123" i="3"/>
  <c r="G123" i="3"/>
  <c r="B124" i="3"/>
  <c r="C124" i="3"/>
  <c r="E124" i="3"/>
  <c r="F124" i="3"/>
  <c r="G124" i="3"/>
  <c r="B125" i="3"/>
  <c r="C125" i="3"/>
  <c r="E125" i="3"/>
  <c r="F125" i="3"/>
  <c r="G125" i="3"/>
  <c r="B126" i="3"/>
  <c r="C126" i="3"/>
  <c r="E126" i="3"/>
  <c r="F126" i="3"/>
  <c r="G126" i="3"/>
  <c r="B127" i="3"/>
  <c r="C127" i="3"/>
  <c r="E127" i="3"/>
  <c r="F127" i="3"/>
  <c r="G127" i="3"/>
  <c r="B128" i="3"/>
  <c r="C128" i="3"/>
  <c r="E128" i="3"/>
  <c r="F128" i="3"/>
  <c r="G128" i="3"/>
  <c r="B129" i="3"/>
  <c r="C129" i="3"/>
  <c r="E129" i="3"/>
  <c r="F129" i="3"/>
  <c r="G129" i="3"/>
  <c r="B130" i="3"/>
  <c r="C130" i="3"/>
  <c r="E130" i="3"/>
  <c r="F130" i="3"/>
  <c r="G130" i="3"/>
  <c r="B131" i="3"/>
  <c r="C131" i="3"/>
  <c r="E131" i="3"/>
  <c r="F131" i="3"/>
  <c r="G131" i="3"/>
  <c r="B132" i="3"/>
  <c r="C132" i="3"/>
  <c r="E132" i="3"/>
  <c r="F132" i="3"/>
  <c r="G132" i="3"/>
  <c r="B133" i="3"/>
  <c r="C133" i="3"/>
  <c r="E133" i="3"/>
  <c r="F133" i="3"/>
  <c r="G133" i="3"/>
  <c r="B134" i="3"/>
  <c r="C134" i="3"/>
  <c r="E134" i="3"/>
  <c r="F134" i="3"/>
  <c r="G134" i="3"/>
  <c r="B135" i="3"/>
  <c r="C135" i="3"/>
  <c r="E135" i="3"/>
  <c r="F135" i="3"/>
  <c r="G135" i="3"/>
  <c r="B136" i="3"/>
  <c r="C136" i="3"/>
  <c r="E136" i="3"/>
  <c r="F136" i="3"/>
  <c r="G136" i="3"/>
  <c r="B137" i="3"/>
  <c r="C137" i="3"/>
  <c r="E137" i="3"/>
  <c r="F137" i="3"/>
  <c r="G137" i="3"/>
  <c r="B138" i="3"/>
  <c r="C138" i="3"/>
  <c r="E138" i="3"/>
  <c r="F138" i="3"/>
  <c r="G138" i="3"/>
  <c r="B139" i="3"/>
  <c r="C139" i="3"/>
  <c r="E139" i="3"/>
  <c r="F139" i="3"/>
  <c r="G139" i="3"/>
  <c r="B140" i="3"/>
  <c r="C140" i="3"/>
  <c r="E140" i="3"/>
  <c r="F140" i="3"/>
  <c r="G140" i="3"/>
  <c r="B141" i="3"/>
  <c r="C141" i="3"/>
  <c r="E141" i="3"/>
  <c r="F141" i="3"/>
  <c r="G141" i="3"/>
  <c r="B142" i="3"/>
  <c r="C142" i="3"/>
  <c r="E142" i="3"/>
  <c r="F142" i="3"/>
  <c r="G142" i="3"/>
  <c r="B143" i="3"/>
  <c r="C143" i="3"/>
  <c r="E143" i="3"/>
  <c r="F143" i="3"/>
  <c r="G143" i="3"/>
  <c r="B144" i="3"/>
  <c r="C144" i="3"/>
  <c r="E144" i="3"/>
  <c r="F144" i="3"/>
  <c r="G144" i="3"/>
  <c r="B145" i="3"/>
  <c r="C145" i="3"/>
  <c r="E145" i="3"/>
  <c r="F145" i="3"/>
  <c r="G145" i="3"/>
  <c r="B146" i="3"/>
  <c r="C146" i="3"/>
  <c r="E146" i="3"/>
  <c r="F146" i="3"/>
  <c r="G146" i="3"/>
  <c r="B147" i="3"/>
  <c r="C147" i="3"/>
  <c r="E147" i="3"/>
  <c r="F147" i="3"/>
  <c r="G147" i="3"/>
  <c r="B148" i="3"/>
  <c r="C148" i="3"/>
  <c r="E148" i="3"/>
  <c r="F148" i="3"/>
  <c r="G148" i="3"/>
  <c r="B149" i="3"/>
  <c r="C149" i="3"/>
  <c r="E149" i="3"/>
  <c r="F149" i="3"/>
  <c r="G149" i="3"/>
  <c r="B150" i="3"/>
  <c r="C150" i="3"/>
  <c r="E150" i="3"/>
  <c r="F150" i="3"/>
  <c r="G150" i="3"/>
  <c r="B151" i="3"/>
  <c r="C151" i="3"/>
  <c r="E151" i="3"/>
  <c r="F151" i="3"/>
  <c r="G151" i="3"/>
  <c r="B152" i="3"/>
  <c r="C152" i="3"/>
  <c r="E152" i="3"/>
  <c r="F152" i="3"/>
  <c r="G152" i="3"/>
  <c r="B153" i="3"/>
  <c r="C153" i="3"/>
  <c r="E153" i="3"/>
  <c r="F153" i="3"/>
  <c r="G153" i="3"/>
  <c r="B154" i="3"/>
  <c r="C154" i="3"/>
  <c r="E154" i="3"/>
  <c r="F154" i="3"/>
  <c r="G154" i="3"/>
  <c r="B155" i="3"/>
  <c r="C155" i="3"/>
  <c r="E155" i="3"/>
  <c r="F155" i="3"/>
  <c r="G155" i="3"/>
  <c r="B156" i="3"/>
  <c r="C156" i="3"/>
  <c r="E156" i="3"/>
  <c r="F156" i="3"/>
  <c r="G156" i="3"/>
  <c r="B157" i="3"/>
  <c r="C157" i="3"/>
  <c r="E157" i="3"/>
  <c r="F157" i="3"/>
  <c r="G157" i="3"/>
  <c r="B158" i="3"/>
  <c r="C158" i="3"/>
  <c r="E158" i="3"/>
  <c r="F158" i="3"/>
  <c r="G158" i="3"/>
  <c r="G39" i="3"/>
  <c r="F39" i="3"/>
  <c r="E39" i="3"/>
  <c r="C39" i="3"/>
  <c r="B39" i="3"/>
  <c r="E139" i="2"/>
  <c r="E100" i="2"/>
  <c r="E101" i="2"/>
  <c r="E102" i="2"/>
  <c r="E103" i="2"/>
  <c r="E140" i="2"/>
  <c r="E56" i="2"/>
  <c r="E97" i="2"/>
  <c r="E141" i="2"/>
  <c r="E69" i="2"/>
  <c r="E70" i="2"/>
  <c r="E142" i="2"/>
  <c r="E104" i="2"/>
  <c r="E43" i="2"/>
  <c r="E36" i="2"/>
  <c r="E57" i="2"/>
  <c r="E58" i="2"/>
  <c r="E59" i="2"/>
  <c r="E60" i="2"/>
  <c r="E42" i="2"/>
  <c r="E71" i="2"/>
  <c r="E72" i="2"/>
  <c r="E143" i="2"/>
  <c r="E144" i="2"/>
  <c r="E105" i="2"/>
  <c r="E44" i="2"/>
  <c r="E45" i="2"/>
  <c r="E73" i="2"/>
  <c r="E74" i="2"/>
  <c r="E75" i="2"/>
  <c r="E76" i="2"/>
  <c r="E106" i="2"/>
  <c r="E107" i="2"/>
  <c r="E108" i="2"/>
  <c r="E77" i="2"/>
  <c r="E109" i="2"/>
  <c r="E110" i="2"/>
  <c r="E78" i="2"/>
  <c r="E111" i="2"/>
  <c r="E112" i="2"/>
  <c r="E113" i="2"/>
  <c r="E145" i="2"/>
  <c r="E79" i="2"/>
  <c r="E80" i="2"/>
  <c r="E46" i="2"/>
  <c r="E37" i="2"/>
  <c r="E47" i="2"/>
  <c r="E131" i="2"/>
  <c r="E146" i="2"/>
  <c r="E129" i="2"/>
  <c r="E147" i="2"/>
  <c r="E61" i="2"/>
  <c r="E148" i="2"/>
  <c r="E81" i="2"/>
  <c r="E82" i="2"/>
  <c r="E83" i="2"/>
  <c r="E84" i="2"/>
  <c r="E85" i="2"/>
  <c r="E86" i="2"/>
  <c r="E48" i="2"/>
  <c r="E49" i="2"/>
  <c r="E149" i="2"/>
  <c r="E150" i="2"/>
  <c r="E114" i="2"/>
  <c r="E38" i="2"/>
  <c r="E62" i="2"/>
  <c r="E115" i="2"/>
  <c r="E63" i="2"/>
  <c r="E64" i="2"/>
  <c r="E130" i="2"/>
  <c r="E87" i="2"/>
  <c r="E50" i="2"/>
  <c r="E88" i="2"/>
  <c r="E132" i="2"/>
  <c r="E133" i="2"/>
  <c r="E98" i="2"/>
  <c r="E134" i="2"/>
  <c r="E99" i="2"/>
  <c r="E89" i="2"/>
  <c r="E116" i="2"/>
  <c r="E117" i="2"/>
  <c r="E39" i="2"/>
  <c r="E51" i="2"/>
  <c r="E151" i="2"/>
  <c r="E135" i="2"/>
  <c r="E136" i="2"/>
  <c r="E52" i="2"/>
  <c r="E53" i="2"/>
  <c r="E118" i="2"/>
  <c r="E119" i="2"/>
  <c r="E120" i="2"/>
  <c r="E54" i="2"/>
  <c r="E40" i="2"/>
  <c r="E55" i="2"/>
  <c r="E90" i="2"/>
  <c r="E41" i="2"/>
  <c r="E65" i="2"/>
  <c r="E91" i="2"/>
  <c r="E121" i="2"/>
  <c r="E122" i="2"/>
  <c r="E66" i="2"/>
  <c r="E67" i="2"/>
  <c r="E68" i="2"/>
  <c r="E123" i="2"/>
  <c r="E124" i="2"/>
  <c r="E152" i="2"/>
  <c r="E125" i="2"/>
  <c r="E153" i="2"/>
  <c r="E126" i="2"/>
  <c r="E154" i="2"/>
  <c r="E92" i="2"/>
  <c r="E127" i="2"/>
  <c r="E155" i="2"/>
  <c r="E137" i="2"/>
  <c r="E93" i="2"/>
  <c r="E94" i="2"/>
  <c r="E95" i="2"/>
  <c r="E96" i="2"/>
  <c r="E128" i="2"/>
  <c r="E138"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C128" i="2"/>
  <c r="B128" i="2"/>
  <c r="C96" i="2"/>
  <c r="B96" i="2"/>
  <c r="C95" i="2"/>
  <c r="B95" i="2"/>
  <c r="C94" i="2"/>
  <c r="B94" i="2"/>
  <c r="C93" i="2"/>
  <c r="B93" i="2"/>
  <c r="C137" i="2"/>
  <c r="B137" i="2"/>
  <c r="C155" i="2"/>
  <c r="B155" i="2"/>
  <c r="C127" i="2"/>
  <c r="B127" i="2"/>
  <c r="C92" i="2"/>
  <c r="B92" i="2"/>
  <c r="C154" i="2"/>
  <c r="B154" i="2"/>
  <c r="C126" i="2"/>
  <c r="B126" i="2"/>
  <c r="C153" i="2"/>
  <c r="B153" i="2"/>
  <c r="C125" i="2"/>
  <c r="B125" i="2"/>
  <c r="C152" i="2"/>
  <c r="B152" i="2"/>
  <c r="C124" i="2"/>
  <c r="B124" i="2"/>
  <c r="C123" i="2"/>
  <c r="B123" i="2"/>
  <c r="C68" i="2"/>
  <c r="B68" i="2"/>
  <c r="C67" i="2"/>
  <c r="B67" i="2"/>
  <c r="C66" i="2"/>
  <c r="B66" i="2"/>
  <c r="C122" i="2"/>
  <c r="B122" i="2"/>
  <c r="C121" i="2"/>
  <c r="B121" i="2"/>
  <c r="C91" i="2"/>
  <c r="B91" i="2"/>
  <c r="C65" i="2"/>
  <c r="B65" i="2"/>
  <c r="C41" i="2"/>
  <c r="B41" i="2"/>
  <c r="C90" i="2"/>
  <c r="B90" i="2"/>
  <c r="C55" i="2"/>
  <c r="B55" i="2"/>
  <c r="C40" i="2"/>
  <c r="B40" i="2"/>
  <c r="C54" i="2"/>
  <c r="B54" i="2"/>
  <c r="C120" i="2"/>
  <c r="B120" i="2"/>
  <c r="C119" i="2"/>
  <c r="B119" i="2"/>
  <c r="C118" i="2"/>
  <c r="B118" i="2"/>
  <c r="C53" i="2"/>
  <c r="B53" i="2"/>
  <c r="C52" i="2"/>
  <c r="B52" i="2"/>
  <c r="C136" i="2"/>
  <c r="B136" i="2"/>
  <c r="C135" i="2"/>
  <c r="B135" i="2"/>
  <c r="C151" i="2"/>
  <c r="B151" i="2"/>
  <c r="C51" i="2"/>
  <c r="B51" i="2"/>
  <c r="C39" i="2"/>
  <c r="B39" i="2"/>
  <c r="C117" i="2"/>
  <c r="B117" i="2"/>
  <c r="C116" i="2"/>
  <c r="B116" i="2"/>
  <c r="C89" i="2"/>
  <c r="B89" i="2"/>
  <c r="C99" i="2"/>
  <c r="B99" i="2"/>
  <c r="C134" i="2"/>
  <c r="B134" i="2"/>
  <c r="C98" i="2"/>
  <c r="B98" i="2"/>
  <c r="C133" i="2"/>
  <c r="B133" i="2"/>
  <c r="C132" i="2"/>
  <c r="B132" i="2"/>
  <c r="C88" i="2"/>
  <c r="B88" i="2"/>
  <c r="C50" i="2"/>
  <c r="B50" i="2"/>
  <c r="C87" i="2"/>
  <c r="B87" i="2"/>
  <c r="C130" i="2"/>
  <c r="B130" i="2"/>
  <c r="C64" i="2"/>
  <c r="B64" i="2"/>
  <c r="C63" i="2"/>
  <c r="B63" i="2"/>
  <c r="C115" i="2"/>
  <c r="B115" i="2"/>
  <c r="C62" i="2"/>
  <c r="B62" i="2"/>
  <c r="C38" i="2"/>
  <c r="B38" i="2"/>
  <c r="C114" i="2"/>
  <c r="B114" i="2"/>
  <c r="C150" i="2"/>
  <c r="B150" i="2"/>
  <c r="C149" i="2"/>
  <c r="B149" i="2"/>
  <c r="C49" i="2"/>
  <c r="B49" i="2"/>
  <c r="C48" i="2"/>
  <c r="B48" i="2"/>
  <c r="C86" i="2"/>
  <c r="B86" i="2"/>
  <c r="C85" i="2"/>
  <c r="B85" i="2"/>
  <c r="C84" i="2"/>
  <c r="B84" i="2"/>
  <c r="C83" i="2"/>
  <c r="B83" i="2"/>
  <c r="C82" i="2"/>
  <c r="B82" i="2"/>
  <c r="C81" i="2"/>
  <c r="B81" i="2"/>
  <c r="C148" i="2"/>
  <c r="B148" i="2"/>
  <c r="C61" i="2"/>
  <c r="B61" i="2"/>
  <c r="C147" i="2"/>
  <c r="B147" i="2"/>
  <c r="C129" i="2"/>
  <c r="B129" i="2"/>
  <c r="C146" i="2"/>
  <c r="B146" i="2"/>
  <c r="C131" i="2"/>
  <c r="B131" i="2"/>
  <c r="C47" i="2"/>
  <c r="B47" i="2"/>
  <c r="C37" i="2"/>
  <c r="B37" i="2"/>
  <c r="C46" i="2"/>
  <c r="B46" i="2"/>
  <c r="C80" i="2"/>
  <c r="B80" i="2"/>
  <c r="C79" i="2"/>
  <c r="B79" i="2"/>
  <c r="C145" i="2"/>
  <c r="B145" i="2"/>
  <c r="C113" i="2"/>
  <c r="B113" i="2"/>
  <c r="C112" i="2"/>
  <c r="B112" i="2"/>
  <c r="C111" i="2"/>
  <c r="B111" i="2"/>
  <c r="C78" i="2"/>
  <c r="B78" i="2"/>
  <c r="C110" i="2"/>
  <c r="B110" i="2"/>
  <c r="C109" i="2"/>
  <c r="B109" i="2"/>
  <c r="C77" i="2"/>
  <c r="B77" i="2"/>
  <c r="C108" i="2"/>
  <c r="B108" i="2"/>
  <c r="C107" i="2"/>
  <c r="B107" i="2"/>
  <c r="C106" i="2"/>
  <c r="B106" i="2"/>
  <c r="C76" i="2"/>
  <c r="B76" i="2"/>
  <c r="C75" i="2"/>
  <c r="B75" i="2"/>
  <c r="C74" i="2"/>
  <c r="B74" i="2"/>
  <c r="C73" i="2"/>
  <c r="B73" i="2"/>
  <c r="C45" i="2"/>
  <c r="B45" i="2"/>
  <c r="C44" i="2"/>
  <c r="B44" i="2"/>
  <c r="C105" i="2"/>
  <c r="B105" i="2"/>
  <c r="C144" i="2"/>
  <c r="B144" i="2"/>
  <c r="C143" i="2"/>
  <c r="B143" i="2"/>
  <c r="C72" i="2"/>
  <c r="B72" i="2"/>
  <c r="C71" i="2"/>
  <c r="B71" i="2"/>
  <c r="C42" i="2"/>
  <c r="B42" i="2"/>
  <c r="C60" i="2"/>
  <c r="B60" i="2"/>
  <c r="C59" i="2"/>
  <c r="B59" i="2"/>
  <c r="C58" i="2"/>
  <c r="B58" i="2"/>
  <c r="C57" i="2"/>
  <c r="B57" i="2"/>
  <c r="C36" i="2"/>
  <c r="B36" i="2"/>
  <c r="C43" i="2"/>
  <c r="B43" i="2"/>
  <c r="C104" i="2"/>
  <c r="B104" i="2"/>
  <c r="C142" i="2"/>
  <c r="B142" i="2"/>
  <c r="C70" i="2"/>
  <c r="B70" i="2"/>
  <c r="C69" i="2"/>
  <c r="B69" i="2"/>
  <c r="C141" i="2"/>
  <c r="B141" i="2"/>
  <c r="C97" i="2"/>
  <c r="B97" i="2"/>
  <c r="C56" i="2"/>
  <c r="B56" i="2"/>
  <c r="C140" i="2"/>
  <c r="B140" i="2"/>
  <c r="C103" i="2"/>
  <c r="B103" i="2"/>
  <c r="C102" i="2"/>
  <c r="B102" i="2"/>
  <c r="C101" i="2"/>
  <c r="B101" i="2"/>
  <c r="C100" i="2"/>
  <c r="B100" i="2"/>
  <c r="C139" i="2"/>
  <c r="B139" i="2"/>
  <c r="C138" i="2"/>
  <c r="B138" i="2"/>
  <c r="B163" i="9"/>
  <c r="C163" i="9"/>
  <c r="E185" i="4"/>
  <c r="F185" i="4"/>
  <c r="G185" i="4"/>
  <c r="E146" i="4"/>
  <c r="F146" i="4"/>
  <c r="G146" i="4"/>
  <c r="E147" i="4"/>
  <c r="F147" i="4"/>
  <c r="G147" i="4"/>
  <c r="E148" i="4"/>
  <c r="F148" i="4"/>
  <c r="G148" i="4"/>
  <c r="E149" i="4"/>
  <c r="F149" i="4"/>
  <c r="G149" i="4"/>
  <c r="E186" i="4"/>
  <c r="F186" i="4"/>
  <c r="G186" i="4"/>
  <c r="E102" i="4"/>
  <c r="F102" i="4"/>
  <c r="G102" i="4"/>
  <c r="E143" i="4"/>
  <c r="F143" i="4"/>
  <c r="G143" i="4"/>
  <c r="E187" i="4"/>
  <c r="F187" i="4"/>
  <c r="G187" i="4"/>
  <c r="E115" i="4"/>
  <c r="F115" i="4"/>
  <c r="G115" i="4"/>
  <c r="E116" i="4"/>
  <c r="F116" i="4"/>
  <c r="G116" i="4"/>
  <c r="E188" i="4"/>
  <c r="F188" i="4"/>
  <c r="G188" i="4"/>
  <c r="E150" i="4"/>
  <c r="F150" i="4"/>
  <c r="G150" i="4"/>
  <c r="E89" i="4"/>
  <c r="F89" i="4"/>
  <c r="G89" i="4"/>
  <c r="E82" i="4"/>
  <c r="F82" i="4"/>
  <c r="G82" i="4"/>
  <c r="E103" i="4"/>
  <c r="F103" i="4"/>
  <c r="G103" i="4"/>
  <c r="E104" i="4"/>
  <c r="F104" i="4"/>
  <c r="G104" i="4"/>
  <c r="E105" i="4"/>
  <c r="F105" i="4"/>
  <c r="G105" i="4"/>
  <c r="E106" i="4"/>
  <c r="F106" i="4"/>
  <c r="G106" i="4"/>
  <c r="E88" i="4"/>
  <c r="F88" i="4"/>
  <c r="G88" i="4"/>
  <c r="E117" i="4"/>
  <c r="F117" i="4"/>
  <c r="G117" i="4"/>
  <c r="E118" i="4"/>
  <c r="F118" i="4"/>
  <c r="G118" i="4"/>
  <c r="E189" i="4"/>
  <c r="F189" i="4"/>
  <c r="G189" i="4"/>
  <c r="E190" i="4"/>
  <c r="F190" i="4"/>
  <c r="G190" i="4"/>
  <c r="E151" i="4"/>
  <c r="F151" i="4"/>
  <c r="G151" i="4"/>
  <c r="E90" i="4"/>
  <c r="F90" i="4"/>
  <c r="G90" i="4"/>
  <c r="E91" i="4"/>
  <c r="F91" i="4"/>
  <c r="G91" i="4"/>
  <c r="E119" i="4"/>
  <c r="F119" i="4"/>
  <c r="G119" i="4"/>
  <c r="E120" i="4"/>
  <c r="F120" i="4"/>
  <c r="G120" i="4"/>
  <c r="E121" i="4"/>
  <c r="F121" i="4"/>
  <c r="G121" i="4"/>
  <c r="E122" i="4"/>
  <c r="F122" i="4"/>
  <c r="G122" i="4"/>
  <c r="E152" i="4"/>
  <c r="F152" i="4"/>
  <c r="G152" i="4"/>
  <c r="E153" i="4"/>
  <c r="F153" i="4"/>
  <c r="G153" i="4"/>
  <c r="E154" i="4"/>
  <c r="F154" i="4"/>
  <c r="G154" i="4"/>
  <c r="E123" i="4"/>
  <c r="F123" i="4"/>
  <c r="G123" i="4"/>
  <c r="E155" i="4"/>
  <c r="F155" i="4"/>
  <c r="G155" i="4"/>
  <c r="E156" i="4"/>
  <c r="F156" i="4"/>
  <c r="G156" i="4"/>
  <c r="E124" i="4"/>
  <c r="F124" i="4"/>
  <c r="G124" i="4"/>
  <c r="E157" i="4"/>
  <c r="F157" i="4"/>
  <c r="G157" i="4"/>
  <c r="E158" i="4"/>
  <c r="F158" i="4"/>
  <c r="G158" i="4"/>
  <c r="E159" i="4"/>
  <c r="F159" i="4"/>
  <c r="G159" i="4"/>
  <c r="E191" i="4"/>
  <c r="F191" i="4"/>
  <c r="G191" i="4"/>
  <c r="E125" i="4"/>
  <c r="F125" i="4"/>
  <c r="G125" i="4"/>
  <c r="E126" i="4"/>
  <c r="F126" i="4"/>
  <c r="G126" i="4"/>
  <c r="E92" i="4"/>
  <c r="F92" i="4"/>
  <c r="G92" i="4"/>
  <c r="E83" i="4"/>
  <c r="F83" i="4"/>
  <c r="G83" i="4"/>
  <c r="E93" i="4"/>
  <c r="F93" i="4"/>
  <c r="G93" i="4"/>
  <c r="E177" i="4"/>
  <c r="F177" i="4"/>
  <c r="G177" i="4"/>
  <c r="E192" i="4"/>
  <c r="F192" i="4"/>
  <c r="G192" i="4"/>
  <c r="E175" i="4"/>
  <c r="F175" i="4"/>
  <c r="G175" i="4"/>
  <c r="E193" i="4"/>
  <c r="F193" i="4"/>
  <c r="G193" i="4"/>
  <c r="E107" i="4"/>
  <c r="F107" i="4"/>
  <c r="G107" i="4"/>
  <c r="E194" i="4"/>
  <c r="F194" i="4"/>
  <c r="G194" i="4"/>
  <c r="E127" i="4"/>
  <c r="F127" i="4"/>
  <c r="G127" i="4"/>
  <c r="E128" i="4"/>
  <c r="F128" i="4"/>
  <c r="G128" i="4"/>
  <c r="E129" i="4"/>
  <c r="F129" i="4"/>
  <c r="G129" i="4"/>
  <c r="E130" i="4"/>
  <c r="F130" i="4"/>
  <c r="G130" i="4"/>
  <c r="E131" i="4"/>
  <c r="F131" i="4"/>
  <c r="G131" i="4"/>
  <c r="E132" i="4"/>
  <c r="F132" i="4"/>
  <c r="G132" i="4"/>
  <c r="E94" i="4"/>
  <c r="F94" i="4"/>
  <c r="G94" i="4"/>
  <c r="E95" i="4"/>
  <c r="F95" i="4"/>
  <c r="G95" i="4"/>
  <c r="E195" i="4"/>
  <c r="F195" i="4"/>
  <c r="G195" i="4"/>
  <c r="E196" i="4"/>
  <c r="F196" i="4"/>
  <c r="G196" i="4"/>
  <c r="E160" i="4"/>
  <c r="F160" i="4"/>
  <c r="G160" i="4"/>
  <c r="E84" i="4"/>
  <c r="F84" i="4"/>
  <c r="G84" i="4"/>
  <c r="E108" i="4"/>
  <c r="F108" i="4"/>
  <c r="G108" i="4"/>
  <c r="E161" i="4"/>
  <c r="F161" i="4"/>
  <c r="G161" i="4"/>
  <c r="E109" i="4"/>
  <c r="F109" i="4"/>
  <c r="G109" i="4"/>
  <c r="E110" i="4"/>
  <c r="F110" i="4"/>
  <c r="G110" i="4"/>
  <c r="E176" i="4"/>
  <c r="F176" i="4"/>
  <c r="G176" i="4"/>
  <c r="E133" i="4"/>
  <c r="F133" i="4"/>
  <c r="G133" i="4"/>
  <c r="E96" i="4"/>
  <c r="F96" i="4"/>
  <c r="G96" i="4"/>
  <c r="E134" i="4"/>
  <c r="F134" i="4"/>
  <c r="G134" i="4"/>
  <c r="E178" i="4"/>
  <c r="F178" i="4"/>
  <c r="G178" i="4"/>
  <c r="E179" i="4"/>
  <c r="F179" i="4"/>
  <c r="G179" i="4"/>
  <c r="E144" i="4"/>
  <c r="F144" i="4"/>
  <c r="G144" i="4"/>
  <c r="E180" i="4"/>
  <c r="F180" i="4"/>
  <c r="G180" i="4"/>
  <c r="E145" i="4"/>
  <c r="F145" i="4"/>
  <c r="G145" i="4"/>
  <c r="E135" i="4"/>
  <c r="F135" i="4"/>
  <c r="G135" i="4"/>
  <c r="E162" i="4"/>
  <c r="F162" i="4"/>
  <c r="G162" i="4"/>
  <c r="E163" i="4"/>
  <c r="F163" i="4"/>
  <c r="G163" i="4"/>
  <c r="E85" i="4"/>
  <c r="F85" i="4"/>
  <c r="G85" i="4"/>
  <c r="E97" i="4"/>
  <c r="F97" i="4"/>
  <c r="G97" i="4"/>
  <c r="E197" i="4"/>
  <c r="F197" i="4"/>
  <c r="G197" i="4"/>
  <c r="E181" i="4"/>
  <c r="F181" i="4"/>
  <c r="G181" i="4"/>
  <c r="E182" i="4"/>
  <c r="F182" i="4"/>
  <c r="G182" i="4"/>
  <c r="E98" i="4"/>
  <c r="F98" i="4"/>
  <c r="G98" i="4"/>
  <c r="E99" i="4"/>
  <c r="F99" i="4"/>
  <c r="G99" i="4"/>
  <c r="E164" i="4"/>
  <c r="F164" i="4"/>
  <c r="G164" i="4"/>
  <c r="E165" i="4"/>
  <c r="F165" i="4"/>
  <c r="G165" i="4"/>
  <c r="E166" i="4"/>
  <c r="F166" i="4"/>
  <c r="G166" i="4"/>
  <c r="E100" i="4"/>
  <c r="F100" i="4"/>
  <c r="G100" i="4"/>
  <c r="E86" i="4"/>
  <c r="F86" i="4"/>
  <c r="G86" i="4"/>
  <c r="E101" i="4"/>
  <c r="F101" i="4"/>
  <c r="G101" i="4"/>
  <c r="E136" i="4"/>
  <c r="F136" i="4"/>
  <c r="G136" i="4"/>
  <c r="E87" i="4"/>
  <c r="F87" i="4"/>
  <c r="G87" i="4"/>
  <c r="E111" i="4"/>
  <c r="F111" i="4"/>
  <c r="G111" i="4"/>
  <c r="E137" i="4"/>
  <c r="F137" i="4"/>
  <c r="G137" i="4"/>
  <c r="E167" i="4"/>
  <c r="F167" i="4"/>
  <c r="G167" i="4"/>
  <c r="E168" i="4"/>
  <c r="F168" i="4"/>
  <c r="G168" i="4"/>
  <c r="E112" i="4"/>
  <c r="F112" i="4"/>
  <c r="G112" i="4"/>
  <c r="E113" i="4"/>
  <c r="F113" i="4"/>
  <c r="G113" i="4"/>
  <c r="E114" i="4"/>
  <c r="F114" i="4"/>
  <c r="G114" i="4"/>
  <c r="E169" i="4"/>
  <c r="F169" i="4"/>
  <c r="G169" i="4"/>
  <c r="E170" i="4"/>
  <c r="F170" i="4"/>
  <c r="G170" i="4"/>
  <c r="E198" i="4"/>
  <c r="F198" i="4"/>
  <c r="G198" i="4"/>
  <c r="E171" i="4"/>
  <c r="F171" i="4"/>
  <c r="G171" i="4"/>
  <c r="E199" i="4"/>
  <c r="F199" i="4"/>
  <c r="G199" i="4"/>
  <c r="E172" i="4"/>
  <c r="F172" i="4"/>
  <c r="G172" i="4"/>
  <c r="E200" i="4"/>
  <c r="F200" i="4"/>
  <c r="G200" i="4"/>
  <c r="E138" i="4"/>
  <c r="F138" i="4"/>
  <c r="G138" i="4"/>
  <c r="E173" i="4"/>
  <c r="F173" i="4"/>
  <c r="G173" i="4"/>
  <c r="E201" i="4"/>
  <c r="F201" i="4"/>
  <c r="G201" i="4"/>
  <c r="E183" i="4"/>
  <c r="F183" i="4"/>
  <c r="G183" i="4"/>
  <c r="E139" i="4"/>
  <c r="F139" i="4"/>
  <c r="G139" i="4"/>
  <c r="E140" i="4"/>
  <c r="F140" i="4"/>
  <c r="G140" i="4"/>
  <c r="E141" i="4"/>
  <c r="F141" i="4"/>
  <c r="G141" i="4"/>
  <c r="E142" i="4"/>
  <c r="F142" i="4"/>
  <c r="G142" i="4"/>
  <c r="E174" i="4"/>
  <c r="F174" i="4"/>
  <c r="G174" i="4"/>
  <c r="G184" i="4"/>
  <c r="F184" i="4"/>
  <c r="E184" i="4"/>
  <c r="B210" i="4"/>
  <c r="C210" i="4"/>
  <c r="E210" i="4"/>
  <c r="F210" i="4"/>
  <c r="B211" i="4"/>
  <c r="C211" i="4"/>
  <c r="E211" i="4"/>
  <c r="F211" i="4"/>
  <c r="B212" i="4"/>
  <c r="C212" i="4"/>
  <c r="E212" i="4"/>
  <c r="F212" i="4"/>
  <c r="B213" i="4"/>
  <c r="C213" i="4"/>
  <c r="E213" i="4"/>
  <c r="F213" i="4"/>
  <c r="B214" i="4"/>
  <c r="C214" i="4"/>
  <c r="E214" i="4"/>
  <c r="F214" i="4"/>
  <c r="B215" i="4"/>
  <c r="C215" i="4"/>
  <c r="E215" i="4"/>
  <c r="F215" i="4"/>
  <c r="B216" i="4"/>
  <c r="C216" i="4"/>
  <c r="E216" i="4"/>
  <c r="F216" i="4"/>
  <c r="B217" i="4"/>
  <c r="C217" i="4"/>
  <c r="E217" i="4"/>
  <c r="F217" i="4"/>
  <c r="B218" i="4"/>
  <c r="C218" i="4"/>
  <c r="E218" i="4"/>
  <c r="F218" i="4"/>
  <c r="B219" i="4"/>
  <c r="C219" i="4"/>
  <c r="E219" i="4"/>
  <c r="F219" i="4"/>
  <c r="B220" i="4"/>
  <c r="C220" i="4"/>
  <c r="E220" i="4"/>
  <c r="F220" i="4"/>
  <c r="B221" i="4"/>
  <c r="C221" i="4"/>
  <c r="E221" i="4"/>
  <c r="F221" i="4"/>
  <c r="B222" i="4"/>
  <c r="C222" i="4"/>
  <c r="E222" i="4"/>
  <c r="F222" i="4"/>
  <c r="B223" i="4"/>
  <c r="C223" i="4"/>
  <c r="E223" i="4"/>
  <c r="F223" i="4"/>
  <c r="B224" i="4"/>
  <c r="C224" i="4"/>
  <c r="E224" i="4"/>
  <c r="F224" i="4"/>
  <c r="B225" i="4"/>
  <c r="C225" i="4"/>
  <c r="E225" i="4"/>
  <c r="F225" i="4"/>
  <c r="B226" i="4"/>
  <c r="C226" i="4"/>
  <c r="E226" i="4"/>
  <c r="F226" i="4"/>
  <c r="B227" i="4"/>
  <c r="C227" i="4"/>
  <c r="E227" i="4"/>
  <c r="F227" i="4"/>
  <c r="B228" i="4"/>
  <c r="C228" i="4"/>
  <c r="E228" i="4"/>
  <c r="F228" i="4"/>
  <c r="B229" i="4"/>
  <c r="C229" i="4"/>
  <c r="E229" i="4"/>
  <c r="F229" i="4"/>
  <c r="B230" i="4"/>
  <c r="C230" i="4"/>
  <c r="E230" i="4"/>
  <c r="F230" i="4"/>
  <c r="B231" i="4"/>
  <c r="C231" i="4"/>
  <c r="E231" i="4"/>
  <c r="F231" i="4"/>
  <c r="B232" i="4"/>
  <c r="C232" i="4"/>
  <c r="E232" i="4"/>
  <c r="F232" i="4"/>
  <c r="B233" i="4"/>
  <c r="C233" i="4"/>
  <c r="E233" i="4"/>
  <c r="F233" i="4"/>
  <c r="B234" i="4"/>
  <c r="C234" i="4"/>
  <c r="E234" i="4"/>
  <c r="F234" i="4"/>
  <c r="B235" i="4"/>
  <c r="C235" i="4"/>
  <c r="E235" i="4"/>
  <c r="F235" i="4"/>
  <c r="B236" i="4"/>
  <c r="C236" i="4"/>
  <c r="E236" i="4"/>
  <c r="F236" i="4"/>
  <c r="B237" i="4"/>
  <c r="C237" i="4"/>
  <c r="E237" i="4"/>
  <c r="F237" i="4"/>
  <c r="B238" i="4"/>
  <c r="C238" i="4"/>
  <c r="E238" i="4"/>
  <c r="F238" i="4"/>
  <c r="B239" i="4"/>
  <c r="C239" i="4"/>
  <c r="E239" i="4"/>
  <c r="F239" i="4"/>
  <c r="B240" i="4"/>
  <c r="C240" i="4"/>
  <c r="E240" i="4"/>
  <c r="F240" i="4"/>
  <c r="B241" i="4"/>
  <c r="C241" i="4"/>
  <c r="E241" i="4"/>
  <c r="F241" i="4"/>
  <c r="B242" i="4"/>
  <c r="C242" i="4"/>
  <c r="E242" i="4"/>
  <c r="F242" i="4"/>
  <c r="B243" i="4"/>
  <c r="C243" i="4"/>
  <c r="E243" i="4"/>
  <c r="F243" i="4"/>
  <c r="B244" i="4"/>
  <c r="C244" i="4"/>
  <c r="E244" i="4"/>
  <c r="F244" i="4"/>
  <c r="B245" i="4"/>
  <c r="C245" i="4"/>
  <c r="E245" i="4"/>
  <c r="F245" i="4"/>
  <c r="B246" i="4"/>
  <c r="C246" i="4"/>
  <c r="E246" i="4"/>
  <c r="F246" i="4"/>
  <c r="B247" i="4"/>
  <c r="C247" i="4"/>
  <c r="E247" i="4"/>
  <c r="F247" i="4"/>
  <c r="B248" i="4"/>
  <c r="C248" i="4"/>
  <c r="E248" i="4"/>
  <c r="F248" i="4"/>
  <c r="B249" i="4"/>
  <c r="C249" i="4"/>
  <c r="E249" i="4"/>
  <c r="F249" i="4"/>
  <c r="B250" i="4"/>
  <c r="C250" i="4"/>
  <c r="E250" i="4"/>
  <c r="F250" i="4"/>
  <c r="B251" i="4"/>
  <c r="C251" i="4"/>
  <c r="E251" i="4"/>
  <c r="F251" i="4"/>
  <c r="B252" i="4"/>
  <c r="C252" i="4"/>
  <c r="E252" i="4"/>
  <c r="F252" i="4"/>
  <c r="B253" i="4"/>
  <c r="C253" i="4"/>
  <c r="E253" i="4"/>
  <c r="F253" i="4"/>
  <c r="B254" i="4"/>
  <c r="C254" i="4"/>
  <c r="E254" i="4"/>
  <c r="F254" i="4"/>
  <c r="B255" i="4"/>
  <c r="C255" i="4"/>
  <c r="E255" i="4"/>
  <c r="F255" i="4"/>
  <c r="B256" i="4"/>
  <c r="C256" i="4"/>
  <c r="E256" i="4"/>
  <c r="F256" i="4"/>
  <c r="B257" i="4"/>
  <c r="C257" i="4"/>
  <c r="E257" i="4"/>
  <c r="F257" i="4"/>
  <c r="B258" i="4"/>
  <c r="C258" i="4"/>
  <c r="E258" i="4"/>
  <c r="F258" i="4"/>
  <c r="B259" i="4"/>
  <c r="C259" i="4"/>
  <c r="E259" i="4"/>
  <c r="F259" i="4"/>
  <c r="B260" i="4"/>
  <c r="C260" i="4"/>
  <c r="E260" i="4"/>
  <c r="F260" i="4"/>
  <c r="B261" i="4"/>
  <c r="C261" i="4"/>
  <c r="E261" i="4"/>
  <c r="F261" i="4"/>
  <c r="B262" i="4"/>
  <c r="C262" i="4"/>
  <c r="E262" i="4"/>
  <c r="F262" i="4"/>
  <c r="B263" i="4"/>
  <c r="C263" i="4"/>
  <c r="E263" i="4"/>
  <c r="F263" i="4"/>
  <c r="B264" i="4"/>
  <c r="C264" i="4"/>
  <c r="E264" i="4"/>
  <c r="F264" i="4"/>
  <c r="B265" i="4"/>
  <c r="C265" i="4"/>
  <c r="E265" i="4"/>
  <c r="F265" i="4"/>
  <c r="B266" i="4"/>
  <c r="C266" i="4"/>
  <c r="E266" i="4"/>
  <c r="F266" i="4"/>
  <c r="B267" i="4"/>
  <c r="C267" i="4"/>
  <c r="E267" i="4"/>
  <c r="F267" i="4"/>
  <c r="B268" i="4"/>
  <c r="C268" i="4"/>
  <c r="E268" i="4"/>
  <c r="F268" i="4"/>
  <c r="B269" i="4"/>
  <c r="C269" i="4"/>
  <c r="E269" i="4"/>
  <c r="F269" i="4"/>
  <c r="B270" i="4"/>
  <c r="C270" i="4"/>
  <c r="E270" i="4"/>
  <c r="F270" i="4"/>
  <c r="B271" i="4"/>
  <c r="C271" i="4"/>
  <c r="E271" i="4"/>
  <c r="F271" i="4"/>
  <c r="B272" i="4"/>
  <c r="C272" i="4"/>
  <c r="E272" i="4"/>
  <c r="F272" i="4"/>
  <c r="B273" i="4"/>
  <c r="C273" i="4"/>
  <c r="E273" i="4"/>
  <c r="F273" i="4"/>
  <c r="B274" i="4"/>
  <c r="C274" i="4"/>
  <c r="E274" i="4"/>
  <c r="F274" i="4"/>
  <c r="B275" i="4"/>
  <c r="C275" i="4"/>
  <c r="E275" i="4"/>
  <c r="F275" i="4"/>
  <c r="B276" i="4"/>
  <c r="C276" i="4"/>
  <c r="E276" i="4"/>
  <c r="F276" i="4"/>
  <c r="B277" i="4"/>
  <c r="C277" i="4"/>
  <c r="E277" i="4"/>
  <c r="F277" i="4"/>
  <c r="B278" i="4"/>
  <c r="C278" i="4"/>
  <c r="E278" i="4"/>
  <c r="F278" i="4"/>
  <c r="B279" i="4"/>
  <c r="C279" i="4"/>
  <c r="E279" i="4"/>
  <c r="F279" i="4"/>
  <c r="B280" i="4"/>
  <c r="C280" i="4"/>
  <c r="E280" i="4"/>
  <c r="F280" i="4"/>
  <c r="B281" i="4"/>
  <c r="C281" i="4"/>
  <c r="E281" i="4"/>
  <c r="F281" i="4"/>
  <c r="B282" i="4"/>
  <c r="C282" i="4"/>
  <c r="E282" i="4"/>
  <c r="F282" i="4"/>
  <c r="B283" i="4"/>
  <c r="C283" i="4"/>
  <c r="E283" i="4"/>
  <c r="F283" i="4"/>
  <c r="B284" i="4"/>
  <c r="C284" i="4"/>
  <c r="E284" i="4"/>
  <c r="F284" i="4"/>
  <c r="B285" i="4"/>
  <c r="C285" i="4"/>
  <c r="E285" i="4"/>
  <c r="F285" i="4"/>
  <c r="B286" i="4"/>
  <c r="C286" i="4"/>
  <c r="E286" i="4"/>
  <c r="F286" i="4"/>
  <c r="B287" i="4"/>
  <c r="C287" i="4"/>
  <c r="E287" i="4"/>
  <c r="F287" i="4"/>
  <c r="B288" i="4"/>
  <c r="C288" i="4"/>
  <c r="E288" i="4"/>
  <c r="F288" i="4"/>
  <c r="B289" i="4"/>
  <c r="C289" i="4"/>
  <c r="E289" i="4"/>
  <c r="F289" i="4"/>
  <c r="B290" i="4"/>
  <c r="C290" i="4"/>
  <c r="E290" i="4"/>
  <c r="F290" i="4"/>
  <c r="B291" i="4"/>
  <c r="C291" i="4"/>
  <c r="E291" i="4"/>
  <c r="F291" i="4"/>
  <c r="B292" i="4"/>
  <c r="C292" i="4"/>
  <c r="E292" i="4"/>
  <c r="F292" i="4"/>
  <c r="B293" i="4"/>
  <c r="C293" i="4"/>
  <c r="E293" i="4"/>
  <c r="F293" i="4"/>
  <c r="B294" i="4"/>
  <c r="C294" i="4"/>
  <c r="E294" i="4"/>
  <c r="F294" i="4"/>
  <c r="B295" i="4"/>
  <c r="C295" i="4"/>
  <c r="E295" i="4"/>
  <c r="F295" i="4"/>
  <c r="B296" i="4"/>
  <c r="C296" i="4"/>
  <c r="E296" i="4"/>
  <c r="F296" i="4"/>
  <c r="B297" i="4"/>
  <c r="C297" i="4"/>
  <c r="E297" i="4"/>
  <c r="F297" i="4"/>
  <c r="B298" i="4"/>
  <c r="C298" i="4"/>
  <c r="E298" i="4"/>
  <c r="F298" i="4"/>
  <c r="B299" i="4"/>
  <c r="C299" i="4"/>
  <c r="E299" i="4"/>
  <c r="F299" i="4"/>
  <c r="B300" i="4"/>
  <c r="C300" i="4"/>
  <c r="E300" i="4"/>
  <c r="F300" i="4"/>
  <c r="B301" i="4"/>
  <c r="C301" i="4"/>
  <c r="E301" i="4"/>
  <c r="F301" i="4"/>
  <c r="B302" i="4"/>
  <c r="C302" i="4"/>
  <c r="E302" i="4"/>
  <c r="F302" i="4"/>
  <c r="B303" i="4"/>
  <c r="C303" i="4"/>
  <c r="E303" i="4"/>
  <c r="F303" i="4"/>
  <c r="B304" i="4"/>
  <c r="C304" i="4"/>
  <c r="E304" i="4"/>
  <c r="F304" i="4"/>
  <c r="B305" i="4"/>
  <c r="C305" i="4"/>
  <c r="E305" i="4"/>
  <c r="F305" i="4"/>
  <c r="B306" i="4"/>
  <c r="C306" i="4"/>
  <c r="E306" i="4"/>
  <c r="F306" i="4"/>
  <c r="B307" i="4"/>
  <c r="C307" i="4"/>
  <c r="E307" i="4"/>
  <c r="F307" i="4"/>
  <c r="B308" i="4"/>
  <c r="C308" i="4"/>
  <c r="E308" i="4"/>
  <c r="F308" i="4"/>
  <c r="B309" i="4"/>
  <c r="C309" i="4"/>
  <c r="E309" i="4"/>
  <c r="F309" i="4"/>
  <c r="B310" i="4"/>
  <c r="C310" i="4"/>
  <c r="E310" i="4"/>
  <c r="F310" i="4"/>
  <c r="B311" i="4"/>
  <c r="C311" i="4"/>
  <c r="E311" i="4"/>
  <c r="F311" i="4"/>
  <c r="B312" i="4"/>
  <c r="C312" i="4"/>
  <c r="E312" i="4"/>
  <c r="F312" i="4"/>
  <c r="B313" i="4"/>
  <c r="C313" i="4"/>
  <c r="E313" i="4"/>
  <c r="F313" i="4"/>
  <c r="B314" i="4"/>
  <c r="C314" i="4"/>
  <c r="E314" i="4"/>
  <c r="F314" i="4"/>
  <c r="B315" i="4"/>
  <c r="C315" i="4"/>
  <c r="E315" i="4"/>
  <c r="F315" i="4"/>
  <c r="B316" i="4"/>
  <c r="C316" i="4"/>
  <c r="E316" i="4"/>
  <c r="F316" i="4"/>
  <c r="B317" i="4"/>
  <c r="C317" i="4"/>
  <c r="E317" i="4"/>
  <c r="F317" i="4"/>
  <c r="B318" i="4"/>
  <c r="C318" i="4"/>
  <c r="E318" i="4"/>
  <c r="F318" i="4"/>
  <c r="B319" i="4"/>
  <c r="C319" i="4"/>
  <c r="E319" i="4"/>
  <c r="F319" i="4"/>
  <c r="B320" i="4"/>
  <c r="C320" i="4"/>
  <c r="E320" i="4"/>
  <c r="F320" i="4"/>
  <c r="B321" i="4"/>
  <c r="C321" i="4"/>
  <c r="E321" i="4"/>
  <c r="F321" i="4"/>
  <c r="B322" i="4"/>
  <c r="C322" i="4"/>
  <c r="E322" i="4"/>
  <c r="F322" i="4"/>
  <c r="B323" i="4"/>
  <c r="C323" i="4"/>
  <c r="E323" i="4"/>
  <c r="F323" i="4"/>
  <c r="B324" i="4"/>
  <c r="C324" i="4"/>
  <c r="E324" i="4"/>
  <c r="F324" i="4"/>
  <c r="B325" i="4"/>
  <c r="C325" i="4"/>
  <c r="E325" i="4"/>
  <c r="F325" i="4"/>
  <c r="B326" i="4"/>
  <c r="C326" i="4"/>
  <c r="E326" i="4"/>
  <c r="F326" i="4"/>
  <c r="B327" i="4"/>
  <c r="C327" i="4"/>
  <c r="E327" i="4"/>
  <c r="F327" i="4"/>
  <c r="B328" i="4"/>
  <c r="C328" i="4"/>
  <c r="E328" i="4"/>
  <c r="F328" i="4"/>
  <c r="B329" i="4"/>
  <c r="C329" i="4"/>
  <c r="E329" i="4"/>
  <c r="F329" i="4"/>
  <c r="B330" i="4"/>
  <c r="C330" i="4"/>
  <c r="E330" i="4"/>
  <c r="F330" i="4"/>
  <c r="B331" i="4"/>
  <c r="C331" i="4"/>
  <c r="E331" i="4"/>
  <c r="F331" i="4"/>
  <c r="B332" i="4"/>
  <c r="C332" i="4"/>
  <c r="E332" i="4"/>
  <c r="F332" i="4"/>
  <c r="B333" i="4"/>
  <c r="C333" i="4"/>
  <c r="E333" i="4"/>
  <c r="F333" i="4"/>
  <c r="B334" i="4"/>
  <c r="C334" i="4"/>
  <c r="E334" i="4"/>
  <c r="F334" i="4"/>
  <c r="B335" i="4"/>
  <c r="C335" i="4"/>
  <c r="E335" i="4"/>
  <c r="F335" i="4"/>
  <c r="B336" i="4"/>
  <c r="C336" i="4"/>
  <c r="E336" i="4"/>
  <c r="F336" i="4"/>
  <c r="B337" i="4"/>
  <c r="C337" i="4"/>
  <c r="E337" i="4"/>
  <c r="F337" i="4"/>
  <c r="B338" i="4"/>
  <c r="C338" i="4"/>
  <c r="E338" i="4"/>
  <c r="F338" i="4"/>
  <c r="B339" i="4"/>
  <c r="C339" i="4"/>
  <c r="E339" i="4"/>
  <c r="F339" i="4"/>
  <c r="B340" i="4"/>
  <c r="C340" i="4"/>
  <c r="E340" i="4"/>
  <c r="F340" i="4"/>
  <c r="B341" i="4"/>
  <c r="C341" i="4"/>
  <c r="E341" i="4"/>
  <c r="F341" i="4"/>
  <c r="B342" i="4"/>
  <c r="C342" i="4"/>
  <c r="E342" i="4"/>
  <c r="F342" i="4"/>
  <c r="B343" i="4"/>
  <c r="C343" i="4"/>
  <c r="E343" i="4"/>
  <c r="F343" i="4"/>
  <c r="B344" i="4"/>
  <c r="C344" i="4"/>
  <c r="E344" i="4"/>
  <c r="F344" i="4"/>
  <c r="B345" i="4"/>
  <c r="C345" i="4"/>
  <c r="E345" i="4"/>
  <c r="F345" i="4"/>
  <c r="B346" i="4"/>
  <c r="C346" i="4"/>
  <c r="E346" i="4"/>
  <c r="F346" i="4"/>
  <c r="B347" i="4"/>
  <c r="C347" i="4"/>
  <c r="E347" i="4"/>
  <c r="F347" i="4"/>
  <c r="B348" i="4"/>
  <c r="C348" i="4"/>
  <c r="E348" i="4"/>
  <c r="F348" i="4"/>
  <c r="B349" i="4"/>
  <c r="C349" i="4"/>
  <c r="E349" i="4"/>
  <c r="F349" i="4"/>
  <c r="B350" i="4"/>
  <c r="C350" i="4"/>
  <c r="E350" i="4"/>
  <c r="F350" i="4"/>
  <c r="B351" i="4"/>
  <c r="C351" i="4"/>
  <c r="E351" i="4"/>
  <c r="F351" i="4"/>
  <c r="B352" i="4"/>
  <c r="C352" i="4"/>
  <c r="E352" i="4"/>
  <c r="F352" i="4"/>
  <c r="B353" i="4"/>
  <c r="C353" i="4"/>
  <c r="E353" i="4"/>
  <c r="F353" i="4"/>
  <c r="B354" i="4"/>
  <c r="C354" i="4"/>
  <c r="E354" i="4"/>
  <c r="F354" i="4"/>
  <c r="B355" i="4"/>
  <c r="C355" i="4"/>
  <c r="E355" i="4"/>
  <c r="F355" i="4"/>
  <c r="B356" i="4"/>
  <c r="C356" i="4"/>
  <c r="E356" i="4"/>
  <c r="F356" i="4"/>
  <c r="B357" i="4"/>
  <c r="C357" i="4"/>
  <c r="E357" i="4"/>
  <c r="F357" i="4"/>
  <c r="B358" i="4"/>
  <c r="C358" i="4"/>
  <c r="E358" i="4"/>
  <c r="F358" i="4"/>
  <c r="B359" i="4"/>
  <c r="C359" i="4"/>
  <c r="E359" i="4"/>
  <c r="F359" i="4"/>
  <c r="B360" i="4"/>
  <c r="C360" i="4"/>
  <c r="E360" i="4"/>
  <c r="F360" i="4"/>
  <c r="B361" i="4"/>
  <c r="C361" i="4"/>
  <c r="E361" i="4"/>
  <c r="F361" i="4"/>
  <c r="B362" i="4"/>
  <c r="C362" i="4"/>
  <c r="E362" i="4"/>
  <c r="F362" i="4"/>
  <c r="B363" i="4"/>
  <c r="C363" i="4"/>
  <c r="E363" i="4"/>
  <c r="F363" i="4"/>
  <c r="B364" i="4"/>
  <c r="C364" i="4"/>
  <c r="E364" i="4"/>
  <c r="F364" i="4"/>
  <c r="B365" i="4"/>
  <c r="C365" i="4"/>
  <c r="E365" i="4"/>
  <c r="F365" i="4"/>
  <c r="B366" i="4"/>
  <c r="C366" i="4"/>
  <c r="E366" i="4"/>
  <c r="F366" i="4"/>
  <c r="B367" i="4"/>
  <c r="C367" i="4"/>
  <c r="E367" i="4"/>
  <c r="F367" i="4"/>
  <c r="B368" i="4"/>
  <c r="C368" i="4"/>
  <c r="E368" i="4"/>
  <c r="F368" i="4"/>
  <c r="B369" i="4"/>
  <c r="C369" i="4"/>
  <c r="E369" i="4"/>
  <c r="F369" i="4"/>
  <c r="B370" i="4"/>
  <c r="C370" i="4"/>
  <c r="E370" i="4"/>
  <c r="F370" i="4"/>
  <c r="B371" i="4"/>
  <c r="C371" i="4"/>
  <c r="E371" i="4"/>
  <c r="F371" i="4"/>
  <c r="B372" i="4"/>
  <c r="C372" i="4"/>
  <c r="E372" i="4"/>
  <c r="F372" i="4"/>
  <c r="B373" i="4"/>
  <c r="C373" i="4"/>
  <c r="E373" i="4"/>
  <c r="F373" i="4"/>
  <c r="B374" i="4"/>
  <c r="C374" i="4"/>
  <c r="E374" i="4"/>
  <c r="F374" i="4"/>
  <c r="B375" i="4"/>
  <c r="C375" i="4"/>
  <c r="E375" i="4"/>
  <c r="F375" i="4"/>
  <c r="B376" i="4"/>
  <c r="C376" i="4"/>
  <c r="E376" i="4"/>
  <c r="F376" i="4"/>
  <c r="B377" i="4"/>
  <c r="C377" i="4"/>
  <c r="E377" i="4"/>
  <c r="F377" i="4"/>
  <c r="B378" i="4"/>
  <c r="C378" i="4"/>
  <c r="E378" i="4"/>
  <c r="F378" i="4"/>
  <c r="B379" i="4"/>
  <c r="C379" i="4"/>
  <c r="E379" i="4"/>
  <c r="F379" i="4"/>
  <c r="B380" i="4"/>
  <c r="C380" i="4"/>
  <c r="E380" i="4"/>
  <c r="F380" i="4"/>
  <c r="B381" i="4"/>
  <c r="C381" i="4"/>
  <c r="E381" i="4"/>
  <c r="F381" i="4"/>
  <c r="B382" i="4"/>
  <c r="C382" i="4"/>
  <c r="E382" i="4"/>
  <c r="F382" i="4"/>
  <c r="B383" i="4"/>
  <c r="C383" i="4"/>
  <c r="E383" i="4"/>
  <c r="F383" i="4"/>
  <c r="B384" i="4"/>
  <c r="C384" i="4"/>
  <c r="E384" i="4"/>
  <c r="F384" i="4"/>
  <c r="B385" i="4"/>
  <c r="C385" i="4"/>
  <c r="E385" i="4"/>
  <c r="F385" i="4"/>
  <c r="B386" i="4"/>
  <c r="C386" i="4"/>
  <c r="E386" i="4"/>
  <c r="F386" i="4"/>
  <c r="B387" i="4"/>
  <c r="C387" i="4"/>
  <c r="E387" i="4"/>
  <c r="F387" i="4"/>
  <c r="B388" i="4"/>
  <c r="C388" i="4"/>
  <c r="E388" i="4"/>
  <c r="F388" i="4"/>
  <c r="B389" i="4"/>
  <c r="C389" i="4"/>
  <c r="E389" i="4"/>
  <c r="F389" i="4"/>
  <c r="B390" i="4"/>
  <c r="C390" i="4"/>
  <c r="E390" i="4"/>
  <c r="F390" i="4"/>
  <c r="B391" i="4"/>
  <c r="C391" i="4"/>
  <c r="E391" i="4"/>
  <c r="F391" i="4"/>
  <c r="B392" i="4"/>
  <c r="C392" i="4"/>
  <c r="E392" i="4"/>
  <c r="F392" i="4"/>
  <c r="B393" i="4"/>
  <c r="C393" i="4"/>
  <c r="E393" i="4"/>
  <c r="F393" i="4"/>
  <c r="B394" i="4"/>
  <c r="C394" i="4"/>
  <c r="E394" i="4"/>
  <c r="F394" i="4"/>
  <c r="B395" i="4"/>
  <c r="C395" i="4"/>
  <c r="E395" i="4"/>
  <c r="F395" i="4"/>
  <c r="B396" i="4"/>
  <c r="C396" i="4"/>
  <c r="E396" i="4"/>
  <c r="F396" i="4"/>
  <c r="B397" i="4"/>
  <c r="C397" i="4"/>
  <c r="E397" i="4"/>
  <c r="F397" i="4"/>
  <c r="B398" i="4"/>
  <c r="C398" i="4"/>
  <c r="E398" i="4"/>
  <c r="F398" i="4"/>
  <c r="B399" i="4"/>
  <c r="C399" i="4"/>
  <c r="E399" i="4"/>
  <c r="F399" i="4"/>
  <c r="B400" i="4"/>
  <c r="C400" i="4"/>
  <c r="E400" i="4"/>
  <c r="F400" i="4"/>
  <c r="B401" i="4"/>
  <c r="C401" i="4"/>
  <c r="E401" i="4"/>
  <c r="F401" i="4"/>
  <c r="B402" i="4"/>
  <c r="C402" i="4"/>
  <c r="E402" i="4"/>
  <c r="F402" i="4"/>
  <c r="B403" i="4"/>
  <c r="C403" i="4"/>
  <c r="E403" i="4"/>
  <c r="F403" i="4"/>
  <c r="B404" i="4"/>
  <c r="C404" i="4"/>
  <c r="E404" i="4"/>
  <c r="F404" i="4"/>
  <c r="B405" i="4"/>
  <c r="C405" i="4"/>
  <c r="E405" i="4"/>
  <c r="F405" i="4"/>
  <c r="B406" i="4"/>
  <c r="C406" i="4"/>
  <c r="E406" i="4"/>
  <c r="F406" i="4"/>
  <c r="B407" i="4"/>
  <c r="C407" i="4"/>
  <c r="E407" i="4"/>
  <c r="F407" i="4"/>
  <c r="B408" i="4"/>
  <c r="C408" i="4"/>
  <c r="E408" i="4"/>
  <c r="F408" i="4"/>
  <c r="B409" i="4"/>
  <c r="C409" i="4"/>
  <c r="E409" i="4"/>
  <c r="F409" i="4"/>
  <c r="B410" i="4"/>
  <c r="C410" i="4"/>
  <c r="E410" i="4"/>
  <c r="F410" i="4"/>
  <c r="B411" i="4"/>
  <c r="C411" i="4"/>
  <c r="E411" i="4"/>
  <c r="F411" i="4"/>
  <c r="B412" i="4"/>
  <c r="C412" i="4"/>
  <c r="E412" i="4"/>
  <c r="F412" i="4"/>
  <c r="B413" i="4"/>
  <c r="C413" i="4"/>
  <c r="E413" i="4"/>
  <c r="F413" i="4"/>
  <c r="B414" i="4"/>
  <c r="C414" i="4"/>
  <c r="E414" i="4"/>
  <c r="F414" i="4"/>
  <c r="B415" i="4"/>
  <c r="C415" i="4"/>
  <c r="E415" i="4"/>
  <c r="F415" i="4"/>
  <c r="B416" i="4"/>
  <c r="C416" i="4"/>
  <c r="E416" i="4"/>
  <c r="F416" i="4"/>
  <c r="B417" i="4"/>
  <c r="C417" i="4"/>
  <c r="E417" i="4"/>
  <c r="F417" i="4"/>
  <c r="B418" i="4"/>
  <c r="C418" i="4"/>
  <c r="E418" i="4"/>
  <c r="F418" i="4"/>
  <c r="B419" i="4"/>
  <c r="C419" i="4"/>
  <c r="E419" i="4"/>
  <c r="F419" i="4"/>
  <c r="B420" i="4"/>
  <c r="C420" i="4"/>
  <c r="E420" i="4"/>
  <c r="F420" i="4"/>
  <c r="B421" i="4"/>
  <c r="C421" i="4"/>
  <c r="E421" i="4"/>
  <c r="F421" i="4"/>
  <c r="B422" i="4"/>
  <c r="C422" i="4"/>
  <c r="E422" i="4"/>
  <c r="F422" i="4"/>
  <c r="B423" i="4"/>
  <c r="C423" i="4"/>
  <c r="E423" i="4"/>
  <c r="F423" i="4"/>
  <c r="B424" i="4"/>
  <c r="C424" i="4"/>
  <c r="E424" i="4"/>
  <c r="F424" i="4"/>
  <c r="B425" i="4"/>
  <c r="C425" i="4"/>
  <c r="E425" i="4"/>
  <c r="F425" i="4"/>
  <c r="B426" i="4"/>
  <c r="C426" i="4"/>
  <c r="E426" i="4"/>
  <c r="F426" i="4"/>
  <c r="B427" i="4"/>
  <c r="C427" i="4"/>
  <c r="E427" i="4"/>
  <c r="F427" i="4"/>
  <c r="B428" i="4"/>
  <c r="C428" i="4"/>
  <c r="E428" i="4"/>
  <c r="F428" i="4"/>
  <c r="B429" i="4"/>
  <c r="C429" i="4"/>
  <c r="E429" i="4"/>
  <c r="F429" i="4"/>
  <c r="B430" i="4"/>
  <c r="C430" i="4"/>
  <c r="E430" i="4"/>
  <c r="F430" i="4"/>
  <c r="B431" i="4"/>
  <c r="C431" i="4"/>
  <c r="E431" i="4"/>
  <c r="F431" i="4"/>
  <c r="B432" i="4"/>
  <c r="C432" i="4"/>
  <c r="E432" i="4"/>
  <c r="F432" i="4"/>
  <c r="F209" i="4"/>
  <c r="E209" i="4"/>
  <c r="C209" i="4"/>
  <c r="B209" i="4"/>
  <c r="B185" i="4"/>
  <c r="C185" i="4"/>
  <c r="B146" i="4"/>
  <c r="C146" i="4"/>
  <c r="B147" i="4"/>
  <c r="C147" i="4"/>
  <c r="B148" i="4"/>
  <c r="C148" i="4"/>
  <c r="B149" i="4"/>
  <c r="C149" i="4"/>
  <c r="B186" i="4"/>
  <c r="C186" i="4"/>
  <c r="B102" i="4"/>
  <c r="C102" i="4"/>
  <c r="B143" i="4"/>
  <c r="C143" i="4"/>
  <c r="B187" i="4"/>
  <c r="C187" i="4"/>
  <c r="B115" i="4"/>
  <c r="C115" i="4"/>
  <c r="B116" i="4"/>
  <c r="C116" i="4"/>
  <c r="B188" i="4"/>
  <c r="C188" i="4"/>
  <c r="B150" i="4"/>
  <c r="C150" i="4"/>
  <c r="B89" i="4"/>
  <c r="C89" i="4"/>
  <c r="B82" i="4"/>
  <c r="C82" i="4"/>
  <c r="B103" i="4"/>
  <c r="C103" i="4"/>
  <c r="B104" i="4"/>
  <c r="C104" i="4"/>
  <c r="B105" i="4"/>
  <c r="C105" i="4"/>
  <c r="B106" i="4"/>
  <c r="C106" i="4"/>
  <c r="B88" i="4"/>
  <c r="C88" i="4"/>
  <c r="B117" i="4"/>
  <c r="C117" i="4"/>
  <c r="B118" i="4"/>
  <c r="C118" i="4"/>
  <c r="B189" i="4"/>
  <c r="C189" i="4"/>
  <c r="B190" i="4"/>
  <c r="C190" i="4"/>
  <c r="B151" i="4"/>
  <c r="C151" i="4"/>
  <c r="B90" i="4"/>
  <c r="C90" i="4"/>
  <c r="B91" i="4"/>
  <c r="C91" i="4"/>
  <c r="B119" i="4"/>
  <c r="C119" i="4"/>
  <c r="B120" i="4"/>
  <c r="C120" i="4"/>
  <c r="B121" i="4"/>
  <c r="C121" i="4"/>
  <c r="B122" i="4"/>
  <c r="C122" i="4"/>
  <c r="B152" i="4"/>
  <c r="C152" i="4"/>
  <c r="B153" i="4"/>
  <c r="C153" i="4"/>
  <c r="B154" i="4"/>
  <c r="C154" i="4"/>
  <c r="B123" i="4"/>
  <c r="C123" i="4"/>
  <c r="B155" i="4"/>
  <c r="C155" i="4"/>
  <c r="B156" i="4"/>
  <c r="C156" i="4"/>
  <c r="B124" i="4"/>
  <c r="C124" i="4"/>
  <c r="B157" i="4"/>
  <c r="C157" i="4"/>
  <c r="B158" i="4"/>
  <c r="C158" i="4"/>
  <c r="B159" i="4"/>
  <c r="C159" i="4"/>
  <c r="B191" i="4"/>
  <c r="C191" i="4"/>
  <c r="B125" i="4"/>
  <c r="C125" i="4"/>
  <c r="B126" i="4"/>
  <c r="C126" i="4"/>
  <c r="B92" i="4"/>
  <c r="C92" i="4"/>
  <c r="B83" i="4"/>
  <c r="C83" i="4"/>
  <c r="B93" i="4"/>
  <c r="C93" i="4"/>
  <c r="B177" i="4"/>
  <c r="C177" i="4"/>
  <c r="B192" i="4"/>
  <c r="C192" i="4"/>
  <c r="B175" i="4"/>
  <c r="C175" i="4"/>
  <c r="B193" i="4"/>
  <c r="C193" i="4"/>
  <c r="B107" i="4"/>
  <c r="C107" i="4"/>
  <c r="B194" i="4"/>
  <c r="C194" i="4"/>
  <c r="B127" i="4"/>
  <c r="C127" i="4"/>
  <c r="B128" i="4"/>
  <c r="C128" i="4"/>
  <c r="B129" i="4"/>
  <c r="C129" i="4"/>
  <c r="B130" i="4"/>
  <c r="C130" i="4"/>
  <c r="B131" i="4"/>
  <c r="C131" i="4"/>
  <c r="B132" i="4"/>
  <c r="C132" i="4"/>
  <c r="B94" i="4"/>
  <c r="C94" i="4"/>
  <c r="B95" i="4"/>
  <c r="C95" i="4"/>
  <c r="B195" i="4"/>
  <c r="C195" i="4"/>
  <c r="B196" i="4"/>
  <c r="C196" i="4"/>
  <c r="B160" i="4"/>
  <c r="C160" i="4"/>
  <c r="B84" i="4"/>
  <c r="C84" i="4"/>
  <c r="B108" i="4"/>
  <c r="C108" i="4"/>
  <c r="B161" i="4"/>
  <c r="C161" i="4"/>
  <c r="B109" i="4"/>
  <c r="C109" i="4"/>
  <c r="B110" i="4"/>
  <c r="C110" i="4"/>
  <c r="B176" i="4"/>
  <c r="C176" i="4"/>
  <c r="B133" i="4"/>
  <c r="C133" i="4"/>
  <c r="B96" i="4"/>
  <c r="C96" i="4"/>
  <c r="B134" i="4"/>
  <c r="C134" i="4"/>
  <c r="B178" i="4"/>
  <c r="C178" i="4"/>
  <c r="B179" i="4"/>
  <c r="C179" i="4"/>
  <c r="B144" i="4"/>
  <c r="C144" i="4"/>
  <c r="B180" i="4"/>
  <c r="C180" i="4"/>
  <c r="B145" i="4"/>
  <c r="C145" i="4"/>
  <c r="B135" i="4"/>
  <c r="C135" i="4"/>
  <c r="B162" i="4"/>
  <c r="C162" i="4"/>
  <c r="B163" i="4"/>
  <c r="C163" i="4"/>
  <c r="B85" i="4"/>
  <c r="C85" i="4"/>
  <c r="B97" i="4"/>
  <c r="C97" i="4"/>
  <c r="B197" i="4"/>
  <c r="C197" i="4"/>
  <c r="B181" i="4"/>
  <c r="C181" i="4"/>
  <c r="B182" i="4"/>
  <c r="C182" i="4"/>
  <c r="B98" i="4"/>
  <c r="C98" i="4"/>
  <c r="B99" i="4"/>
  <c r="C99" i="4"/>
  <c r="B164" i="4"/>
  <c r="C164" i="4"/>
  <c r="B165" i="4"/>
  <c r="C165" i="4"/>
  <c r="B166" i="4"/>
  <c r="C166" i="4"/>
  <c r="B100" i="4"/>
  <c r="C100" i="4"/>
  <c r="B86" i="4"/>
  <c r="C86" i="4"/>
  <c r="B101" i="4"/>
  <c r="C101" i="4"/>
  <c r="B136" i="4"/>
  <c r="C136" i="4"/>
  <c r="B87" i="4"/>
  <c r="C87" i="4"/>
  <c r="B111" i="4"/>
  <c r="C111" i="4"/>
  <c r="B137" i="4"/>
  <c r="C137" i="4"/>
  <c r="B167" i="4"/>
  <c r="C167" i="4"/>
  <c r="B168" i="4"/>
  <c r="C168" i="4"/>
  <c r="B112" i="4"/>
  <c r="C112" i="4"/>
  <c r="B113" i="4"/>
  <c r="C113" i="4"/>
  <c r="B114" i="4"/>
  <c r="C114" i="4"/>
  <c r="B169" i="4"/>
  <c r="C169" i="4"/>
  <c r="B170" i="4"/>
  <c r="C170" i="4"/>
  <c r="B198" i="4"/>
  <c r="C198" i="4"/>
  <c r="B171" i="4"/>
  <c r="C171" i="4"/>
  <c r="B199" i="4"/>
  <c r="C199" i="4"/>
  <c r="B172" i="4"/>
  <c r="C172" i="4"/>
  <c r="B200" i="4"/>
  <c r="C200" i="4"/>
  <c r="B138" i="4"/>
  <c r="C138" i="4"/>
  <c r="B173" i="4"/>
  <c r="C173" i="4"/>
  <c r="B201" i="4"/>
  <c r="C201" i="4"/>
  <c r="B183" i="4"/>
  <c r="C183" i="4"/>
  <c r="B139" i="4"/>
  <c r="C139" i="4"/>
  <c r="B140" i="4"/>
  <c r="C140" i="4"/>
  <c r="B141" i="4"/>
  <c r="C141" i="4"/>
  <c r="B142" i="4"/>
  <c r="C142" i="4"/>
  <c r="B174" i="4"/>
  <c r="C174" i="4"/>
  <c r="C184" i="4"/>
  <c r="B184" i="4"/>
  <c r="E139" i="6"/>
  <c r="E100" i="6"/>
  <c r="E101" i="6"/>
  <c r="E102" i="6"/>
  <c r="E103" i="6"/>
  <c r="E140" i="6"/>
  <c r="E56" i="6"/>
  <c r="E97" i="6"/>
  <c r="E141" i="6"/>
  <c r="E69" i="6"/>
  <c r="E70" i="6"/>
  <c r="E142" i="6"/>
  <c r="E104" i="6"/>
  <c r="E43" i="6"/>
  <c r="E36" i="6"/>
  <c r="E57" i="6"/>
  <c r="E58" i="6"/>
  <c r="E59" i="6"/>
  <c r="E60" i="6"/>
  <c r="E42" i="6"/>
  <c r="E71" i="6"/>
  <c r="E72" i="6"/>
  <c r="E143" i="6"/>
  <c r="E144" i="6"/>
  <c r="E105" i="6"/>
  <c r="E44" i="6"/>
  <c r="E45" i="6"/>
  <c r="E73" i="6"/>
  <c r="E74" i="6"/>
  <c r="E75" i="6"/>
  <c r="E76" i="6"/>
  <c r="E106" i="6"/>
  <c r="E107" i="6"/>
  <c r="E108" i="6"/>
  <c r="E77" i="6"/>
  <c r="E109" i="6"/>
  <c r="E110" i="6"/>
  <c r="E78" i="6"/>
  <c r="E111" i="6"/>
  <c r="E112" i="6"/>
  <c r="E113" i="6"/>
  <c r="E145" i="6"/>
  <c r="E79" i="6"/>
  <c r="E80" i="6"/>
  <c r="E46" i="6"/>
  <c r="E37" i="6"/>
  <c r="E47" i="6"/>
  <c r="E131" i="6"/>
  <c r="E146" i="6"/>
  <c r="E129" i="6"/>
  <c r="E147" i="6"/>
  <c r="E61" i="6"/>
  <c r="E148" i="6"/>
  <c r="E81" i="6"/>
  <c r="E82" i="6"/>
  <c r="E83" i="6"/>
  <c r="E84" i="6"/>
  <c r="E85" i="6"/>
  <c r="E86" i="6"/>
  <c r="E48" i="6"/>
  <c r="E49" i="6"/>
  <c r="E149" i="6"/>
  <c r="E150" i="6"/>
  <c r="E114" i="6"/>
  <c r="E38" i="6"/>
  <c r="E62" i="6"/>
  <c r="E115" i="6"/>
  <c r="E63" i="6"/>
  <c r="E64" i="6"/>
  <c r="E130" i="6"/>
  <c r="E87" i="6"/>
  <c r="E50" i="6"/>
  <c r="E88" i="6"/>
  <c r="E132" i="6"/>
  <c r="E133" i="6"/>
  <c r="E98" i="6"/>
  <c r="E134" i="6"/>
  <c r="E99" i="6"/>
  <c r="E89" i="6"/>
  <c r="E116" i="6"/>
  <c r="E117" i="6"/>
  <c r="E39" i="6"/>
  <c r="E51" i="6"/>
  <c r="E151" i="6"/>
  <c r="E135" i="6"/>
  <c r="E136" i="6"/>
  <c r="E52" i="6"/>
  <c r="E53" i="6"/>
  <c r="E118" i="6"/>
  <c r="E119" i="6"/>
  <c r="E120" i="6"/>
  <c r="E54" i="6"/>
  <c r="E40" i="6"/>
  <c r="E55" i="6"/>
  <c r="E90" i="6"/>
  <c r="E41" i="6"/>
  <c r="E65" i="6"/>
  <c r="E91" i="6"/>
  <c r="E121" i="6"/>
  <c r="E122" i="6"/>
  <c r="E66" i="6"/>
  <c r="E67" i="6"/>
  <c r="E68" i="6"/>
  <c r="E123" i="6"/>
  <c r="E124" i="6"/>
  <c r="E152" i="6"/>
  <c r="E125" i="6"/>
  <c r="E153" i="6"/>
  <c r="E126" i="6"/>
  <c r="E154" i="6"/>
  <c r="E92" i="6"/>
  <c r="E127" i="6"/>
  <c r="E155" i="6"/>
  <c r="E137" i="6"/>
  <c r="E93" i="6"/>
  <c r="E94" i="6"/>
  <c r="E95" i="6"/>
  <c r="E96" i="6"/>
  <c r="E128" i="6"/>
  <c r="E138" i="6"/>
  <c r="C386" i="6"/>
  <c r="B386" i="6"/>
  <c r="C385" i="6"/>
  <c r="B385" i="6"/>
  <c r="C384" i="6"/>
  <c r="B384" i="6"/>
  <c r="C383" i="6"/>
  <c r="B383" i="6"/>
  <c r="C382" i="6"/>
  <c r="B382" i="6"/>
  <c r="C381" i="6"/>
  <c r="B381" i="6"/>
  <c r="C380" i="6"/>
  <c r="B380" i="6"/>
  <c r="C379" i="6"/>
  <c r="B379" i="6"/>
  <c r="C378" i="6"/>
  <c r="B378" i="6"/>
  <c r="C377" i="6"/>
  <c r="B377" i="6"/>
  <c r="C376" i="6"/>
  <c r="B376" i="6"/>
  <c r="C375" i="6"/>
  <c r="B375" i="6"/>
  <c r="C374" i="6"/>
  <c r="B374" i="6"/>
  <c r="C373" i="6"/>
  <c r="B373" i="6"/>
  <c r="C372" i="6"/>
  <c r="B372" i="6"/>
  <c r="C371" i="6"/>
  <c r="B371" i="6"/>
  <c r="C370" i="6"/>
  <c r="B370" i="6"/>
  <c r="C369" i="6"/>
  <c r="B369" i="6"/>
  <c r="C368" i="6"/>
  <c r="B368" i="6"/>
  <c r="C367" i="6"/>
  <c r="B367" i="6"/>
  <c r="C366" i="6"/>
  <c r="B366" i="6"/>
  <c r="C365" i="6"/>
  <c r="B365" i="6"/>
  <c r="C364" i="6"/>
  <c r="B364" i="6"/>
  <c r="C363" i="6"/>
  <c r="B363" i="6"/>
  <c r="C362" i="6"/>
  <c r="B362" i="6"/>
  <c r="C361" i="6"/>
  <c r="B361" i="6"/>
  <c r="C360" i="6"/>
  <c r="B360" i="6"/>
  <c r="C359" i="6"/>
  <c r="B359" i="6"/>
  <c r="C358" i="6"/>
  <c r="B358" i="6"/>
  <c r="C357" i="6"/>
  <c r="B357" i="6"/>
  <c r="C356" i="6"/>
  <c r="B356" i="6"/>
  <c r="C355" i="6"/>
  <c r="B355" i="6"/>
  <c r="C354" i="6"/>
  <c r="B354" i="6"/>
  <c r="C353" i="6"/>
  <c r="B353" i="6"/>
  <c r="C352" i="6"/>
  <c r="B352" i="6"/>
  <c r="C351" i="6"/>
  <c r="B351" i="6"/>
  <c r="C350" i="6"/>
  <c r="B350" i="6"/>
  <c r="C349" i="6"/>
  <c r="B349" i="6"/>
  <c r="C348" i="6"/>
  <c r="B348" i="6"/>
  <c r="C347" i="6"/>
  <c r="B347" i="6"/>
  <c r="C346" i="6"/>
  <c r="B346" i="6"/>
  <c r="C345" i="6"/>
  <c r="B345" i="6"/>
  <c r="C344" i="6"/>
  <c r="B344" i="6"/>
  <c r="C343" i="6"/>
  <c r="B343" i="6"/>
  <c r="C342" i="6"/>
  <c r="B342" i="6"/>
  <c r="C341" i="6"/>
  <c r="B341" i="6"/>
  <c r="C340" i="6"/>
  <c r="B340" i="6"/>
  <c r="C339" i="6"/>
  <c r="B339" i="6"/>
  <c r="C338" i="6"/>
  <c r="B338" i="6"/>
  <c r="C337" i="6"/>
  <c r="B337" i="6"/>
  <c r="C336" i="6"/>
  <c r="B336" i="6"/>
  <c r="C335" i="6"/>
  <c r="B335" i="6"/>
  <c r="C334" i="6"/>
  <c r="B334" i="6"/>
  <c r="C333" i="6"/>
  <c r="B333" i="6"/>
  <c r="C332" i="6"/>
  <c r="B332" i="6"/>
  <c r="C331" i="6"/>
  <c r="B331" i="6"/>
  <c r="C330" i="6"/>
  <c r="B330" i="6"/>
  <c r="C329" i="6"/>
  <c r="B329" i="6"/>
  <c r="C328" i="6"/>
  <c r="B328" i="6"/>
  <c r="C327" i="6"/>
  <c r="B327" i="6"/>
  <c r="C326" i="6"/>
  <c r="B326" i="6"/>
  <c r="C325" i="6"/>
  <c r="B325" i="6"/>
  <c r="C324" i="6"/>
  <c r="B324" i="6"/>
  <c r="C323" i="6"/>
  <c r="B323" i="6"/>
  <c r="C322" i="6"/>
  <c r="B322" i="6"/>
  <c r="C321" i="6"/>
  <c r="B321" i="6"/>
  <c r="C320" i="6"/>
  <c r="B320" i="6"/>
  <c r="C319" i="6"/>
  <c r="B319" i="6"/>
  <c r="C318" i="6"/>
  <c r="B318" i="6"/>
  <c r="C317" i="6"/>
  <c r="B317" i="6"/>
  <c r="C316" i="6"/>
  <c r="B316" i="6"/>
  <c r="C315" i="6"/>
  <c r="B315" i="6"/>
  <c r="C314" i="6"/>
  <c r="B314" i="6"/>
  <c r="C313" i="6"/>
  <c r="B313" i="6"/>
  <c r="C312" i="6"/>
  <c r="B312" i="6"/>
  <c r="C311" i="6"/>
  <c r="B311" i="6"/>
  <c r="C310" i="6"/>
  <c r="B310" i="6"/>
  <c r="C309" i="6"/>
  <c r="B309" i="6"/>
  <c r="C308" i="6"/>
  <c r="B308" i="6"/>
  <c r="C307" i="6"/>
  <c r="B307" i="6"/>
  <c r="C306" i="6"/>
  <c r="B306" i="6"/>
  <c r="C305" i="6"/>
  <c r="B305" i="6"/>
  <c r="C304" i="6"/>
  <c r="B304" i="6"/>
  <c r="C303" i="6"/>
  <c r="B303" i="6"/>
  <c r="C302" i="6"/>
  <c r="B302" i="6"/>
  <c r="C301" i="6"/>
  <c r="B301" i="6"/>
  <c r="C300" i="6"/>
  <c r="B300" i="6"/>
  <c r="C299" i="6"/>
  <c r="B299" i="6"/>
  <c r="C298" i="6"/>
  <c r="B298" i="6"/>
  <c r="C297" i="6"/>
  <c r="B297" i="6"/>
  <c r="C296" i="6"/>
  <c r="B296" i="6"/>
  <c r="C295" i="6"/>
  <c r="B295" i="6"/>
  <c r="C294" i="6"/>
  <c r="B294" i="6"/>
  <c r="C293" i="6"/>
  <c r="B293" i="6"/>
  <c r="C292" i="6"/>
  <c r="B292" i="6"/>
  <c r="C291" i="6"/>
  <c r="B291" i="6"/>
  <c r="C290" i="6"/>
  <c r="B290" i="6"/>
  <c r="C289" i="6"/>
  <c r="B289" i="6"/>
  <c r="C288" i="6"/>
  <c r="B288" i="6"/>
  <c r="C287" i="6"/>
  <c r="B287" i="6"/>
  <c r="C286" i="6"/>
  <c r="B286" i="6"/>
  <c r="C285" i="6"/>
  <c r="B285" i="6"/>
  <c r="C284" i="6"/>
  <c r="B284" i="6"/>
  <c r="C283" i="6"/>
  <c r="B283" i="6"/>
  <c r="C282" i="6"/>
  <c r="B282" i="6"/>
  <c r="C281" i="6"/>
  <c r="B281" i="6"/>
  <c r="C280" i="6"/>
  <c r="B280" i="6"/>
  <c r="C279" i="6"/>
  <c r="B279" i="6"/>
  <c r="C278" i="6"/>
  <c r="B278" i="6"/>
  <c r="C277" i="6"/>
  <c r="B277" i="6"/>
  <c r="C276" i="6"/>
  <c r="B276" i="6"/>
  <c r="C275" i="6"/>
  <c r="B275" i="6"/>
  <c r="C274" i="6"/>
  <c r="B274" i="6"/>
  <c r="C273" i="6"/>
  <c r="B273" i="6"/>
  <c r="C272" i="6"/>
  <c r="B272" i="6"/>
  <c r="C271" i="6"/>
  <c r="B271" i="6"/>
  <c r="C270" i="6"/>
  <c r="B270" i="6"/>
  <c r="C269" i="6"/>
  <c r="B269" i="6"/>
  <c r="C268" i="6"/>
  <c r="B268" i="6"/>
  <c r="C267" i="6"/>
  <c r="B267" i="6"/>
  <c r="C266" i="6"/>
  <c r="B266" i="6"/>
  <c r="C265" i="6"/>
  <c r="B265" i="6"/>
  <c r="C264" i="6"/>
  <c r="B264" i="6"/>
  <c r="C263" i="6"/>
  <c r="B263" i="6"/>
  <c r="C262" i="6"/>
  <c r="B262" i="6"/>
  <c r="C261" i="6"/>
  <c r="B261" i="6"/>
  <c r="C260" i="6"/>
  <c r="B260" i="6"/>
  <c r="C259" i="6"/>
  <c r="B259" i="6"/>
  <c r="C258" i="6"/>
  <c r="B258" i="6"/>
  <c r="C257" i="6"/>
  <c r="B257" i="6"/>
  <c r="C256" i="6"/>
  <c r="B256" i="6"/>
  <c r="C255" i="6"/>
  <c r="B255" i="6"/>
  <c r="C254" i="6"/>
  <c r="B254" i="6"/>
  <c r="C253" i="6"/>
  <c r="B253" i="6"/>
  <c r="C252" i="6"/>
  <c r="B252" i="6"/>
  <c r="C251" i="6"/>
  <c r="B251" i="6"/>
  <c r="C250" i="6"/>
  <c r="B250" i="6"/>
  <c r="C249" i="6"/>
  <c r="B249" i="6"/>
  <c r="C248" i="6"/>
  <c r="B248" i="6"/>
  <c r="C247" i="6"/>
  <c r="B247" i="6"/>
  <c r="C246" i="6"/>
  <c r="B246" i="6"/>
  <c r="C245" i="6"/>
  <c r="B245" i="6"/>
  <c r="C244" i="6"/>
  <c r="B244" i="6"/>
  <c r="C243" i="6"/>
  <c r="B243" i="6"/>
  <c r="C242" i="6"/>
  <c r="B242" i="6"/>
  <c r="C241" i="6"/>
  <c r="B241" i="6"/>
  <c r="C240" i="6"/>
  <c r="B240" i="6"/>
  <c r="C239" i="6"/>
  <c r="B239" i="6"/>
  <c r="C238" i="6"/>
  <c r="B238" i="6"/>
  <c r="C237" i="6"/>
  <c r="B237" i="6"/>
  <c r="C236" i="6"/>
  <c r="B236" i="6"/>
  <c r="C235" i="6"/>
  <c r="B235" i="6"/>
  <c r="C234" i="6"/>
  <c r="B234" i="6"/>
  <c r="C233" i="6"/>
  <c r="B233" i="6"/>
  <c r="C232" i="6"/>
  <c r="B232" i="6"/>
  <c r="C231" i="6"/>
  <c r="B231" i="6"/>
  <c r="C230" i="6"/>
  <c r="B230" i="6"/>
  <c r="C229" i="6"/>
  <c r="B229" i="6"/>
  <c r="C228" i="6"/>
  <c r="B228" i="6"/>
  <c r="C227" i="6"/>
  <c r="B227" i="6"/>
  <c r="C226" i="6"/>
  <c r="B226" i="6"/>
  <c r="C225" i="6"/>
  <c r="B225" i="6"/>
  <c r="C224" i="6"/>
  <c r="B224" i="6"/>
  <c r="C223" i="6"/>
  <c r="B223" i="6"/>
  <c r="C222" i="6"/>
  <c r="B222" i="6"/>
  <c r="C221" i="6"/>
  <c r="B221" i="6"/>
  <c r="C220" i="6"/>
  <c r="B220" i="6"/>
  <c r="C219" i="6"/>
  <c r="B219" i="6"/>
  <c r="C218" i="6"/>
  <c r="B218" i="6"/>
  <c r="C217" i="6"/>
  <c r="B217" i="6"/>
  <c r="C216" i="6"/>
  <c r="B216" i="6"/>
  <c r="C215" i="6"/>
  <c r="B215" i="6"/>
  <c r="C214" i="6"/>
  <c r="B214" i="6"/>
  <c r="C213" i="6"/>
  <c r="B213" i="6"/>
  <c r="C212" i="6"/>
  <c r="B212" i="6"/>
  <c r="C211" i="6"/>
  <c r="B211" i="6"/>
  <c r="C210" i="6"/>
  <c r="B210" i="6"/>
  <c r="C209" i="6"/>
  <c r="B209" i="6"/>
  <c r="C208" i="6"/>
  <c r="B208" i="6"/>
  <c r="C207" i="6"/>
  <c r="B207" i="6"/>
  <c r="C206" i="6"/>
  <c r="B206" i="6"/>
  <c r="C205" i="6"/>
  <c r="B205" i="6"/>
  <c r="C204" i="6"/>
  <c r="B204" i="6"/>
  <c r="C203" i="6"/>
  <c r="B203" i="6"/>
  <c r="C202" i="6"/>
  <c r="B202" i="6"/>
  <c r="C201" i="6"/>
  <c r="B201" i="6"/>
  <c r="C200" i="6"/>
  <c r="B200" i="6"/>
  <c r="C199" i="6"/>
  <c r="B199" i="6"/>
  <c r="C198" i="6"/>
  <c r="B198" i="6"/>
  <c r="C197" i="6"/>
  <c r="B197" i="6"/>
  <c r="C196" i="6"/>
  <c r="B196" i="6"/>
  <c r="C195" i="6"/>
  <c r="B195" i="6"/>
  <c r="C194" i="6"/>
  <c r="B194" i="6"/>
  <c r="C193" i="6"/>
  <c r="B193" i="6"/>
  <c r="C192" i="6"/>
  <c r="B192" i="6"/>
  <c r="C191" i="6"/>
  <c r="B191" i="6"/>
  <c r="C190" i="6"/>
  <c r="B190" i="6"/>
  <c r="C189" i="6"/>
  <c r="B189" i="6"/>
  <c r="C188" i="6"/>
  <c r="B188" i="6"/>
  <c r="C187" i="6"/>
  <c r="B187" i="6"/>
  <c r="C186" i="6"/>
  <c r="B186" i="6"/>
  <c r="C185" i="6"/>
  <c r="B185" i="6"/>
  <c r="C184" i="6"/>
  <c r="B184" i="6"/>
  <c r="C183" i="6"/>
  <c r="B183" i="6"/>
  <c r="C182" i="6"/>
  <c r="B182" i="6"/>
  <c r="C181" i="6"/>
  <c r="B181" i="6"/>
  <c r="C180" i="6"/>
  <c r="B180" i="6"/>
  <c r="C179" i="6"/>
  <c r="B179" i="6"/>
  <c r="C178" i="6"/>
  <c r="B178" i="6"/>
  <c r="C177" i="6"/>
  <c r="B177" i="6"/>
  <c r="C176" i="6"/>
  <c r="B176" i="6"/>
  <c r="C175" i="6"/>
  <c r="B175" i="6"/>
  <c r="C174" i="6"/>
  <c r="B174" i="6"/>
  <c r="C173" i="6"/>
  <c r="B173" i="6"/>
  <c r="C172" i="6"/>
  <c r="B172" i="6"/>
  <c r="C171" i="6"/>
  <c r="B171" i="6"/>
  <c r="C170" i="6"/>
  <c r="B170" i="6"/>
  <c r="C169" i="6"/>
  <c r="B169" i="6"/>
  <c r="C168" i="6"/>
  <c r="B168" i="6"/>
  <c r="C167" i="6"/>
  <c r="B167" i="6"/>
  <c r="C166" i="6"/>
  <c r="B166" i="6"/>
  <c r="C165" i="6"/>
  <c r="B165" i="6"/>
  <c r="C164" i="6"/>
  <c r="B164" i="6"/>
  <c r="C163" i="6"/>
  <c r="B163" i="6"/>
  <c r="C128" i="6"/>
  <c r="B128" i="6"/>
  <c r="C96" i="6"/>
  <c r="B96" i="6"/>
  <c r="C95" i="6"/>
  <c r="B95" i="6"/>
  <c r="C94" i="6"/>
  <c r="B94" i="6"/>
  <c r="C93" i="6"/>
  <c r="B93" i="6"/>
  <c r="C137" i="6"/>
  <c r="B137" i="6"/>
  <c r="C155" i="6"/>
  <c r="B155" i="6"/>
  <c r="C127" i="6"/>
  <c r="B127" i="6"/>
  <c r="C92" i="6"/>
  <c r="B92" i="6"/>
  <c r="C154" i="6"/>
  <c r="B154" i="6"/>
  <c r="C126" i="6"/>
  <c r="B126" i="6"/>
  <c r="C153" i="6"/>
  <c r="B153" i="6"/>
  <c r="C125" i="6"/>
  <c r="B125" i="6"/>
  <c r="C152" i="6"/>
  <c r="B152" i="6"/>
  <c r="C124" i="6"/>
  <c r="B124" i="6"/>
  <c r="C123" i="6"/>
  <c r="B123" i="6"/>
  <c r="C68" i="6"/>
  <c r="B68" i="6"/>
  <c r="C67" i="6"/>
  <c r="B67" i="6"/>
  <c r="C66" i="6"/>
  <c r="B66" i="6"/>
  <c r="C122" i="6"/>
  <c r="B122" i="6"/>
  <c r="C121" i="6"/>
  <c r="B121" i="6"/>
  <c r="C91" i="6"/>
  <c r="B91" i="6"/>
  <c r="C65" i="6"/>
  <c r="B65" i="6"/>
  <c r="C41" i="6"/>
  <c r="B41" i="6"/>
  <c r="C90" i="6"/>
  <c r="B90" i="6"/>
  <c r="C55" i="6"/>
  <c r="B55" i="6"/>
  <c r="C40" i="6"/>
  <c r="B40" i="6"/>
  <c r="C54" i="6"/>
  <c r="B54" i="6"/>
  <c r="C120" i="6"/>
  <c r="B120" i="6"/>
  <c r="C119" i="6"/>
  <c r="B119" i="6"/>
  <c r="C118" i="6"/>
  <c r="B118" i="6"/>
  <c r="C53" i="6"/>
  <c r="B53" i="6"/>
  <c r="C52" i="6"/>
  <c r="B52" i="6"/>
  <c r="C136" i="6"/>
  <c r="B136" i="6"/>
  <c r="C135" i="6"/>
  <c r="B135" i="6"/>
  <c r="C151" i="6"/>
  <c r="B151" i="6"/>
  <c r="C51" i="6"/>
  <c r="B51" i="6"/>
  <c r="C39" i="6"/>
  <c r="B39" i="6"/>
  <c r="C117" i="6"/>
  <c r="B117" i="6"/>
  <c r="C116" i="6"/>
  <c r="B116" i="6"/>
  <c r="C89" i="6"/>
  <c r="B89" i="6"/>
  <c r="C99" i="6"/>
  <c r="B99" i="6"/>
  <c r="C134" i="6"/>
  <c r="B134" i="6"/>
  <c r="C98" i="6"/>
  <c r="B98" i="6"/>
  <c r="C133" i="6"/>
  <c r="B133" i="6"/>
  <c r="C132" i="6"/>
  <c r="B132" i="6"/>
  <c r="C88" i="6"/>
  <c r="B88" i="6"/>
  <c r="C50" i="6"/>
  <c r="B50" i="6"/>
  <c r="C87" i="6"/>
  <c r="B87" i="6"/>
  <c r="C130" i="6"/>
  <c r="B130" i="6"/>
  <c r="C64" i="6"/>
  <c r="B64" i="6"/>
  <c r="C63" i="6"/>
  <c r="B63" i="6"/>
  <c r="C115" i="6"/>
  <c r="B115" i="6"/>
  <c r="C62" i="6"/>
  <c r="B62" i="6"/>
  <c r="C38" i="6"/>
  <c r="B38" i="6"/>
  <c r="C114" i="6"/>
  <c r="B114" i="6"/>
  <c r="C150" i="6"/>
  <c r="B150" i="6"/>
  <c r="C149" i="6"/>
  <c r="B149" i="6"/>
  <c r="C49" i="6"/>
  <c r="B49" i="6"/>
  <c r="C48" i="6"/>
  <c r="B48" i="6"/>
  <c r="C86" i="6"/>
  <c r="B86" i="6"/>
  <c r="C85" i="6"/>
  <c r="B85" i="6"/>
  <c r="C84" i="6"/>
  <c r="B84" i="6"/>
  <c r="C83" i="6"/>
  <c r="B83" i="6"/>
  <c r="C82" i="6"/>
  <c r="B82" i="6"/>
  <c r="C81" i="6"/>
  <c r="B81" i="6"/>
  <c r="C148" i="6"/>
  <c r="B148" i="6"/>
  <c r="C61" i="6"/>
  <c r="B61" i="6"/>
  <c r="C147" i="6"/>
  <c r="B147" i="6"/>
  <c r="C129" i="6"/>
  <c r="B129" i="6"/>
  <c r="C146" i="6"/>
  <c r="B146" i="6"/>
  <c r="C131" i="6"/>
  <c r="B131" i="6"/>
  <c r="C47" i="6"/>
  <c r="B47" i="6"/>
  <c r="C37" i="6"/>
  <c r="B37" i="6"/>
  <c r="C46" i="6"/>
  <c r="B46" i="6"/>
  <c r="C80" i="6"/>
  <c r="B80" i="6"/>
  <c r="C79" i="6"/>
  <c r="B79" i="6"/>
  <c r="C145" i="6"/>
  <c r="B145" i="6"/>
  <c r="C113" i="6"/>
  <c r="B113" i="6"/>
  <c r="C112" i="6"/>
  <c r="B112" i="6"/>
  <c r="C111" i="6"/>
  <c r="B111" i="6"/>
  <c r="C78" i="6"/>
  <c r="B78" i="6"/>
  <c r="C110" i="6"/>
  <c r="B110" i="6"/>
  <c r="C109" i="6"/>
  <c r="B109" i="6"/>
  <c r="C77" i="6"/>
  <c r="B77" i="6"/>
  <c r="C108" i="6"/>
  <c r="B108" i="6"/>
  <c r="C107" i="6"/>
  <c r="B107" i="6"/>
  <c r="C106" i="6"/>
  <c r="B106" i="6"/>
  <c r="C76" i="6"/>
  <c r="B76" i="6"/>
  <c r="C75" i="6"/>
  <c r="B75" i="6"/>
  <c r="C74" i="6"/>
  <c r="B74" i="6"/>
  <c r="C73" i="6"/>
  <c r="B73" i="6"/>
  <c r="C45" i="6"/>
  <c r="B45" i="6"/>
  <c r="C44" i="6"/>
  <c r="B44" i="6"/>
  <c r="C105" i="6"/>
  <c r="B105" i="6"/>
  <c r="C144" i="6"/>
  <c r="B144" i="6"/>
  <c r="C143" i="6"/>
  <c r="B143" i="6"/>
  <c r="C72" i="6"/>
  <c r="B72" i="6"/>
  <c r="C71" i="6"/>
  <c r="B71" i="6"/>
  <c r="C42" i="6"/>
  <c r="B42" i="6"/>
  <c r="C60" i="6"/>
  <c r="B60" i="6"/>
  <c r="C59" i="6"/>
  <c r="B59" i="6"/>
  <c r="C58" i="6"/>
  <c r="B58" i="6"/>
  <c r="C57" i="6"/>
  <c r="B57" i="6"/>
  <c r="C36" i="6"/>
  <c r="B36" i="6"/>
  <c r="C43" i="6"/>
  <c r="B43" i="6"/>
  <c r="C104" i="6"/>
  <c r="B104" i="6"/>
  <c r="C142" i="6"/>
  <c r="B142" i="6"/>
  <c r="C70" i="6"/>
  <c r="B70" i="6"/>
  <c r="C69" i="6"/>
  <c r="B69" i="6"/>
  <c r="C141" i="6"/>
  <c r="B141" i="6"/>
  <c r="C97" i="6"/>
  <c r="B97" i="6"/>
  <c r="C56" i="6"/>
  <c r="B56" i="6"/>
  <c r="C140" i="6"/>
  <c r="B140" i="6"/>
  <c r="C103" i="6"/>
  <c r="B103" i="6"/>
  <c r="C102" i="6"/>
  <c r="B102" i="6"/>
  <c r="C101" i="6"/>
  <c r="B101" i="6"/>
  <c r="C100" i="6"/>
  <c r="B100" i="6"/>
  <c r="C139" i="6"/>
  <c r="B139" i="6"/>
  <c r="C138" i="6"/>
  <c r="B138" i="6"/>
  <c r="F433" i="4"/>
  <c r="F434" i="4"/>
  <c r="F435" i="4"/>
  <c r="F436" i="4"/>
  <c r="G19" i="4"/>
  <c r="E436" i="4"/>
  <c r="E433" i="4"/>
  <c r="E435" i="4"/>
  <c r="E434" i="4"/>
  <c r="F162" i="3"/>
  <c r="G162" i="3"/>
  <c r="C18" i="2"/>
  <c r="C14" i="2"/>
  <c r="C10" i="2"/>
  <c r="C17" i="2"/>
  <c r="C16" i="2"/>
  <c r="C12" i="2"/>
  <c r="C8" i="2"/>
  <c r="C13" i="2"/>
  <c r="C19" i="2"/>
  <c r="C15" i="2"/>
  <c r="C11" i="2"/>
  <c r="C9" i="2"/>
  <c r="C41" i="4"/>
  <c r="C45" i="4"/>
  <c r="C49" i="4"/>
  <c r="C26" i="4"/>
  <c r="C30" i="4"/>
  <c r="C42" i="4"/>
  <c r="C46" i="4"/>
  <c r="C38" i="4"/>
  <c r="C27" i="4"/>
  <c r="C31" i="4"/>
  <c r="C23" i="4"/>
  <c r="C12" i="4"/>
  <c r="C43" i="4"/>
  <c r="C24" i="4"/>
  <c r="C32" i="4"/>
  <c r="C10" i="4"/>
  <c r="C15" i="4"/>
  <c r="C19" i="4"/>
  <c r="C33" i="4"/>
  <c r="C39" i="4"/>
  <c r="C47" i="4"/>
  <c r="C28" i="4"/>
  <c r="C34" i="4"/>
  <c r="C13" i="4"/>
  <c r="C17" i="4"/>
  <c r="C25" i="4"/>
  <c r="C11" i="4"/>
  <c r="C8" i="4"/>
  <c r="C40" i="4"/>
  <c r="C48" i="4"/>
  <c r="C29" i="4"/>
  <c r="C9" i="4"/>
  <c r="C14" i="4"/>
  <c r="C18" i="4"/>
  <c r="C44" i="4"/>
  <c r="C16" i="4"/>
  <c r="C11" i="6"/>
  <c r="C15" i="6"/>
  <c r="C19" i="6"/>
  <c r="C12" i="6"/>
  <c r="C16" i="6"/>
  <c r="C8" i="6"/>
  <c r="C9" i="6"/>
  <c r="C17" i="6"/>
  <c r="C18" i="6"/>
  <c r="C13" i="6"/>
  <c r="C10" i="6"/>
  <c r="C14" i="6"/>
  <c r="E9" i="3"/>
  <c r="C11" i="3"/>
  <c r="D12" i="3"/>
  <c r="E13" i="3"/>
  <c r="C15" i="3"/>
  <c r="D16" i="3"/>
  <c r="E17" i="3"/>
  <c r="C19" i="3"/>
  <c r="D8" i="3"/>
  <c r="C10" i="3"/>
  <c r="C14" i="3"/>
  <c r="C18" i="3"/>
  <c r="C9" i="3"/>
  <c r="D10" i="3"/>
  <c r="E11" i="3"/>
  <c r="C13" i="3"/>
  <c r="D14" i="3"/>
  <c r="E15" i="3"/>
  <c r="C17" i="3"/>
  <c r="D18" i="3"/>
  <c r="E19" i="3"/>
  <c r="D15" i="3"/>
  <c r="D19" i="3"/>
  <c r="D9" i="3"/>
  <c r="E10" i="3"/>
  <c r="C12" i="3"/>
  <c r="D13" i="3"/>
  <c r="E14" i="3"/>
  <c r="C16" i="3"/>
  <c r="D17" i="3"/>
  <c r="E18" i="3"/>
  <c r="E8" i="3"/>
  <c r="D11" i="3"/>
  <c r="E12" i="3"/>
  <c r="E16" i="3"/>
  <c r="C8" i="3"/>
  <c r="E159" i="6"/>
  <c r="E157" i="6"/>
  <c r="E156" i="6"/>
  <c r="E158" i="6"/>
  <c r="E205" i="4"/>
  <c r="G205" i="4"/>
  <c r="F205" i="4"/>
  <c r="E161" i="3"/>
  <c r="E159" i="3"/>
  <c r="E162" i="3"/>
  <c r="E160" i="3"/>
  <c r="F160" i="3"/>
  <c r="F159" i="3"/>
  <c r="F161" i="3"/>
  <c r="G159" i="3"/>
  <c r="G161" i="3"/>
  <c r="G160" i="3"/>
  <c r="E159" i="2"/>
  <c r="E202" i="4"/>
  <c r="E204" i="4"/>
  <c r="E203" i="4"/>
  <c r="G202" i="4"/>
  <c r="G204" i="4"/>
  <c r="G203" i="4"/>
  <c r="F202" i="4"/>
  <c r="F204" i="4"/>
  <c r="F203" i="4"/>
  <c r="E156" i="2"/>
  <c r="E158" i="2"/>
  <c r="E157" i="2"/>
  <c r="E165" i="5"/>
  <c r="G177" i="5"/>
  <c r="G109" i="5"/>
  <c r="G115" i="5"/>
  <c r="G118" i="5"/>
  <c r="G167" i="5"/>
  <c r="G173" i="5"/>
  <c r="G104" i="5"/>
  <c r="G133" i="5"/>
  <c r="G137" i="5"/>
  <c r="G93" i="5"/>
  <c r="G96" i="5"/>
  <c r="G180" i="5"/>
  <c r="G145" i="5"/>
  <c r="G148" i="5"/>
  <c r="G166" i="5"/>
  <c r="G119" i="5"/>
  <c r="G99" i="5"/>
  <c r="G124" i="5"/>
  <c r="G76" i="5"/>
  <c r="G89" i="5"/>
  <c r="G128" i="5"/>
  <c r="G105" i="5"/>
  <c r="G174" i="5"/>
  <c r="G165" i="5"/>
  <c r="G138" i="5"/>
  <c r="G80" i="5"/>
  <c r="G97" i="5"/>
  <c r="G112" i="5"/>
  <c r="G114" i="5"/>
  <c r="G74" i="5"/>
  <c r="G184" i="5"/>
  <c r="G186" i="5"/>
  <c r="G152" i="5"/>
  <c r="G136" i="5"/>
  <c r="G88" i="5"/>
  <c r="G92" i="5"/>
  <c r="G158" i="5"/>
  <c r="G191" i="5"/>
  <c r="G130" i="5"/>
  <c r="G169" i="5"/>
  <c r="G106" i="5"/>
  <c r="G161" i="5"/>
  <c r="G155" i="5"/>
  <c r="G125" i="5"/>
  <c r="G121" i="5"/>
  <c r="G150" i="5"/>
  <c r="G142" i="5"/>
  <c r="G178" i="5"/>
  <c r="G162" i="5"/>
  <c r="G170" i="5"/>
  <c r="G116" i="5"/>
  <c r="G107" i="5"/>
  <c r="G190" i="5"/>
  <c r="G91" i="5"/>
  <c r="G135" i="5"/>
  <c r="G85" i="5"/>
  <c r="G117" i="5"/>
  <c r="G110" i="5"/>
  <c r="G179" i="5"/>
  <c r="G122" i="5"/>
  <c r="G132" i="5"/>
  <c r="G103" i="5"/>
  <c r="G172" i="5"/>
  <c r="G101" i="5"/>
  <c r="G185" i="5"/>
  <c r="G147" i="5"/>
  <c r="G108" i="5"/>
  <c r="G140" i="5"/>
  <c r="G127" i="5"/>
  <c r="G187" i="5"/>
  <c r="G113" i="5"/>
  <c r="G175" i="5"/>
  <c r="G160" i="5"/>
  <c r="G90" i="5"/>
  <c r="G87" i="5"/>
  <c r="G120" i="5"/>
  <c r="G149" i="5"/>
  <c r="G181" i="5"/>
  <c r="G134" i="5"/>
  <c r="G189" i="5"/>
  <c r="G182" i="5"/>
  <c r="G192" i="5"/>
  <c r="G102" i="5"/>
  <c r="G154" i="5"/>
  <c r="G75" i="5"/>
  <c r="G183" i="5"/>
  <c r="G144" i="5"/>
  <c r="G95" i="5"/>
  <c r="G176" i="5"/>
  <c r="G157" i="5"/>
  <c r="G123" i="5"/>
  <c r="G82" i="5"/>
  <c r="G131" i="5"/>
  <c r="G159" i="5"/>
  <c r="G188" i="5"/>
  <c r="G100" i="5"/>
  <c r="G98" i="5"/>
  <c r="G146" i="5"/>
  <c r="G79" i="5"/>
  <c r="G139" i="5"/>
  <c r="G156" i="5"/>
  <c r="G81" i="5"/>
  <c r="G163" i="5"/>
  <c r="G77" i="5"/>
  <c r="G171" i="5"/>
  <c r="G86" i="5"/>
  <c r="G83" i="5"/>
  <c r="G111" i="5"/>
  <c r="G141" i="5"/>
  <c r="G129" i="5"/>
  <c r="G126" i="5"/>
  <c r="G84" i="5"/>
  <c r="G73" i="5"/>
  <c r="G164" i="5"/>
  <c r="G78" i="5"/>
  <c r="G153" i="5"/>
  <c r="G151" i="5"/>
  <c r="G168" i="5"/>
  <c r="G143" i="5"/>
  <c r="G94" i="5"/>
  <c r="E132" i="5"/>
  <c r="H132" i="5"/>
  <c r="L132" i="5"/>
  <c r="E127" i="5"/>
  <c r="E148" i="5"/>
  <c r="E129" i="5"/>
  <c r="E137" i="5"/>
  <c r="H137" i="5"/>
  <c r="L137" i="5"/>
  <c r="E109" i="5"/>
  <c r="H109" i="5"/>
  <c r="L109" i="5"/>
  <c r="E191" i="5"/>
  <c r="E139" i="5"/>
  <c r="H139" i="5"/>
  <c r="L139" i="5"/>
  <c r="E90" i="5"/>
  <c r="E130" i="5"/>
  <c r="E94" i="5"/>
  <c r="E96" i="5"/>
  <c r="E120" i="5"/>
  <c r="E159" i="5"/>
  <c r="H159" i="5"/>
  <c r="L159" i="5"/>
  <c r="E114" i="5"/>
  <c r="E175" i="5"/>
  <c r="H175" i="5"/>
  <c r="L175" i="5"/>
  <c r="E105" i="5"/>
  <c r="E115" i="5"/>
  <c r="E87" i="5"/>
  <c r="H87" i="5"/>
  <c r="L87" i="5"/>
  <c r="E164" i="5"/>
  <c r="E93" i="5"/>
  <c r="H93" i="5"/>
  <c r="L93" i="5"/>
  <c r="E73" i="5"/>
  <c r="E180" i="5"/>
  <c r="E113" i="5"/>
  <c r="E84" i="5"/>
  <c r="E119" i="5"/>
  <c r="E187" i="5"/>
  <c r="E124" i="5"/>
  <c r="E126" i="5"/>
  <c r="E89" i="5"/>
  <c r="E138" i="5"/>
  <c r="E107" i="5"/>
  <c r="H107" i="5"/>
  <c r="L107" i="5"/>
  <c r="E97" i="5"/>
  <c r="E82" i="5"/>
  <c r="E116" i="5"/>
  <c r="H116" i="5"/>
  <c r="L116" i="5"/>
  <c r="E184" i="5"/>
  <c r="E123" i="5"/>
  <c r="E152" i="5"/>
  <c r="E170" i="5"/>
  <c r="E88" i="5"/>
  <c r="E157" i="5"/>
  <c r="E158" i="5"/>
  <c r="E162" i="5"/>
  <c r="E106" i="5"/>
  <c r="E81" i="5"/>
  <c r="H81" i="5"/>
  <c r="L81" i="5"/>
  <c r="E145" i="5"/>
  <c r="E182" i="5"/>
  <c r="E166" i="5"/>
  <c r="E122" i="5"/>
  <c r="E99" i="5"/>
  <c r="E169" i="5"/>
  <c r="E76" i="5"/>
  <c r="E156" i="5"/>
  <c r="H156" i="5"/>
  <c r="L156" i="5"/>
  <c r="E128" i="5"/>
  <c r="E189" i="5"/>
  <c r="E174" i="5"/>
  <c r="E179" i="5"/>
  <c r="E79" i="5"/>
  <c r="H79" i="5"/>
  <c r="L79" i="5"/>
  <c r="E110" i="5"/>
  <c r="E146" i="5"/>
  <c r="E117" i="5"/>
  <c r="H117" i="5"/>
  <c r="L117" i="5"/>
  <c r="E98" i="5"/>
  <c r="E85" i="5"/>
  <c r="E100" i="5"/>
  <c r="H100" i="5"/>
  <c r="L100" i="5"/>
  <c r="E135" i="5"/>
  <c r="E188" i="5"/>
  <c r="E91" i="5"/>
  <c r="E190" i="5"/>
  <c r="E131" i="5"/>
  <c r="H131" i="5"/>
  <c r="L131" i="5"/>
  <c r="E176" i="5"/>
  <c r="E178" i="5"/>
  <c r="E95" i="5"/>
  <c r="H95" i="5"/>
  <c r="L95" i="5"/>
  <c r="E142" i="5"/>
  <c r="E144" i="5"/>
  <c r="E150" i="5"/>
  <c r="E183" i="5"/>
  <c r="E121" i="5"/>
  <c r="H121" i="5"/>
  <c r="L121" i="5"/>
  <c r="E75" i="5"/>
  <c r="H75" i="5"/>
  <c r="L75" i="5"/>
  <c r="E125" i="5"/>
  <c r="E154" i="5"/>
  <c r="H154" i="5"/>
  <c r="L154" i="5"/>
  <c r="E155" i="5"/>
  <c r="E102" i="5"/>
  <c r="E161" i="5"/>
  <c r="E192" i="5"/>
  <c r="E177" i="5"/>
  <c r="H177" i="5"/>
  <c r="L177" i="5"/>
  <c r="E80" i="5"/>
  <c r="H80" i="5"/>
  <c r="L80" i="5"/>
  <c r="E112" i="5"/>
  <c r="E74" i="5"/>
  <c r="E118" i="5"/>
  <c r="E186" i="5"/>
  <c r="E167" i="5"/>
  <c r="H167" i="5"/>
  <c r="L167" i="5"/>
  <c r="E136" i="5"/>
  <c r="H136" i="5"/>
  <c r="L136" i="5"/>
  <c r="E173" i="5"/>
  <c r="H173" i="5"/>
  <c r="L173" i="5"/>
  <c r="E92" i="5"/>
  <c r="E104" i="5"/>
  <c r="H104" i="5"/>
  <c r="L104" i="5"/>
  <c r="E133" i="5"/>
  <c r="H133" i="5"/>
  <c r="L133" i="5"/>
  <c r="E134" i="5"/>
  <c r="E181" i="5"/>
  <c r="H181" i="5"/>
  <c r="L181" i="5"/>
  <c r="E143" i="5"/>
  <c r="H143" i="5"/>
  <c r="L143" i="5"/>
  <c r="E149" i="5"/>
  <c r="E168" i="5"/>
  <c r="E151" i="5"/>
  <c r="E153" i="5"/>
  <c r="E78" i="5"/>
  <c r="E160" i="5"/>
  <c r="H160" i="5"/>
  <c r="L160" i="5"/>
  <c r="E140" i="5"/>
  <c r="E141" i="5"/>
  <c r="E108" i="5"/>
  <c r="E111" i="5"/>
  <c r="E147" i="5"/>
  <c r="H147" i="5"/>
  <c r="L147" i="5"/>
  <c r="E83" i="5"/>
  <c r="H83" i="5"/>
  <c r="L83" i="5"/>
  <c r="E185" i="5"/>
  <c r="E86" i="5"/>
  <c r="E101" i="5"/>
  <c r="E171" i="5"/>
  <c r="H171" i="5"/>
  <c r="L171" i="5"/>
  <c r="E172" i="5"/>
  <c r="H172" i="5"/>
  <c r="L172" i="5"/>
  <c r="E77" i="5"/>
  <c r="E103" i="5"/>
  <c r="H103" i="5"/>
  <c r="L103" i="5"/>
  <c r="E163" i="5"/>
  <c r="H163" i="5"/>
  <c r="L163" i="5"/>
  <c r="F10" i="2"/>
  <c r="F9" i="2"/>
  <c r="G10" i="2"/>
  <c r="D15" i="2"/>
  <c r="D17" i="2"/>
  <c r="D19" i="2"/>
  <c r="D9" i="2"/>
  <c r="D11" i="2"/>
  <c r="D14" i="2"/>
  <c r="D16" i="2"/>
  <c r="D18" i="2"/>
  <c r="D13" i="2"/>
  <c r="D10" i="2"/>
  <c r="D12" i="2"/>
  <c r="G17" i="2"/>
  <c r="G8" i="2"/>
  <c r="F18" i="2"/>
  <c r="F16" i="2"/>
  <c r="F14" i="2"/>
  <c r="F12" i="2"/>
  <c r="G19" i="2"/>
  <c r="G15" i="2"/>
  <c r="G13" i="2"/>
  <c r="G11" i="2"/>
  <c r="G9" i="2"/>
  <c r="F19" i="2"/>
  <c r="F17" i="2"/>
  <c r="F15" i="2"/>
  <c r="F13" i="2"/>
  <c r="F11" i="2"/>
  <c r="F8" i="2"/>
  <c r="G18" i="2"/>
  <c r="G16" i="2"/>
  <c r="G14" i="2"/>
  <c r="G12" i="2"/>
  <c r="G17" i="4"/>
  <c r="G15" i="4"/>
  <c r="G11" i="4"/>
  <c r="D34" i="4"/>
  <c r="G8" i="4"/>
  <c r="G16" i="4"/>
  <c r="G10" i="4"/>
  <c r="G14" i="4"/>
  <c r="G18" i="4"/>
  <c r="G12" i="4"/>
  <c r="G9" i="4"/>
  <c r="G13" i="4"/>
  <c r="D8" i="6"/>
  <c r="D16" i="6"/>
  <c r="G19" i="6"/>
  <c r="D9" i="6"/>
  <c r="D18" i="6"/>
  <c r="D14" i="6"/>
  <c r="F8" i="6"/>
  <c r="D19" i="6"/>
  <c r="D15" i="6"/>
  <c r="D12" i="6"/>
  <c r="D17" i="6"/>
  <c r="D13" i="6"/>
  <c r="D10" i="6"/>
  <c r="D11" i="6"/>
  <c r="G8" i="6"/>
  <c r="F9" i="6"/>
  <c r="F10" i="6"/>
  <c r="F11" i="6"/>
  <c r="F12" i="6"/>
  <c r="F13" i="6"/>
  <c r="F14" i="6"/>
  <c r="F15" i="6"/>
  <c r="F16" i="6"/>
  <c r="F17" i="6"/>
  <c r="F18" i="6"/>
  <c r="F19" i="6"/>
  <c r="G9" i="6"/>
  <c r="G10" i="6"/>
  <c r="G11" i="6"/>
  <c r="G12" i="6"/>
  <c r="G13" i="6"/>
  <c r="G14" i="6"/>
  <c r="G15" i="6"/>
  <c r="G16" i="6"/>
  <c r="G17" i="6"/>
  <c r="G18" i="6"/>
  <c r="I16" i="6"/>
  <c r="F34" i="4"/>
  <c r="F33" i="4"/>
  <c r="F32" i="4"/>
  <c r="F31" i="4"/>
  <c r="F30" i="4"/>
  <c r="F29" i="4"/>
  <c r="F28" i="4"/>
  <c r="F27" i="4"/>
  <c r="F26" i="4"/>
  <c r="F25" i="4"/>
  <c r="F24" i="4"/>
  <c r="F23" i="4"/>
  <c r="F19" i="4"/>
  <c r="G34" i="4"/>
  <c r="G33" i="4"/>
  <c r="G32" i="4"/>
  <c r="G31" i="4"/>
  <c r="G30" i="4"/>
  <c r="G29" i="4"/>
  <c r="G28" i="4"/>
  <c r="G27" i="4"/>
  <c r="G26" i="4"/>
  <c r="G25" i="4"/>
  <c r="G24" i="4"/>
  <c r="G23" i="4"/>
  <c r="F9" i="4"/>
  <c r="F11" i="4"/>
  <c r="F13" i="4"/>
  <c r="F15" i="4"/>
  <c r="F17" i="4"/>
  <c r="F8" i="4"/>
  <c r="F10" i="4"/>
  <c r="F12" i="4"/>
  <c r="F14" i="4"/>
  <c r="F16" i="4"/>
  <c r="F18" i="4"/>
  <c r="D8" i="4"/>
  <c r="D9" i="4"/>
  <c r="D10" i="4"/>
  <c r="D11" i="4"/>
  <c r="D12" i="4"/>
  <c r="D13" i="4"/>
  <c r="D14" i="4"/>
  <c r="D15" i="4"/>
  <c r="D16" i="4"/>
  <c r="D17" i="4"/>
  <c r="D18" i="4"/>
  <c r="D19" i="4"/>
  <c r="D23" i="4"/>
  <c r="D24" i="4"/>
  <c r="D25" i="4"/>
  <c r="D26" i="4"/>
  <c r="D27" i="4"/>
  <c r="D28" i="4"/>
  <c r="D29" i="4"/>
  <c r="D30" i="4"/>
  <c r="D31" i="4"/>
  <c r="D32" i="4"/>
  <c r="D33" i="4"/>
  <c r="H77" i="5"/>
  <c r="L77" i="5"/>
  <c r="H111" i="5"/>
  <c r="L111" i="5"/>
  <c r="H118" i="5"/>
  <c r="L118" i="5"/>
  <c r="H122" i="5"/>
  <c r="L122" i="5"/>
  <c r="H84" i="5"/>
  <c r="L84" i="5"/>
  <c r="H120" i="5"/>
  <c r="L120" i="5"/>
  <c r="E34" i="3"/>
  <c r="E25" i="3"/>
  <c r="E27" i="3"/>
  <c r="E28" i="3"/>
  <c r="E29" i="3"/>
  <c r="E30" i="3"/>
  <c r="E31" i="3"/>
  <c r="E32" i="3"/>
  <c r="D25" i="3"/>
  <c r="D27" i="3"/>
  <c r="D28" i="3"/>
  <c r="D29" i="3"/>
  <c r="D30" i="3"/>
  <c r="D31" i="3"/>
  <c r="D32" i="3"/>
  <c r="D34" i="3"/>
  <c r="C31" i="3"/>
  <c r="C32" i="3"/>
  <c r="C27" i="3"/>
  <c r="C28" i="3"/>
  <c r="C34" i="3"/>
  <c r="C29" i="3"/>
  <c r="C30" i="3"/>
  <c r="C25" i="3"/>
  <c r="E11" i="6"/>
  <c r="E12" i="6"/>
  <c r="E14" i="6"/>
  <c r="E10" i="6"/>
  <c r="E15" i="6"/>
  <c r="H108" i="5"/>
  <c r="L108" i="5"/>
  <c r="H78" i="5"/>
  <c r="L78" i="5"/>
  <c r="H165" i="5"/>
  <c r="L165" i="5"/>
  <c r="E33" i="4"/>
  <c r="E29" i="4"/>
  <c r="E25" i="4"/>
  <c r="E18" i="4"/>
  <c r="E14" i="4"/>
  <c r="E32" i="4"/>
  <c r="E28" i="4"/>
  <c r="I11" i="2"/>
  <c r="J11" i="2"/>
  <c r="I13" i="2"/>
  <c r="J13" i="2"/>
  <c r="I19" i="2"/>
  <c r="J19" i="2"/>
  <c r="E14" i="2"/>
  <c r="E17" i="2"/>
  <c r="E16" i="6"/>
  <c r="I15" i="6"/>
  <c r="I11" i="6"/>
  <c r="E13" i="6"/>
  <c r="E19" i="6"/>
  <c r="E18" i="6"/>
  <c r="E8" i="6"/>
  <c r="I14" i="6"/>
  <c r="I10" i="6"/>
  <c r="E17" i="6"/>
  <c r="E9" i="6"/>
  <c r="E10" i="4"/>
  <c r="E24" i="4"/>
  <c r="E17" i="4"/>
  <c r="E13" i="4"/>
  <c r="E9" i="4"/>
  <c r="I8" i="4"/>
  <c r="I16" i="4"/>
  <c r="I23" i="4"/>
  <c r="I27" i="4"/>
  <c r="I31" i="4"/>
  <c r="I12" i="4"/>
  <c r="E30" i="4"/>
  <c r="E26" i="4"/>
  <c r="E19" i="4"/>
  <c r="E15" i="4"/>
  <c r="E11" i="4"/>
  <c r="I14" i="4"/>
  <c r="I18" i="4"/>
  <c r="I29" i="4"/>
  <c r="I33" i="4"/>
  <c r="E31" i="4"/>
  <c r="E27" i="4"/>
  <c r="E23" i="4"/>
  <c r="E16" i="4"/>
  <c r="E12" i="4"/>
  <c r="E8" i="4"/>
  <c r="E34" i="4"/>
  <c r="H86" i="5"/>
  <c r="L86" i="5"/>
  <c r="H168" i="5"/>
  <c r="L168" i="5"/>
  <c r="H157" i="5"/>
  <c r="L157" i="5"/>
  <c r="H74" i="5"/>
  <c r="L74" i="5"/>
  <c r="H192" i="5"/>
  <c r="L192" i="5"/>
  <c r="H183" i="5"/>
  <c r="L183" i="5"/>
  <c r="H146" i="5"/>
  <c r="L146" i="5"/>
  <c r="H124" i="5"/>
  <c r="L124" i="5"/>
  <c r="H164" i="5"/>
  <c r="L164" i="5"/>
  <c r="H129" i="5"/>
  <c r="L129" i="5"/>
  <c r="H105" i="5"/>
  <c r="L105" i="5"/>
  <c r="H90" i="5"/>
  <c r="L90" i="5"/>
  <c r="H161" i="5"/>
  <c r="L161" i="5"/>
  <c r="H150" i="5"/>
  <c r="L150" i="5"/>
  <c r="H91" i="5"/>
  <c r="L91" i="5"/>
  <c r="H110" i="5"/>
  <c r="L110" i="5"/>
  <c r="H170" i="5"/>
  <c r="L170" i="5"/>
  <c r="H187" i="5"/>
  <c r="L187" i="5"/>
  <c r="H191" i="5"/>
  <c r="L191" i="5"/>
  <c r="H148" i="5"/>
  <c r="L148" i="5"/>
  <c r="E10" i="2"/>
  <c r="E13" i="2"/>
  <c r="E11" i="2"/>
  <c r="E15" i="2"/>
  <c r="I10" i="2"/>
  <c r="J10" i="2"/>
  <c r="E8" i="2"/>
  <c r="E18" i="2"/>
  <c r="E9" i="2"/>
  <c r="E12" i="2"/>
  <c r="E16" i="2"/>
  <c r="E19" i="2"/>
  <c r="H174" i="5"/>
  <c r="L174" i="5"/>
  <c r="H76" i="5"/>
  <c r="L76" i="5"/>
  <c r="H166" i="5"/>
  <c r="L166" i="5"/>
  <c r="C17" i="5"/>
  <c r="H88" i="5"/>
  <c r="L88" i="5"/>
  <c r="H184" i="5"/>
  <c r="L184" i="5"/>
  <c r="H113" i="5"/>
  <c r="L113" i="5"/>
  <c r="H96" i="5"/>
  <c r="L96" i="5"/>
  <c r="H134" i="5"/>
  <c r="L134" i="5"/>
  <c r="H155" i="5"/>
  <c r="L155" i="5"/>
  <c r="H142" i="5"/>
  <c r="L142" i="5"/>
  <c r="H135" i="5"/>
  <c r="L135" i="5"/>
  <c r="H179" i="5"/>
  <c r="L179" i="5"/>
  <c r="H123" i="5"/>
  <c r="L123" i="5"/>
  <c r="H97" i="5"/>
  <c r="L97" i="5"/>
  <c r="H126" i="5"/>
  <c r="L126" i="5"/>
  <c r="H185" i="5"/>
  <c r="L185" i="5"/>
  <c r="H190" i="5"/>
  <c r="L190" i="5"/>
  <c r="H106" i="5"/>
  <c r="L106" i="5"/>
  <c r="H141" i="5"/>
  <c r="L141" i="5"/>
  <c r="H153" i="5"/>
  <c r="L153" i="5"/>
  <c r="H112" i="5"/>
  <c r="L112" i="5"/>
  <c r="H125" i="5"/>
  <c r="L125" i="5"/>
  <c r="H178" i="5"/>
  <c r="L178" i="5"/>
  <c r="H85" i="5"/>
  <c r="L85" i="5"/>
  <c r="H189" i="5"/>
  <c r="L189" i="5"/>
  <c r="H169" i="5"/>
  <c r="L169" i="5"/>
  <c r="H182" i="5"/>
  <c r="L182" i="5"/>
  <c r="H162" i="5"/>
  <c r="L162" i="5"/>
  <c r="H138" i="5"/>
  <c r="L138" i="5"/>
  <c r="H180" i="5"/>
  <c r="L180" i="5"/>
  <c r="H114" i="5"/>
  <c r="L114" i="5"/>
  <c r="H94" i="5"/>
  <c r="L94" i="5"/>
  <c r="H127" i="5"/>
  <c r="L127" i="5"/>
  <c r="H101" i="5"/>
  <c r="L101" i="5"/>
  <c r="H140" i="5"/>
  <c r="L140" i="5"/>
  <c r="H151" i="5"/>
  <c r="L151" i="5"/>
  <c r="H92" i="5"/>
  <c r="L92" i="5"/>
  <c r="H186" i="5"/>
  <c r="L186" i="5"/>
  <c r="H102" i="5"/>
  <c r="L102" i="5"/>
  <c r="H144" i="5"/>
  <c r="L144" i="5"/>
  <c r="H176" i="5"/>
  <c r="L176" i="5"/>
  <c r="H188" i="5"/>
  <c r="L188" i="5"/>
  <c r="H98" i="5"/>
  <c r="L98" i="5"/>
  <c r="H128" i="5"/>
  <c r="L128" i="5"/>
  <c r="H99" i="5"/>
  <c r="L99" i="5"/>
  <c r="H145" i="5"/>
  <c r="L145" i="5"/>
  <c r="H158" i="5"/>
  <c r="L158" i="5"/>
  <c r="H152" i="5"/>
  <c r="L152" i="5"/>
  <c r="H82" i="5"/>
  <c r="L82" i="5"/>
  <c r="H89" i="5"/>
  <c r="L89" i="5"/>
  <c r="H119" i="5"/>
  <c r="L119" i="5"/>
  <c r="H73" i="5"/>
  <c r="L73" i="5"/>
  <c r="H115" i="5"/>
  <c r="L115" i="5"/>
  <c r="H130" i="5"/>
  <c r="L130" i="5"/>
  <c r="H149" i="5"/>
  <c r="L149" i="5"/>
  <c r="I9" i="6"/>
  <c r="I18" i="6"/>
  <c r="I8" i="6"/>
  <c r="I17" i="6"/>
  <c r="I13" i="6"/>
  <c r="I12" i="6"/>
  <c r="I19" i="6"/>
  <c r="I9" i="4"/>
  <c r="I13" i="4"/>
  <c r="I17" i="4"/>
  <c r="I24" i="4"/>
  <c r="I28" i="4"/>
  <c r="I32" i="4"/>
  <c r="I10" i="4"/>
  <c r="I25" i="4"/>
  <c r="I11" i="4"/>
  <c r="I15" i="4"/>
  <c r="I19" i="4"/>
  <c r="I26" i="4"/>
  <c r="I30" i="4"/>
  <c r="I34" i="4"/>
  <c r="I18" i="2"/>
  <c r="J18" i="2"/>
  <c r="I17" i="2"/>
  <c r="J17" i="2"/>
  <c r="I15" i="2"/>
  <c r="J15" i="2"/>
  <c r="I16" i="2"/>
  <c r="J16" i="2"/>
  <c r="I9" i="2"/>
  <c r="J9" i="2"/>
  <c r="I8" i="2"/>
  <c r="I12" i="2"/>
  <c r="J12" i="2"/>
  <c r="I14" i="2"/>
  <c r="J14" i="2"/>
  <c r="F8" i="3"/>
  <c r="E138" i="9"/>
  <c r="C8" i="5"/>
  <c r="C19" i="5"/>
  <c r="C16" i="5"/>
  <c r="C14" i="5"/>
  <c r="C11" i="5"/>
  <c r="C18" i="5"/>
  <c r="C13" i="5"/>
  <c r="I25" i="6"/>
  <c r="I26" i="6"/>
  <c r="I32" i="6"/>
  <c r="I27" i="6"/>
  <c r="I28" i="6"/>
  <c r="I23" i="6"/>
  <c r="I29" i="6"/>
  <c r="I30" i="6"/>
  <c r="C26" i="3"/>
  <c r="C33" i="3"/>
  <c r="D33" i="3"/>
  <c r="D26" i="3"/>
  <c r="E26" i="3"/>
  <c r="E33" i="3"/>
  <c r="I32" i="2"/>
  <c r="I25" i="2"/>
  <c r="I26" i="2"/>
  <c r="I23" i="2"/>
  <c r="I24" i="2"/>
  <c r="I29" i="2"/>
  <c r="I30" i="2"/>
  <c r="I27" i="2"/>
  <c r="I28" i="2"/>
  <c r="E169" i="8"/>
  <c r="F169" i="8"/>
  <c r="G169" i="8"/>
  <c r="H169" i="8"/>
  <c r="I169" i="8"/>
  <c r="J169" i="8"/>
  <c r="K169" i="8"/>
  <c r="L169" i="8"/>
  <c r="E170" i="8"/>
  <c r="F170" i="8"/>
  <c r="H170" i="8"/>
  <c r="I170" i="8"/>
  <c r="K170" i="8"/>
  <c r="L170" i="8"/>
  <c r="E171" i="8"/>
  <c r="F171" i="8"/>
  <c r="H171" i="8"/>
  <c r="I171" i="8"/>
  <c r="K171" i="8"/>
  <c r="L171" i="8"/>
  <c r="E172" i="8"/>
  <c r="F172" i="8"/>
  <c r="H172" i="8"/>
  <c r="I172" i="8"/>
  <c r="K172" i="8"/>
  <c r="L172" i="8"/>
  <c r="E204" i="8"/>
  <c r="F204" i="8"/>
  <c r="G204" i="8"/>
  <c r="H204" i="8"/>
  <c r="I204" i="8"/>
  <c r="J204" i="8"/>
  <c r="K204" i="8"/>
  <c r="L204" i="8"/>
  <c r="B169" i="8"/>
  <c r="C169" i="8"/>
  <c r="B170" i="8"/>
  <c r="C170" i="8"/>
  <c r="B171" i="8"/>
  <c r="C171" i="8"/>
  <c r="B172" i="8"/>
  <c r="C172" i="8"/>
  <c r="B204" i="8"/>
  <c r="C204" i="8"/>
  <c r="B215" i="8"/>
  <c r="C215" i="8"/>
  <c r="B176" i="8"/>
  <c r="C176" i="8"/>
  <c r="B177" i="8"/>
  <c r="C177" i="8"/>
  <c r="B178" i="8"/>
  <c r="C178" i="8"/>
  <c r="B179" i="8"/>
  <c r="C179" i="8"/>
  <c r="B216" i="8"/>
  <c r="C216" i="8"/>
  <c r="B132" i="8"/>
  <c r="C132" i="8"/>
  <c r="B173" i="8"/>
  <c r="C173" i="8"/>
  <c r="B217" i="8"/>
  <c r="C217" i="8"/>
  <c r="B145" i="8"/>
  <c r="C145" i="8"/>
  <c r="B146" i="8"/>
  <c r="C146" i="8"/>
  <c r="B218" i="8"/>
  <c r="C218" i="8"/>
  <c r="B180" i="8"/>
  <c r="C180" i="8"/>
  <c r="B119" i="8"/>
  <c r="C119" i="8"/>
  <c r="B112" i="8"/>
  <c r="C112" i="8"/>
  <c r="B133" i="8"/>
  <c r="C133" i="8"/>
  <c r="B134" i="8"/>
  <c r="C134" i="8"/>
  <c r="B135" i="8"/>
  <c r="C135" i="8"/>
  <c r="B136" i="8"/>
  <c r="C136" i="8"/>
  <c r="B118" i="8"/>
  <c r="C118" i="8"/>
  <c r="B147" i="8"/>
  <c r="C147" i="8"/>
  <c r="B148" i="8"/>
  <c r="C148" i="8"/>
  <c r="B219" i="8"/>
  <c r="C219" i="8"/>
  <c r="B220" i="8"/>
  <c r="C220" i="8"/>
  <c r="B181" i="8"/>
  <c r="C181" i="8"/>
  <c r="B120" i="8"/>
  <c r="C120" i="8"/>
  <c r="B121" i="8"/>
  <c r="C121" i="8"/>
  <c r="B149" i="8"/>
  <c r="C149" i="8"/>
  <c r="B150" i="8"/>
  <c r="C150" i="8"/>
  <c r="B151" i="8"/>
  <c r="C151" i="8"/>
  <c r="B152" i="8"/>
  <c r="C152" i="8"/>
  <c r="B182" i="8"/>
  <c r="C182" i="8"/>
  <c r="B183" i="8"/>
  <c r="C183" i="8"/>
  <c r="B184" i="8"/>
  <c r="C184" i="8"/>
  <c r="B153" i="8"/>
  <c r="C153" i="8"/>
  <c r="B185" i="8"/>
  <c r="C185" i="8"/>
  <c r="B186" i="8"/>
  <c r="C186" i="8"/>
  <c r="B154" i="8"/>
  <c r="C154" i="8"/>
  <c r="B187" i="8"/>
  <c r="C187" i="8"/>
  <c r="B188" i="8"/>
  <c r="C188" i="8"/>
  <c r="B189" i="8"/>
  <c r="C189" i="8"/>
  <c r="B221" i="8"/>
  <c r="C221" i="8"/>
  <c r="B155" i="8"/>
  <c r="C155" i="8"/>
  <c r="B156" i="8"/>
  <c r="C156" i="8"/>
  <c r="B122" i="8"/>
  <c r="C122" i="8"/>
  <c r="B113" i="8"/>
  <c r="C113" i="8"/>
  <c r="B123" i="8"/>
  <c r="C123" i="8"/>
  <c r="B207" i="8"/>
  <c r="C207" i="8"/>
  <c r="B222" i="8"/>
  <c r="C222" i="8"/>
  <c r="B205" i="8"/>
  <c r="C205" i="8"/>
  <c r="B223" i="8"/>
  <c r="C223" i="8"/>
  <c r="B137" i="8"/>
  <c r="C137" i="8"/>
  <c r="B224" i="8"/>
  <c r="C224" i="8"/>
  <c r="B157" i="8"/>
  <c r="C157" i="8"/>
  <c r="B158" i="8"/>
  <c r="C158" i="8"/>
  <c r="B159" i="8"/>
  <c r="C159" i="8"/>
  <c r="B160" i="8"/>
  <c r="C160" i="8"/>
  <c r="B161" i="8"/>
  <c r="C161" i="8"/>
  <c r="B162" i="8"/>
  <c r="C162" i="8"/>
  <c r="B124" i="8"/>
  <c r="C124" i="8"/>
  <c r="B125" i="8"/>
  <c r="C125" i="8"/>
  <c r="B225" i="8"/>
  <c r="C225" i="8"/>
  <c r="B226" i="8"/>
  <c r="C226" i="8"/>
  <c r="B190" i="8"/>
  <c r="C190" i="8"/>
  <c r="B114" i="8"/>
  <c r="C114" i="8"/>
  <c r="B138" i="8"/>
  <c r="C138" i="8"/>
  <c r="B191" i="8"/>
  <c r="C191" i="8"/>
  <c r="B139" i="8"/>
  <c r="C139" i="8"/>
  <c r="B140" i="8"/>
  <c r="C140" i="8"/>
  <c r="B206" i="8"/>
  <c r="C206" i="8"/>
  <c r="B163" i="8"/>
  <c r="C163" i="8"/>
  <c r="B126" i="8"/>
  <c r="C126" i="8"/>
  <c r="B164" i="8"/>
  <c r="C164" i="8"/>
  <c r="B208" i="8"/>
  <c r="C208" i="8"/>
  <c r="B209" i="8"/>
  <c r="C209" i="8"/>
  <c r="B174" i="8"/>
  <c r="C174" i="8"/>
  <c r="B210" i="8"/>
  <c r="C210" i="8"/>
  <c r="B175" i="8"/>
  <c r="C175" i="8"/>
  <c r="B165" i="8"/>
  <c r="C165" i="8"/>
  <c r="B192" i="8"/>
  <c r="C192" i="8"/>
  <c r="B193" i="8"/>
  <c r="C193" i="8"/>
  <c r="B115" i="8"/>
  <c r="C115" i="8"/>
  <c r="B127" i="8"/>
  <c r="C127" i="8"/>
  <c r="B227" i="8"/>
  <c r="C227" i="8"/>
  <c r="B211" i="8"/>
  <c r="C211" i="8"/>
  <c r="B212" i="8"/>
  <c r="C212" i="8"/>
  <c r="B128" i="8"/>
  <c r="C128" i="8"/>
  <c r="B129" i="8"/>
  <c r="C129" i="8"/>
  <c r="B194" i="8"/>
  <c r="C194" i="8"/>
  <c r="B195" i="8"/>
  <c r="C195" i="8"/>
  <c r="B196" i="8"/>
  <c r="C196" i="8"/>
  <c r="B130" i="8"/>
  <c r="C130" i="8"/>
  <c r="B116" i="8"/>
  <c r="C116" i="8"/>
  <c r="B131" i="8"/>
  <c r="C131" i="8"/>
  <c r="B166" i="8"/>
  <c r="C166" i="8"/>
  <c r="B117" i="8"/>
  <c r="C117" i="8"/>
  <c r="B141" i="8"/>
  <c r="C141" i="8"/>
  <c r="B167" i="8"/>
  <c r="C167" i="8"/>
  <c r="B197" i="8"/>
  <c r="C197" i="8"/>
  <c r="B198" i="8"/>
  <c r="C198" i="8"/>
  <c r="B142" i="8"/>
  <c r="C142" i="8"/>
  <c r="B143" i="8"/>
  <c r="C143" i="8"/>
  <c r="B144" i="8"/>
  <c r="C144" i="8"/>
  <c r="B199" i="8"/>
  <c r="C199" i="8"/>
  <c r="B200" i="8"/>
  <c r="C200" i="8"/>
  <c r="B228" i="8"/>
  <c r="C228" i="8"/>
  <c r="B201" i="8"/>
  <c r="C201" i="8"/>
  <c r="B229" i="8"/>
  <c r="C229" i="8"/>
  <c r="B202" i="8"/>
  <c r="C202" i="8"/>
  <c r="B230" i="8"/>
  <c r="C230" i="8"/>
  <c r="B168" i="8"/>
  <c r="C168" i="8"/>
  <c r="B203" i="8"/>
  <c r="C203" i="8"/>
  <c r="B231" i="8"/>
  <c r="C231" i="8"/>
  <c r="B213" i="8"/>
  <c r="C213" i="8"/>
  <c r="E215" i="8"/>
  <c r="F215" i="8"/>
  <c r="H215" i="8"/>
  <c r="I215" i="8"/>
  <c r="K215" i="8"/>
  <c r="L215" i="8"/>
  <c r="E176" i="8"/>
  <c r="F176" i="8"/>
  <c r="H176" i="8"/>
  <c r="I176" i="8"/>
  <c r="K176" i="8"/>
  <c r="L176" i="8"/>
  <c r="E177" i="8"/>
  <c r="F177" i="8"/>
  <c r="H177" i="8"/>
  <c r="I177" i="8"/>
  <c r="K177" i="8"/>
  <c r="L177" i="8"/>
  <c r="E178" i="8"/>
  <c r="F178" i="8"/>
  <c r="H178" i="8"/>
  <c r="I178" i="8"/>
  <c r="K178" i="8"/>
  <c r="L178" i="8"/>
  <c r="E179" i="8"/>
  <c r="F179" i="8"/>
  <c r="H179" i="8"/>
  <c r="I179" i="8"/>
  <c r="K179" i="8"/>
  <c r="L179" i="8"/>
  <c r="E216" i="8"/>
  <c r="F216" i="8"/>
  <c r="G216" i="8"/>
  <c r="H216" i="8"/>
  <c r="I216" i="8"/>
  <c r="J216" i="8"/>
  <c r="K216" i="8"/>
  <c r="L216" i="8"/>
  <c r="E132" i="8"/>
  <c r="F132" i="8"/>
  <c r="G132" i="8"/>
  <c r="H132" i="8"/>
  <c r="I132" i="8"/>
  <c r="J132" i="8"/>
  <c r="K132" i="8"/>
  <c r="L132" i="8"/>
  <c r="E173" i="8"/>
  <c r="F173" i="8"/>
  <c r="G173" i="8"/>
  <c r="H173" i="8"/>
  <c r="I173" i="8"/>
  <c r="J173" i="8"/>
  <c r="K173" i="8"/>
  <c r="L173" i="8"/>
  <c r="E217" i="8"/>
  <c r="F217" i="8"/>
  <c r="G217" i="8"/>
  <c r="H217" i="8"/>
  <c r="I217" i="8"/>
  <c r="J217" i="8"/>
  <c r="K217" i="8"/>
  <c r="L217" i="8"/>
  <c r="E145" i="8"/>
  <c r="F145" i="8"/>
  <c r="G145" i="8"/>
  <c r="H145" i="8"/>
  <c r="I145" i="8"/>
  <c r="J145" i="8"/>
  <c r="K145" i="8"/>
  <c r="L145" i="8"/>
  <c r="E146" i="8"/>
  <c r="F146" i="8"/>
  <c r="G146" i="8"/>
  <c r="H146" i="8"/>
  <c r="I146" i="8"/>
  <c r="J146" i="8"/>
  <c r="K146" i="8"/>
  <c r="L146" i="8"/>
  <c r="E218" i="8"/>
  <c r="F218" i="8"/>
  <c r="G218" i="8"/>
  <c r="H218" i="8"/>
  <c r="I218" i="8"/>
  <c r="J218" i="8"/>
  <c r="K218" i="8"/>
  <c r="L218" i="8"/>
  <c r="E180" i="8"/>
  <c r="F180" i="8"/>
  <c r="H180" i="8"/>
  <c r="I180" i="8"/>
  <c r="K180" i="8"/>
  <c r="L180" i="8"/>
  <c r="E119" i="8"/>
  <c r="F119" i="8"/>
  <c r="H119" i="8"/>
  <c r="I119" i="8"/>
  <c r="K119" i="8"/>
  <c r="L119" i="8"/>
  <c r="E112" i="8"/>
  <c r="F112" i="8"/>
  <c r="H112" i="8"/>
  <c r="I112" i="8"/>
  <c r="K112" i="8"/>
  <c r="L112" i="8"/>
  <c r="E133" i="8"/>
  <c r="F133" i="8"/>
  <c r="G133" i="8"/>
  <c r="H133" i="8"/>
  <c r="I133" i="8"/>
  <c r="J133" i="8"/>
  <c r="K133" i="8"/>
  <c r="L133" i="8"/>
  <c r="E134" i="8"/>
  <c r="F134" i="8"/>
  <c r="G134" i="8"/>
  <c r="H134" i="8"/>
  <c r="I134" i="8"/>
  <c r="J134" i="8"/>
  <c r="K134" i="8"/>
  <c r="L134" i="8"/>
  <c r="E135" i="8"/>
  <c r="F135" i="8"/>
  <c r="G135" i="8"/>
  <c r="H135" i="8"/>
  <c r="I135" i="8"/>
  <c r="J135" i="8"/>
  <c r="K135" i="8"/>
  <c r="L135" i="8"/>
  <c r="E136" i="8"/>
  <c r="F136" i="8"/>
  <c r="G136" i="8"/>
  <c r="H136" i="8"/>
  <c r="I136" i="8"/>
  <c r="J136" i="8"/>
  <c r="K136" i="8"/>
  <c r="L136" i="8"/>
  <c r="E118" i="8"/>
  <c r="F118" i="8"/>
  <c r="H118" i="8"/>
  <c r="I118" i="8"/>
  <c r="K118" i="8"/>
  <c r="L118" i="8"/>
  <c r="E147" i="8"/>
  <c r="F147" i="8"/>
  <c r="G147" i="8"/>
  <c r="H147" i="8"/>
  <c r="I147" i="8"/>
  <c r="J147" i="8"/>
  <c r="K147" i="8"/>
  <c r="L147" i="8"/>
  <c r="E148" i="8"/>
  <c r="F148" i="8"/>
  <c r="G148" i="8"/>
  <c r="H148" i="8"/>
  <c r="I148" i="8"/>
  <c r="J148" i="8"/>
  <c r="K148" i="8"/>
  <c r="L148" i="8"/>
  <c r="E219" i="8"/>
  <c r="F219" i="8"/>
  <c r="H219" i="8"/>
  <c r="I219" i="8"/>
  <c r="K219" i="8"/>
  <c r="L219" i="8"/>
  <c r="E220" i="8"/>
  <c r="F220" i="8"/>
  <c r="H220" i="8"/>
  <c r="I220" i="8"/>
  <c r="K220" i="8"/>
  <c r="L220" i="8"/>
  <c r="E181" i="8"/>
  <c r="F181" i="8"/>
  <c r="G181" i="8"/>
  <c r="H181" i="8"/>
  <c r="I181" i="8"/>
  <c r="J181" i="8"/>
  <c r="K181" i="8"/>
  <c r="L181" i="8"/>
  <c r="E120" i="8"/>
  <c r="F120" i="8"/>
  <c r="G120" i="8"/>
  <c r="H120" i="8"/>
  <c r="I120" i="8"/>
  <c r="J120" i="8"/>
  <c r="K120" i="8"/>
  <c r="L120" i="8"/>
  <c r="E121" i="8"/>
  <c r="F121" i="8"/>
  <c r="G121" i="8"/>
  <c r="H121" i="8"/>
  <c r="I121" i="8"/>
  <c r="J121" i="8"/>
  <c r="K121" i="8"/>
  <c r="L121" i="8"/>
  <c r="E149" i="8"/>
  <c r="F149" i="8"/>
  <c r="H149" i="8"/>
  <c r="I149" i="8"/>
  <c r="K149" i="8"/>
  <c r="L149" i="8"/>
  <c r="E150" i="8"/>
  <c r="F150" i="8"/>
  <c r="G150" i="8"/>
  <c r="H150" i="8"/>
  <c r="I150" i="8"/>
  <c r="J150" i="8"/>
  <c r="K150" i="8"/>
  <c r="L150" i="8"/>
  <c r="E151" i="8"/>
  <c r="F151" i="8"/>
  <c r="G151" i="8"/>
  <c r="H151" i="8"/>
  <c r="I151" i="8"/>
  <c r="J151" i="8"/>
  <c r="K151" i="8"/>
  <c r="L151" i="8"/>
  <c r="E152" i="8"/>
  <c r="F152" i="8"/>
  <c r="G152" i="8"/>
  <c r="H152" i="8"/>
  <c r="I152" i="8"/>
  <c r="J152" i="8"/>
  <c r="K152" i="8"/>
  <c r="L152" i="8"/>
  <c r="E182" i="8"/>
  <c r="F182" i="8"/>
  <c r="H182" i="8"/>
  <c r="I182" i="8"/>
  <c r="K182" i="8"/>
  <c r="L182" i="8"/>
  <c r="E183" i="8"/>
  <c r="F183" i="8"/>
  <c r="G183" i="8"/>
  <c r="H183" i="8"/>
  <c r="I183" i="8"/>
  <c r="J183" i="8"/>
  <c r="K183" i="8"/>
  <c r="L183" i="8"/>
  <c r="E184" i="8"/>
  <c r="F184" i="8"/>
  <c r="G184" i="8"/>
  <c r="H184" i="8"/>
  <c r="I184" i="8"/>
  <c r="J184" i="8"/>
  <c r="K184" i="8"/>
  <c r="L184" i="8"/>
  <c r="E153" i="8"/>
  <c r="F153" i="8"/>
  <c r="H153" i="8"/>
  <c r="I153" i="8"/>
  <c r="K153" i="8"/>
  <c r="L153" i="8"/>
  <c r="E185" i="8"/>
  <c r="F185" i="8"/>
  <c r="G185" i="8"/>
  <c r="H185" i="8"/>
  <c r="I185" i="8"/>
  <c r="J185" i="8"/>
  <c r="K185" i="8"/>
  <c r="L185" i="8"/>
  <c r="E186" i="8"/>
  <c r="F186" i="8"/>
  <c r="H186" i="8"/>
  <c r="I186" i="8"/>
  <c r="K186" i="8"/>
  <c r="L186" i="8"/>
  <c r="E154" i="8"/>
  <c r="F154" i="8"/>
  <c r="H154" i="8"/>
  <c r="I154" i="8"/>
  <c r="K154" i="8"/>
  <c r="L154" i="8"/>
  <c r="E187" i="8"/>
  <c r="F187" i="8"/>
  <c r="G187" i="8"/>
  <c r="H187" i="8"/>
  <c r="I187" i="8"/>
  <c r="J187" i="8"/>
  <c r="K187" i="8"/>
  <c r="L187" i="8"/>
  <c r="E188" i="8"/>
  <c r="F188" i="8"/>
  <c r="G188" i="8"/>
  <c r="H188" i="8"/>
  <c r="I188" i="8"/>
  <c r="J188" i="8"/>
  <c r="K188" i="8"/>
  <c r="L188" i="8"/>
  <c r="E189" i="8"/>
  <c r="F189" i="8"/>
  <c r="G189" i="8"/>
  <c r="H189" i="8"/>
  <c r="I189" i="8"/>
  <c r="J189" i="8"/>
  <c r="K189" i="8"/>
  <c r="L189" i="8"/>
  <c r="E221" i="8"/>
  <c r="F221" i="8"/>
  <c r="G221" i="8"/>
  <c r="H221" i="8"/>
  <c r="I221" i="8"/>
  <c r="J221" i="8"/>
  <c r="K221" i="8"/>
  <c r="L221" i="8"/>
  <c r="E155" i="8"/>
  <c r="F155" i="8"/>
  <c r="H155" i="8"/>
  <c r="I155" i="8"/>
  <c r="K155" i="8"/>
  <c r="L155" i="8"/>
  <c r="E156" i="8"/>
  <c r="F156" i="8"/>
  <c r="H156" i="8"/>
  <c r="I156" i="8"/>
  <c r="K156" i="8"/>
  <c r="L156" i="8"/>
  <c r="E122" i="8"/>
  <c r="F122" i="8"/>
  <c r="G122" i="8"/>
  <c r="H122" i="8"/>
  <c r="I122" i="8"/>
  <c r="J122" i="8"/>
  <c r="K122" i="8"/>
  <c r="L122" i="8"/>
  <c r="E113" i="8"/>
  <c r="F113" i="8"/>
  <c r="G113" i="8"/>
  <c r="H113" i="8"/>
  <c r="I113" i="8"/>
  <c r="J113" i="8"/>
  <c r="K113" i="8"/>
  <c r="L113" i="8"/>
  <c r="E123" i="8"/>
  <c r="F123" i="8"/>
  <c r="H123" i="8"/>
  <c r="I123" i="8"/>
  <c r="K123" i="8"/>
  <c r="L123" i="8"/>
  <c r="E207" i="8"/>
  <c r="F207" i="8"/>
  <c r="H207" i="8"/>
  <c r="I207" i="8"/>
  <c r="K207" i="8"/>
  <c r="L207" i="8"/>
  <c r="E222" i="8"/>
  <c r="F222" i="8"/>
  <c r="G222" i="8"/>
  <c r="H222" i="8"/>
  <c r="I222" i="8"/>
  <c r="J222" i="8"/>
  <c r="K222" i="8"/>
  <c r="L222" i="8"/>
  <c r="E205" i="8"/>
  <c r="F205" i="8"/>
  <c r="G205" i="8"/>
  <c r="H205" i="8"/>
  <c r="I205" i="8"/>
  <c r="J205" i="8"/>
  <c r="K205" i="8"/>
  <c r="L205" i="8"/>
  <c r="E223" i="8"/>
  <c r="F223" i="8"/>
  <c r="H223" i="8"/>
  <c r="I223" i="8"/>
  <c r="K223" i="8"/>
  <c r="L223" i="8"/>
  <c r="E137" i="8"/>
  <c r="F137" i="8"/>
  <c r="H137" i="8"/>
  <c r="I137" i="8"/>
  <c r="K137" i="8"/>
  <c r="L137" i="8"/>
  <c r="E224" i="8"/>
  <c r="F224" i="8"/>
  <c r="G224" i="8"/>
  <c r="H224" i="8"/>
  <c r="I224" i="8"/>
  <c r="J224" i="8"/>
  <c r="K224" i="8"/>
  <c r="L224" i="8"/>
  <c r="E157" i="8"/>
  <c r="F157" i="8"/>
  <c r="G157" i="8"/>
  <c r="H157" i="8"/>
  <c r="I157" i="8"/>
  <c r="J157" i="8"/>
  <c r="K157" i="8"/>
  <c r="L157" i="8"/>
  <c r="E158" i="8"/>
  <c r="F158" i="8"/>
  <c r="G158" i="8"/>
  <c r="H158" i="8"/>
  <c r="I158" i="8"/>
  <c r="J158" i="8"/>
  <c r="K158" i="8"/>
  <c r="L158" i="8"/>
  <c r="E159" i="8"/>
  <c r="F159" i="8"/>
  <c r="G159" i="8"/>
  <c r="H159" i="8"/>
  <c r="I159" i="8"/>
  <c r="J159" i="8"/>
  <c r="K159" i="8"/>
  <c r="L159" i="8"/>
  <c r="E160" i="8"/>
  <c r="F160" i="8"/>
  <c r="G160" i="8"/>
  <c r="H160" i="8"/>
  <c r="I160" i="8"/>
  <c r="J160" i="8"/>
  <c r="K160" i="8"/>
  <c r="L160" i="8"/>
  <c r="E161" i="8"/>
  <c r="F161" i="8"/>
  <c r="H161" i="8"/>
  <c r="I161" i="8"/>
  <c r="K161" i="8"/>
  <c r="L161" i="8"/>
  <c r="E162" i="8"/>
  <c r="F162" i="8"/>
  <c r="G162" i="8"/>
  <c r="H162" i="8"/>
  <c r="I162" i="8"/>
  <c r="J162" i="8"/>
  <c r="K162" i="8"/>
  <c r="L162" i="8"/>
  <c r="E124" i="8"/>
  <c r="F124" i="8"/>
  <c r="G124" i="8"/>
  <c r="H124" i="8"/>
  <c r="I124" i="8"/>
  <c r="J124" i="8"/>
  <c r="K124" i="8"/>
  <c r="L124" i="8"/>
  <c r="E125" i="8"/>
  <c r="F125" i="8"/>
  <c r="G125" i="8"/>
  <c r="H125" i="8"/>
  <c r="I125" i="8"/>
  <c r="J125" i="8"/>
  <c r="K125" i="8"/>
  <c r="L125" i="8"/>
  <c r="E225" i="8"/>
  <c r="F225" i="8"/>
  <c r="G225" i="8"/>
  <c r="H225" i="8"/>
  <c r="I225" i="8"/>
  <c r="J225" i="8"/>
  <c r="K225" i="8"/>
  <c r="L225" i="8"/>
  <c r="E226" i="8"/>
  <c r="F226" i="8"/>
  <c r="H226" i="8"/>
  <c r="I226" i="8"/>
  <c r="K226" i="8"/>
  <c r="L226" i="8"/>
  <c r="E190" i="8"/>
  <c r="F190" i="8"/>
  <c r="H190" i="8"/>
  <c r="I190" i="8"/>
  <c r="K190" i="8"/>
  <c r="L190" i="8"/>
  <c r="E114" i="8"/>
  <c r="F114" i="8"/>
  <c r="G114" i="8"/>
  <c r="H114" i="8"/>
  <c r="I114" i="8"/>
  <c r="J114" i="8"/>
  <c r="K114" i="8"/>
  <c r="L114" i="8"/>
  <c r="E138" i="8"/>
  <c r="F138" i="8"/>
  <c r="H138" i="8"/>
  <c r="I138" i="8"/>
  <c r="K138" i="8"/>
  <c r="L138" i="8"/>
  <c r="E191" i="8"/>
  <c r="F191" i="8"/>
  <c r="H191" i="8"/>
  <c r="I191" i="8"/>
  <c r="K191" i="8"/>
  <c r="L191" i="8"/>
  <c r="E139" i="8"/>
  <c r="F139" i="8"/>
  <c r="H139" i="8"/>
  <c r="I139" i="8"/>
  <c r="K139" i="8"/>
  <c r="L139" i="8"/>
  <c r="E140" i="8"/>
  <c r="F140" i="8"/>
  <c r="G140" i="8"/>
  <c r="H140" i="8"/>
  <c r="I140" i="8"/>
  <c r="J140" i="8"/>
  <c r="K140" i="8"/>
  <c r="L140" i="8"/>
  <c r="E206" i="8"/>
  <c r="F206" i="8"/>
  <c r="G206" i="8"/>
  <c r="H206" i="8"/>
  <c r="I206" i="8"/>
  <c r="J206" i="8"/>
  <c r="K206" i="8"/>
  <c r="L206" i="8"/>
  <c r="E163" i="8"/>
  <c r="F163" i="8"/>
  <c r="G163" i="8"/>
  <c r="H163" i="8"/>
  <c r="I163" i="8"/>
  <c r="J163" i="8"/>
  <c r="K163" i="8"/>
  <c r="L163" i="8"/>
  <c r="E126" i="8"/>
  <c r="F126" i="8"/>
  <c r="G126" i="8"/>
  <c r="H126" i="8"/>
  <c r="I126" i="8"/>
  <c r="J126" i="8"/>
  <c r="K126" i="8"/>
  <c r="L126" i="8"/>
  <c r="E164" i="8"/>
  <c r="F164" i="8"/>
  <c r="G164" i="8"/>
  <c r="H164" i="8"/>
  <c r="I164" i="8"/>
  <c r="J164" i="8"/>
  <c r="K164" i="8"/>
  <c r="L164" i="8"/>
  <c r="E208" i="8"/>
  <c r="F208" i="8"/>
  <c r="H208" i="8"/>
  <c r="I208" i="8"/>
  <c r="J208" i="8"/>
  <c r="K208" i="8"/>
  <c r="L208" i="8"/>
  <c r="E209" i="8"/>
  <c r="F209" i="8"/>
  <c r="H209" i="8"/>
  <c r="I209" i="8"/>
  <c r="J209" i="8"/>
  <c r="K209" i="8"/>
  <c r="L209" i="8"/>
  <c r="E174" i="8"/>
  <c r="F174" i="8"/>
  <c r="H174" i="8"/>
  <c r="I174" i="8"/>
  <c r="K174" i="8"/>
  <c r="L174" i="8"/>
  <c r="E210" i="8"/>
  <c r="F210" i="8"/>
  <c r="H210" i="8"/>
  <c r="I210" i="8"/>
  <c r="K210" i="8"/>
  <c r="L210" i="8"/>
  <c r="E175" i="8"/>
  <c r="F175" i="8"/>
  <c r="G175" i="8"/>
  <c r="H175" i="8"/>
  <c r="I175" i="8"/>
  <c r="J175" i="8"/>
  <c r="K175" i="8"/>
  <c r="L175" i="8"/>
  <c r="E165" i="8"/>
  <c r="F165" i="8"/>
  <c r="H165" i="8"/>
  <c r="I165" i="8"/>
  <c r="K165" i="8"/>
  <c r="L165" i="8"/>
  <c r="E192" i="8"/>
  <c r="F192" i="8"/>
  <c r="H192" i="8"/>
  <c r="I192" i="8"/>
  <c r="K192" i="8"/>
  <c r="L192" i="8"/>
  <c r="E193" i="8"/>
  <c r="F193" i="8"/>
  <c r="H193" i="8"/>
  <c r="I193" i="8"/>
  <c r="K193" i="8"/>
  <c r="L193" i="8"/>
  <c r="E115" i="8"/>
  <c r="F115" i="8"/>
  <c r="G115" i="8"/>
  <c r="H115" i="8"/>
  <c r="I115" i="8"/>
  <c r="J115" i="8"/>
  <c r="K115" i="8"/>
  <c r="L115" i="8"/>
  <c r="E127" i="8"/>
  <c r="F127" i="8"/>
  <c r="G127" i="8"/>
  <c r="H127" i="8"/>
  <c r="I127" i="8"/>
  <c r="K127" i="8"/>
  <c r="L127" i="8"/>
  <c r="E227" i="8"/>
  <c r="F227" i="8"/>
  <c r="H227" i="8"/>
  <c r="I227" i="8"/>
  <c r="K227" i="8"/>
  <c r="L227" i="8"/>
  <c r="E211" i="8"/>
  <c r="F211" i="8"/>
  <c r="H211" i="8"/>
  <c r="I211" i="8"/>
  <c r="J211" i="8"/>
  <c r="K211" i="8"/>
  <c r="L211" i="8"/>
  <c r="E212" i="8"/>
  <c r="F212" i="8"/>
  <c r="G212" i="8"/>
  <c r="H212" i="8"/>
  <c r="I212" i="8"/>
  <c r="J212" i="8"/>
  <c r="K212" i="8"/>
  <c r="L212" i="8"/>
  <c r="E128" i="8"/>
  <c r="F128" i="8"/>
  <c r="G128" i="8"/>
  <c r="H128" i="8"/>
  <c r="I128" i="8"/>
  <c r="J128" i="8"/>
  <c r="K128" i="8"/>
  <c r="L128" i="8"/>
  <c r="E129" i="8"/>
  <c r="F129" i="8"/>
  <c r="H129" i="8"/>
  <c r="I129" i="8"/>
  <c r="K129" i="8"/>
  <c r="L129" i="8"/>
  <c r="E194" i="8"/>
  <c r="F194" i="8"/>
  <c r="G194" i="8"/>
  <c r="H194" i="8"/>
  <c r="I194" i="8"/>
  <c r="J194" i="8"/>
  <c r="K194" i="8"/>
  <c r="L194" i="8"/>
  <c r="E195" i="8"/>
  <c r="F195" i="8"/>
  <c r="G195" i="8"/>
  <c r="H195" i="8"/>
  <c r="I195" i="8"/>
  <c r="J195" i="8"/>
  <c r="K195" i="8"/>
  <c r="L195" i="8"/>
  <c r="E196" i="8"/>
  <c r="F196" i="8"/>
  <c r="H196" i="8"/>
  <c r="I196" i="8"/>
  <c r="K196" i="8"/>
  <c r="L196" i="8"/>
  <c r="E130" i="8"/>
  <c r="F130" i="8"/>
  <c r="H130" i="8"/>
  <c r="I130" i="8"/>
  <c r="K130" i="8"/>
  <c r="L130" i="8"/>
  <c r="E116" i="8"/>
  <c r="F116" i="8"/>
  <c r="G116" i="8"/>
  <c r="H116" i="8"/>
  <c r="I116" i="8"/>
  <c r="J116" i="8"/>
  <c r="K116" i="8"/>
  <c r="L116" i="8"/>
  <c r="E131" i="8"/>
  <c r="F131" i="8"/>
  <c r="H131" i="8"/>
  <c r="I131" i="8"/>
  <c r="K131" i="8"/>
  <c r="L131" i="8"/>
  <c r="E166" i="8"/>
  <c r="F166" i="8"/>
  <c r="H166" i="8"/>
  <c r="I166" i="8"/>
  <c r="K166" i="8"/>
  <c r="L166" i="8"/>
  <c r="E117" i="8"/>
  <c r="F117" i="8"/>
  <c r="G117" i="8"/>
  <c r="H117" i="8"/>
  <c r="I117" i="8"/>
  <c r="J117" i="8"/>
  <c r="K117" i="8"/>
  <c r="L117" i="8"/>
  <c r="E141" i="8"/>
  <c r="F141" i="8"/>
  <c r="H141" i="8"/>
  <c r="I141" i="8"/>
  <c r="J141" i="8"/>
  <c r="K141" i="8"/>
  <c r="L141" i="8"/>
  <c r="E167" i="8"/>
  <c r="F167" i="8"/>
  <c r="H167" i="8"/>
  <c r="I167" i="8"/>
  <c r="K167" i="8"/>
  <c r="L167" i="8"/>
  <c r="E197" i="8"/>
  <c r="F197" i="8"/>
  <c r="G197" i="8"/>
  <c r="H197" i="8"/>
  <c r="I197" i="8"/>
  <c r="J197" i="8"/>
  <c r="K197" i="8"/>
  <c r="L197" i="8"/>
  <c r="E198" i="8"/>
  <c r="F198" i="8"/>
  <c r="H198" i="8"/>
  <c r="I198" i="8"/>
  <c r="J198" i="8"/>
  <c r="K198" i="8"/>
  <c r="L198" i="8"/>
  <c r="E142" i="8"/>
  <c r="F142" i="8"/>
  <c r="H142" i="8"/>
  <c r="I142" i="8"/>
  <c r="K142" i="8"/>
  <c r="L142" i="8"/>
  <c r="E143" i="8"/>
  <c r="F143" i="8"/>
  <c r="G143" i="8"/>
  <c r="H143" i="8"/>
  <c r="I143" i="8"/>
  <c r="J143" i="8"/>
  <c r="K143" i="8"/>
  <c r="L143" i="8"/>
  <c r="E144" i="8"/>
  <c r="F144" i="8"/>
  <c r="G144" i="8"/>
  <c r="H144" i="8"/>
  <c r="I144" i="8"/>
  <c r="J144" i="8"/>
  <c r="K144" i="8"/>
  <c r="L144" i="8"/>
  <c r="E199" i="8"/>
  <c r="F199" i="8"/>
  <c r="H199" i="8"/>
  <c r="I199" i="8"/>
  <c r="K199" i="8"/>
  <c r="L199" i="8"/>
  <c r="E200" i="8"/>
  <c r="F200" i="8"/>
  <c r="G200" i="8"/>
  <c r="H200" i="8"/>
  <c r="I200" i="8"/>
  <c r="J200" i="8"/>
  <c r="K200" i="8"/>
  <c r="L200" i="8"/>
  <c r="E228" i="8"/>
  <c r="F228" i="8"/>
  <c r="H228" i="8"/>
  <c r="I228" i="8"/>
  <c r="K228" i="8"/>
  <c r="L228" i="8"/>
  <c r="E201" i="8"/>
  <c r="F201" i="8"/>
  <c r="G201" i="8"/>
  <c r="H201" i="8"/>
  <c r="I201" i="8"/>
  <c r="J201" i="8"/>
  <c r="K201" i="8"/>
  <c r="L201" i="8"/>
  <c r="E229" i="8"/>
  <c r="F229" i="8"/>
  <c r="H229" i="8"/>
  <c r="I229" i="8"/>
  <c r="K229" i="8"/>
  <c r="L229" i="8"/>
  <c r="E202" i="8"/>
  <c r="F202" i="8"/>
  <c r="H202" i="8"/>
  <c r="I202" i="8"/>
  <c r="K202" i="8"/>
  <c r="L202" i="8"/>
  <c r="E230" i="8"/>
  <c r="F230" i="8"/>
  <c r="H230" i="8"/>
  <c r="I230" i="8"/>
  <c r="J230" i="8"/>
  <c r="K230" i="8"/>
  <c r="L230" i="8"/>
  <c r="E168" i="8"/>
  <c r="F168" i="8"/>
  <c r="G168" i="8"/>
  <c r="H168" i="8"/>
  <c r="I168" i="8"/>
  <c r="J168" i="8"/>
  <c r="K168" i="8"/>
  <c r="L168" i="8"/>
  <c r="E203" i="8"/>
  <c r="F203" i="8"/>
  <c r="H203" i="8"/>
  <c r="I203" i="8"/>
  <c r="K203" i="8"/>
  <c r="L203" i="8"/>
  <c r="E231" i="8"/>
  <c r="F231" i="8"/>
  <c r="H231" i="8"/>
  <c r="I231" i="8"/>
  <c r="K231" i="8"/>
  <c r="L231" i="8"/>
  <c r="E213" i="8"/>
  <c r="F213" i="8"/>
  <c r="H213" i="8"/>
  <c r="I213" i="8"/>
  <c r="J213" i="8"/>
  <c r="K213" i="8"/>
  <c r="L213" i="8"/>
  <c r="H214" i="8"/>
  <c r="K214" i="8"/>
  <c r="L214" i="8"/>
  <c r="I214" i="8"/>
  <c r="J214" i="8"/>
  <c r="F214" i="8"/>
  <c r="G214" i="8"/>
  <c r="E214" i="8"/>
  <c r="C214" i="8"/>
  <c r="B214" i="8"/>
  <c r="E139" i="7"/>
  <c r="E100" i="7"/>
  <c r="E101" i="7"/>
  <c r="E102" i="7"/>
  <c r="E103" i="7"/>
  <c r="E140" i="7"/>
  <c r="E56" i="7"/>
  <c r="E97" i="7"/>
  <c r="E141" i="7"/>
  <c r="E69" i="7"/>
  <c r="E70" i="7"/>
  <c r="E142" i="7"/>
  <c r="E104" i="7"/>
  <c r="E43" i="7"/>
  <c r="E36" i="7"/>
  <c r="E57" i="7"/>
  <c r="E58" i="7"/>
  <c r="E59" i="7"/>
  <c r="E60" i="7"/>
  <c r="E42" i="7"/>
  <c r="E71" i="7"/>
  <c r="E72" i="7"/>
  <c r="E143" i="7"/>
  <c r="E144" i="7"/>
  <c r="E105" i="7"/>
  <c r="E44" i="7"/>
  <c r="E45" i="7"/>
  <c r="E73" i="7"/>
  <c r="E74" i="7"/>
  <c r="E75" i="7"/>
  <c r="E76" i="7"/>
  <c r="E106" i="7"/>
  <c r="E107" i="7"/>
  <c r="E108" i="7"/>
  <c r="E77" i="7"/>
  <c r="E109" i="7"/>
  <c r="E110" i="7"/>
  <c r="E78" i="7"/>
  <c r="E111" i="7"/>
  <c r="E112" i="7"/>
  <c r="E113" i="7"/>
  <c r="E145" i="7"/>
  <c r="E79" i="7"/>
  <c r="E80" i="7"/>
  <c r="E46" i="7"/>
  <c r="E37" i="7"/>
  <c r="E47" i="7"/>
  <c r="E131" i="7"/>
  <c r="E146" i="7"/>
  <c r="E129" i="7"/>
  <c r="E147" i="7"/>
  <c r="E61" i="7"/>
  <c r="E148" i="7"/>
  <c r="E81" i="7"/>
  <c r="E82" i="7"/>
  <c r="E83" i="7"/>
  <c r="E84" i="7"/>
  <c r="E85" i="7"/>
  <c r="E86" i="7"/>
  <c r="E48" i="7"/>
  <c r="E49" i="7"/>
  <c r="E149" i="7"/>
  <c r="E150" i="7"/>
  <c r="E114" i="7"/>
  <c r="E38" i="7"/>
  <c r="E62" i="7"/>
  <c r="E115" i="7"/>
  <c r="E63" i="7"/>
  <c r="E64" i="7"/>
  <c r="E130" i="7"/>
  <c r="E87" i="7"/>
  <c r="E50" i="7"/>
  <c r="E88" i="7"/>
  <c r="E132" i="7"/>
  <c r="E133" i="7"/>
  <c r="E98" i="7"/>
  <c r="E134" i="7"/>
  <c r="E99" i="7"/>
  <c r="E89" i="7"/>
  <c r="E116" i="7"/>
  <c r="E117" i="7"/>
  <c r="E39" i="7"/>
  <c r="E51" i="7"/>
  <c r="E151" i="7"/>
  <c r="E135" i="7"/>
  <c r="E136" i="7"/>
  <c r="E52" i="7"/>
  <c r="E53" i="7"/>
  <c r="E118" i="7"/>
  <c r="E119" i="7"/>
  <c r="E120" i="7"/>
  <c r="E54" i="7"/>
  <c r="E40" i="7"/>
  <c r="E55" i="7"/>
  <c r="E90" i="7"/>
  <c r="E41" i="7"/>
  <c r="E65" i="7"/>
  <c r="E91" i="7"/>
  <c r="E121" i="7"/>
  <c r="E122" i="7"/>
  <c r="E66" i="7"/>
  <c r="E67" i="7"/>
  <c r="E68" i="7"/>
  <c r="E123" i="7"/>
  <c r="E124" i="7"/>
  <c r="E152" i="7"/>
  <c r="E125" i="7"/>
  <c r="E153" i="7"/>
  <c r="E126" i="7"/>
  <c r="E154" i="7"/>
  <c r="E92" i="7"/>
  <c r="E127" i="7"/>
  <c r="E155" i="7"/>
  <c r="E137" i="7"/>
  <c r="E93" i="7"/>
  <c r="E94" i="7"/>
  <c r="E95" i="7"/>
  <c r="E96" i="7"/>
  <c r="E128" i="7"/>
  <c r="E138" i="7"/>
  <c r="C386" i="7"/>
  <c r="B386" i="7"/>
  <c r="C385" i="7"/>
  <c r="B385" i="7"/>
  <c r="C384" i="7"/>
  <c r="B384" i="7"/>
  <c r="C383" i="7"/>
  <c r="B383" i="7"/>
  <c r="C382" i="7"/>
  <c r="B382" i="7"/>
  <c r="C381" i="7"/>
  <c r="B381" i="7"/>
  <c r="C380" i="7"/>
  <c r="B380" i="7"/>
  <c r="C379" i="7"/>
  <c r="B379" i="7"/>
  <c r="C378" i="7"/>
  <c r="B378" i="7"/>
  <c r="C377" i="7"/>
  <c r="B377" i="7"/>
  <c r="C376" i="7"/>
  <c r="B376" i="7"/>
  <c r="C375" i="7"/>
  <c r="B375" i="7"/>
  <c r="C374" i="7"/>
  <c r="B374" i="7"/>
  <c r="C373" i="7"/>
  <c r="B373" i="7"/>
  <c r="C372" i="7"/>
  <c r="B372" i="7"/>
  <c r="C371" i="7"/>
  <c r="B371" i="7"/>
  <c r="C370" i="7"/>
  <c r="B370" i="7"/>
  <c r="C369" i="7"/>
  <c r="B369" i="7"/>
  <c r="C368" i="7"/>
  <c r="B368" i="7"/>
  <c r="C367" i="7"/>
  <c r="B367" i="7"/>
  <c r="C366" i="7"/>
  <c r="B366" i="7"/>
  <c r="C365" i="7"/>
  <c r="B365" i="7"/>
  <c r="C364" i="7"/>
  <c r="B364" i="7"/>
  <c r="C363" i="7"/>
  <c r="B363" i="7"/>
  <c r="C362" i="7"/>
  <c r="B362" i="7"/>
  <c r="C361" i="7"/>
  <c r="B361" i="7"/>
  <c r="C360" i="7"/>
  <c r="B360" i="7"/>
  <c r="C359" i="7"/>
  <c r="B359" i="7"/>
  <c r="C358" i="7"/>
  <c r="B358" i="7"/>
  <c r="C357" i="7"/>
  <c r="B357" i="7"/>
  <c r="C356" i="7"/>
  <c r="B356" i="7"/>
  <c r="C355" i="7"/>
  <c r="B355" i="7"/>
  <c r="C354" i="7"/>
  <c r="B354" i="7"/>
  <c r="C353" i="7"/>
  <c r="B353" i="7"/>
  <c r="C352" i="7"/>
  <c r="B352" i="7"/>
  <c r="C351" i="7"/>
  <c r="B351" i="7"/>
  <c r="C350" i="7"/>
  <c r="B350" i="7"/>
  <c r="C349" i="7"/>
  <c r="B349" i="7"/>
  <c r="C348" i="7"/>
  <c r="B348" i="7"/>
  <c r="C347" i="7"/>
  <c r="B347" i="7"/>
  <c r="C346" i="7"/>
  <c r="B346" i="7"/>
  <c r="C345" i="7"/>
  <c r="B345" i="7"/>
  <c r="C344" i="7"/>
  <c r="B344" i="7"/>
  <c r="C343" i="7"/>
  <c r="B343" i="7"/>
  <c r="C342" i="7"/>
  <c r="B342" i="7"/>
  <c r="C341" i="7"/>
  <c r="B341" i="7"/>
  <c r="C340" i="7"/>
  <c r="B340" i="7"/>
  <c r="C339" i="7"/>
  <c r="B339" i="7"/>
  <c r="C338" i="7"/>
  <c r="B338" i="7"/>
  <c r="C337" i="7"/>
  <c r="B337" i="7"/>
  <c r="C336" i="7"/>
  <c r="B336" i="7"/>
  <c r="C335" i="7"/>
  <c r="B335" i="7"/>
  <c r="C334" i="7"/>
  <c r="B334" i="7"/>
  <c r="C333" i="7"/>
  <c r="B333" i="7"/>
  <c r="C332" i="7"/>
  <c r="B332" i="7"/>
  <c r="C331" i="7"/>
  <c r="B331" i="7"/>
  <c r="C330" i="7"/>
  <c r="B330" i="7"/>
  <c r="C329" i="7"/>
  <c r="B329" i="7"/>
  <c r="C328" i="7"/>
  <c r="B328" i="7"/>
  <c r="C327" i="7"/>
  <c r="B327" i="7"/>
  <c r="C326" i="7"/>
  <c r="B326" i="7"/>
  <c r="C325" i="7"/>
  <c r="B325" i="7"/>
  <c r="C324" i="7"/>
  <c r="B324" i="7"/>
  <c r="C323" i="7"/>
  <c r="B323" i="7"/>
  <c r="C322" i="7"/>
  <c r="B322" i="7"/>
  <c r="C321" i="7"/>
  <c r="B321" i="7"/>
  <c r="C320" i="7"/>
  <c r="B320" i="7"/>
  <c r="C319" i="7"/>
  <c r="B319" i="7"/>
  <c r="C318" i="7"/>
  <c r="B318" i="7"/>
  <c r="C317" i="7"/>
  <c r="B317" i="7"/>
  <c r="C316" i="7"/>
  <c r="B316" i="7"/>
  <c r="C315" i="7"/>
  <c r="B315" i="7"/>
  <c r="C314" i="7"/>
  <c r="B314" i="7"/>
  <c r="C313" i="7"/>
  <c r="B313" i="7"/>
  <c r="C312" i="7"/>
  <c r="B312" i="7"/>
  <c r="C311" i="7"/>
  <c r="B311" i="7"/>
  <c r="C310" i="7"/>
  <c r="B310" i="7"/>
  <c r="C309" i="7"/>
  <c r="B309" i="7"/>
  <c r="C308" i="7"/>
  <c r="B308" i="7"/>
  <c r="C307" i="7"/>
  <c r="B307" i="7"/>
  <c r="C306" i="7"/>
  <c r="B306" i="7"/>
  <c r="C305" i="7"/>
  <c r="B305" i="7"/>
  <c r="C304" i="7"/>
  <c r="B304" i="7"/>
  <c r="C303" i="7"/>
  <c r="B303" i="7"/>
  <c r="C302" i="7"/>
  <c r="B302" i="7"/>
  <c r="C301" i="7"/>
  <c r="B301" i="7"/>
  <c r="C300" i="7"/>
  <c r="B300" i="7"/>
  <c r="C299" i="7"/>
  <c r="B299" i="7"/>
  <c r="C298" i="7"/>
  <c r="B298" i="7"/>
  <c r="C297" i="7"/>
  <c r="B297" i="7"/>
  <c r="C296" i="7"/>
  <c r="B296" i="7"/>
  <c r="C295" i="7"/>
  <c r="B295" i="7"/>
  <c r="C294" i="7"/>
  <c r="B294" i="7"/>
  <c r="C293" i="7"/>
  <c r="B293" i="7"/>
  <c r="C292" i="7"/>
  <c r="B292" i="7"/>
  <c r="C291" i="7"/>
  <c r="B291" i="7"/>
  <c r="C290" i="7"/>
  <c r="B290" i="7"/>
  <c r="C289" i="7"/>
  <c r="B289" i="7"/>
  <c r="C288" i="7"/>
  <c r="B288" i="7"/>
  <c r="C287" i="7"/>
  <c r="B287" i="7"/>
  <c r="C286" i="7"/>
  <c r="B286" i="7"/>
  <c r="C285" i="7"/>
  <c r="B285" i="7"/>
  <c r="C284" i="7"/>
  <c r="B284" i="7"/>
  <c r="C283" i="7"/>
  <c r="B283" i="7"/>
  <c r="C282" i="7"/>
  <c r="B282" i="7"/>
  <c r="C281" i="7"/>
  <c r="B281" i="7"/>
  <c r="C280" i="7"/>
  <c r="B280" i="7"/>
  <c r="C279" i="7"/>
  <c r="B279" i="7"/>
  <c r="C278" i="7"/>
  <c r="B278" i="7"/>
  <c r="C277" i="7"/>
  <c r="B277" i="7"/>
  <c r="C276" i="7"/>
  <c r="B276" i="7"/>
  <c r="C275" i="7"/>
  <c r="B275" i="7"/>
  <c r="C274" i="7"/>
  <c r="B274" i="7"/>
  <c r="C273" i="7"/>
  <c r="B273" i="7"/>
  <c r="C272" i="7"/>
  <c r="B272" i="7"/>
  <c r="C271" i="7"/>
  <c r="B271" i="7"/>
  <c r="C270" i="7"/>
  <c r="B270" i="7"/>
  <c r="C269" i="7"/>
  <c r="B269" i="7"/>
  <c r="C268" i="7"/>
  <c r="B268" i="7"/>
  <c r="C267" i="7"/>
  <c r="B267" i="7"/>
  <c r="C266" i="7"/>
  <c r="B266" i="7"/>
  <c r="C265" i="7"/>
  <c r="B265" i="7"/>
  <c r="C264" i="7"/>
  <c r="B264" i="7"/>
  <c r="C263" i="7"/>
  <c r="B263" i="7"/>
  <c r="C262" i="7"/>
  <c r="B262" i="7"/>
  <c r="C261" i="7"/>
  <c r="B261" i="7"/>
  <c r="C260" i="7"/>
  <c r="B260" i="7"/>
  <c r="C259" i="7"/>
  <c r="B259" i="7"/>
  <c r="C258" i="7"/>
  <c r="B258" i="7"/>
  <c r="C257" i="7"/>
  <c r="B257" i="7"/>
  <c r="C256" i="7"/>
  <c r="B256" i="7"/>
  <c r="C255" i="7"/>
  <c r="B255" i="7"/>
  <c r="C254" i="7"/>
  <c r="B254" i="7"/>
  <c r="C253" i="7"/>
  <c r="B253" i="7"/>
  <c r="C252" i="7"/>
  <c r="B252" i="7"/>
  <c r="C251" i="7"/>
  <c r="B251" i="7"/>
  <c r="C250" i="7"/>
  <c r="B250" i="7"/>
  <c r="C249" i="7"/>
  <c r="B249" i="7"/>
  <c r="C248" i="7"/>
  <c r="B248" i="7"/>
  <c r="C247" i="7"/>
  <c r="B247" i="7"/>
  <c r="C246" i="7"/>
  <c r="B246" i="7"/>
  <c r="C245" i="7"/>
  <c r="B245" i="7"/>
  <c r="C244" i="7"/>
  <c r="B244" i="7"/>
  <c r="C243" i="7"/>
  <c r="B243" i="7"/>
  <c r="C242" i="7"/>
  <c r="B242" i="7"/>
  <c r="C241" i="7"/>
  <c r="B241" i="7"/>
  <c r="C240" i="7"/>
  <c r="B240" i="7"/>
  <c r="C239" i="7"/>
  <c r="B239" i="7"/>
  <c r="C238" i="7"/>
  <c r="B238" i="7"/>
  <c r="C237" i="7"/>
  <c r="B237" i="7"/>
  <c r="C236" i="7"/>
  <c r="B236" i="7"/>
  <c r="C235" i="7"/>
  <c r="B235" i="7"/>
  <c r="C234" i="7"/>
  <c r="B234" i="7"/>
  <c r="C233" i="7"/>
  <c r="B233" i="7"/>
  <c r="C232" i="7"/>
  <c r="B232" i="7"/>
  <c r="C231" i="7"/>
  <c r="B231" i="7"/>
  <c r="C230" i="7"/>
  <c r="B230" i="7"/>
  <c r="C229" i="7"/>
  <c r="B229" i="7"/>
  <c r="C228" i="7"/>
  <c r="B228" i="7"/>
  <c r="C227" i="7"/>
  <c r="B227" i="7"/>
  <c r="C226" i="7"/>
  <c r="B226" i="7"/>
  <c r="C225" i="7"/>
  <c r="B225" i="7"/>
  <c r="C224" i="7"/>
  <c r="B224" i="7"/>
  <c r="C223" i="7"/>
  <c r="B223" i="7"/>
  <c r="C222" i="7"/>
  <c r="B222" i="7"/>
  <c r="C221" i="7"/>
  <c r="B221" i="7"/>
  <c r="C220" i="7"/>
  <c r="B220" i="7"/>
  <c r="C219" i="7"/>
  <c r="B219" i="7"/>
  <c r="C218" i="7"/>
  <c r="B218" i="7"/>
  <c r="C217" i="7"/>
  <c r="B217" i="7"/>
  <c r="C216" i="7"/>
  <c r="B216" i="7"/>
  <c r="C215" i="7"/>
  <c r="B215" i="7"/>
  <c r="C214" i="7"/>
  <c r="B214" i="7"/>
  <c r="C213" i="7"/>
  <c r="B213" i="7"/>
  <c r="C212" i="7"/>
  <c r="B212" i="7"/>
  <c r="C211" i="7"/>
  <c r="B211" i="7"/>
  <c r="C210" i="7"/>
  <c r="B210" i="7"/>
  <c r="C209" i="7"/>
  <c r="B209" i="7"/>
  <c r="C208" i="7"/>
  <c r="B208" i="7"/>
  <c r="C207" i="7"/>
  <c r="B207" i="7"/>
  <c r="C206" i="7"/>
  <c r="B206" i="7"/>
  <c r="C205" i="7"/>
  <c r="B205" i="7"/>
  <c r="C204" i="7"/>
  <c r="B204" i="7"/>
  <c r="C203" i="7"/>
  <c r="B203" i="7"/>
  <c r="C202" i="7"/>
  <c r="B202" i="7"/>
  <c r="C201" i="7"/>
  <c r="B201" i="7"/>
  <c r="C200" i="7"/>
  <c r="B200" i="7"/>
  <c r="C199" i="7"/>
  <c r="B199" i="7"/>
  <c r="C198" i="7"/>
  <c r="B198" i="7"/>
  <c r="C197" i="7"/>
  <c r="B197" i="7"/>
  <c r="C196" i="7"/>
  <c r="B196" i="7"/>
  <c r="C195" i="7"/>
  <c r="B195" i="7"/>
  <c r="C194" i="7"/>
  <c r="B194" i="7"/>
  <c r="C193" i="7"/>
  <c r="B193" i="7"/>
  <c r="C192" i="7"/>
  <c r="B192" i="7"/>
  <c r="C191" i="7"/>
  <c r="B191" i="7"/>
  <c r="C190" i="7"/>
  <c r="B190" i="7"/>
  <c r="C189" i="7"/>
  <c r="B189" i="7"/>
  <c r="C188" i="7"/>
  <c r="B188" i="7"/>
  <c r="C187" i="7"/>
  <c r="B187" i="7"/>
  <c r="C186" i="7"/>
  <c r="B186" i="7"/>
  <c r="C185" i="7"/>
  <c r="B185" i="7"/>
  <c r="C184" i="7"/>
  <c r="B184" i="7"/>
  <c r="C183" i="7"/>
  <c r="B183" i="7"/>
  <c r="C182" i="7"/>
  <c r="B182" i="7"/>
  <c r="C181" i="7"/>
  <c r="B181" i="7"/>
  <c r="C180" i="7"/>
  <c r="B180" i="7"/>
  <c r="C179" i="7"/>
  <c r="B179" i="7"/>
  <c r="C178" i="7"/>
  <c r="B178" i="7"/>
  <c r="C177" i="7"/>
  <c r="B177" i="7"/>
  <c r="C176" i="7"/>
  <c r="B176" i="7"/>
  <c r="C175" i="7"/>
  <c r="B175" i="7"/>
  <c r="C174" i="7"/>
  <c r="B174" i="7"/>
  <c r="C173" i="7"/>
  <c r="B173" i="7"/>
  <c r="C172" i="7"/>
  <c r="B172" i="7"/>
  <c r="C171" i="7"/>
  <c r="B171" i="7"/>
  <c r="C170" i="7"/>
  <c r="B170" i="7"/>
  <c r="C169" i="7"/>
  <c r="B169" i="7"/>
  <c r="C168" i="7"/>
  <c r="B168" i="7"/>
  <c r="C167" i="7"/>
  <c r="B167" i="7"/>
  <c r="C166" i="7"/>
  <c r="B166" i="7"/>
  <c r="C165" i="7"/>
  <c r="B165" i="7"/>
  <c r="C164" i="7"/>
  <c r="B164" i="7"/>
  <c r="C163" i="7"/>
  <c r="B163" i="7"/>
  <c r="C128" i="7"/>
  <c r="B128" i="7"/>
  <c r="C96" i="7"/>
  <c r="B96" i="7"/>
  <c r="C95" i="7"/>
  <c r="B95" i="7"/>
  <c r="C94" i="7"/>
  <c r="B94" i="7"/>
  <c r="C93" i="7"/>
  <c r="B93" i="7"/>
  <c r="C137" i="7"/>
  <c r="B137" i="7"/>
  <c r="C155" i="7"/>
  <c r="B155" i="7"/>
  <c r="C127" i="7"/>
  <c r="B127" i="7"/>
  <c r="C92" i="7"/>
  <c r="B92" i="7"/>
  <c r="C154" i="7"/>
  <c r="B154" i="7"/>
  <c r="C126" i="7"/>
  <c r="B126" i="7"/>
  <c r="C153" i="7"/>
  <c r="B153" i="7"/>
  <c r="C125" i="7"/>
  <c r="B125" i="7"/>
  <c r="C152" i="7"/>
  <c r="B152" i="7"/>
  <c r="C124" i="7"/>
  <c r="B124" i="7"/>
  <c r="C123" i="7"/>
  <c r="B123" i="7"/>
  <c r="C68" i="7"/>
  <c r="B68" i="7"/>
  <c r="C67" i="7"/>
  <c r="B67" i="7"/>
  <c r="C66" i="7"/>
  <c r="B66" i="7"/>
  <c r="C122" i="7"/>
  <c r="B122" i="7"/>
  <c r="C121" i="7"/>
  <c r="B121" i="7"/>
  <c r="C91" i="7"/>
  <c r="B91" i="7"/>
  <c r="C65" i="7"/>
  <c r="B65" i="7"/>
  <c r="C41" i="7"/>
  <c r="B41" i="7"/>
  <c r="C90" i="7"/>
  <c r="B90" i="7"/>
  <c r="C55" i="7"/>
  <c r="B55" i="7"/>
  <c r="C40" i="7"/>
  <c r="B40" i="7"/>
  <c r="C54" i="7"/>
  <c r="B54" i="7"/>
  <c r="C120" i="7"/>
  <c r="B120" i="7"/>
  <c r="C119" i="7"/>
  <c r="B119" i="7"/>
  <c r="C118" i="7"/>
  <c r="B118" i="7"/>
  <c r="C53" i="7"/>
  <c r="B53" i="7"/>
  <c r="C52" i="7"/>
  <c r="B52" i="7"/>
  <c r="C136" i="7"/>
  <c r="B136" i="7"/>
  <c r="C135" i="7"/>
  <c r="B135" i="7"/>
  <c r="C151" i="7"/>
  <c r="B151" i="7"/>
  <c r="C51" i="7"/>
  <c r="B51" i="7"/>
  <c r="C39" i="7"/>
  <c r="B39" i="7"/>
  <c r="C117" i="7"/>
  <c r="B117" i="7"/>
  <c r="C116" i="7"/>
  <c r="B116" i="7"/>
  <c r="C89" i="7"/>
  <c r="B89" i="7"/>
  <c r="C99" i="7"/>
  <c r="B99" i="7"/>
  <c r="C134" i="7"/>
  <c r="B134" i="7"/>
  <c r="C98" i="7"/>
  <c r="B98" i="7"/>
  <c r="C133" i="7"/>
  <c r="B133" i="7"/>
  <c r="C132" i="7"/>
  <c r="B132" i="7"/>
  <c r="C88" i="7"/>
  <c r="B88" i="7"/>
  <c r="C50" i="7"/>
  <c r="B50" i="7"/>
  <c r="C87" i="7"/>
  <c r="B87" i="7"/>
  <c r="C130" i="7"/>
  <c r="B130" i="7"/>
  <c r="C64" i="7"/>
  <c r="B64" i="7"/>
  <c r="C63" i="7"/>
  <c r="B63" i="7"/>
  <c r="C115" i="7"/>
  <c r="B115" i="7"/>
  <c r="C62" i="7"/>
  <c r="B62" i="7"/>
  <c r="C38" i="7"/>
  <c r="B38" i="7"/>
  <c r="C114" i="7"/>
  <c r="B114" i="7"/>
  <c r="C150" i="7"/>
  <c r="B150" i="7"/>
  <c r="C149" i="7"/>
  <c r="B149" i="7"/>
  <c r="C49" i="7"/>
  <c r="B49" i="7"/>
  <c r="C48" i="7"/>
  <c r="B48" i="7"/>
  <c r="C86" i="7"/>
  <c r="B86" i="7"/>
  <c r="C85" i="7"/>
  <c r="B85" i="7"/>
  <c r="C84" i="7"/>
  <c r="B84" i="7"/>
  <c r="C83" i="7"/>
  <c r="B83" i="7"/>
  <c r="C82" i="7"/>
  <c r="B82" i="7"/>
  <c r="C81" i="7"/>
  <c r="B81" i="7"/>
  <c r="C148" i="7"/>
  <c r="B148" i="7"/>
  <c r="C61" i="7"/>
  <c r="B61" i="7"/>
  <c r="C147" i="7"/>
  <c r="B147" i="7"/>
  <c r="C129" i="7"/>
  <c r="B129" i="7"/>
  <c r="C146" i="7"/>
  <c r="B146" i="7"/>
  <c r="C131" i="7"/>
  <c r="B131" i="7"/>
  <c r="C47" i="7"/>
  <c r="B47" i="7"/>
  <c r="C37" i="7"/>
  <c r="B37" i="7"/>
  <c r="C46" i="7"/>
  <c r="B46" i="7"/>
  <c r="C80" i="7"/>
  <c r="B80" i="7"/>
  <c r="C79" i="7"/>
  <c r="B79" i="7"/>
  <c r="C145" i="7"/>
  <c r="B145" i="7"/>
  <c r="C113" i="7"/>
  <c r="B113" i="7"/>
  <c r="C112" i="7"/>
  <c r="B112" i="7"/>
  <c r="C111" i="7"/>
  <c r="B111" i="7"/>
  <c r="C78" i="7"/>
  <c r="B78" i="7"/>
  <c r="C110" i="7"/>
  <c r="B110" i="7"/>
  <c r="C109" i="7"/>
  <c r="B109" i="7"/>
  <c r="C77" i="7"/>
  <c r="B77" i="7"/>
  <c r="C108" i="7"/>
  <c r="B108" i="7"/>
  <c r="C107" i="7"/>
  <c r="B107" i="7"/>
  <c r="C106" i="7"/>
  <c r="B106" i="7"/>
  <c r="C76" i="7"/>
  <c r="B76" i="7"/>
  <c r="C75" i="7"/>
  <c r="B75" i="7"/>
  <c r="C74" i="7"/>
  <c r="B74" i="7"/>
  <c r="C73" i="7"/>
  <c r="B73" i="7"/>
  <c r="C45" i="7"/>
  <c r="B45" i="7"/>
  <c r="C44" i="7"/>
  <c r="B44" i="7"/>
  <c r="C105" i="7"/>
  <c r="B105" i="7"/>
  <c r="C144" i="7"/>
  <c r="B144" i="7"/>
  <c r="C143" i="7"/>
  <c r="B143" i="7"/>
  <c r="C72" i="7"/>
  <c r="B72" i="7"/>
  <c r="C71" i="7"/>
  <c r="B71" i="7"/>
  <c r="C42" i="7"/>
  <c r="B42" i="7"/>
  <c r="C60" i="7"/>
  <c r="B60" i="7"/>
  <c r="C59" i="7"/>
  <c r="B59" i="7"/>
  <c r="C58" i="7"/>
  <c r="B58" i="7"/>
  <c r="C57" i="7"/>
  <c r="B57" i="7"/>
  <c r="C36" i="7"/>
  <c r="B36" i="7"/>
  <c r="C43" i="7"/>
  <c r="B43" i="7"/>
  <c r="C104" i="7"/>
  <c r="B104" i="7"/>
  <c r="C142" i="7"/>
  <c r="B142" i="7"/>
  <c r="C70" i="7"/>
  <c r="B70" i="7"/>
  <c r="C69" i="7"/>
  <c r="B69" i="7"/>
  <c r="C141" i="7"/>
  <c r="B141" i="7"/>
  <c r="C97" i="7"/>
  <c r="B97" i="7"/>
  <c r="C56" i="7"/>
  <c r="B56" i="7"/>
  <c r="C140" i="7"/>
  <c r="B140" i="7"/>
  <c r="C103" i="7"/>
  <c r="B103" i="7"/>
  <c r="C102" i="7"/>
  <c r="B102" i="7"/>
  <c r="C101" i="7"/>
  <c r="B101" i="7"/>
  <c r="C100" i="7"/>
  <c r="B100" i="7"/>
  <c r="C139" i="7"/>
  <c r="B139" i="7"/>
  <c r="C138" i="7"/>
  <c r="B138" i="7"/>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B346" i="9"/>
  <c r="C346" i="9"/>
  <c r="B347" i="9"/>
  <c r="C347" i="9"/>
  <c r="B348" i="9"/>
  <c r="C348" i="9"/>
  <c r="B349" i="9"/>
  <c r="C349" i="9"/>
  <c r="B350" i="9"/>
  <c r="C350" i="9"/>
  <c r="B351" i="9"/>
  <c r="C351" i="9"/>
  <c r="B352" i="9"/>
  <c r="C352" i="9"/>
  <c r="B353" i="9"/>
  <c r="C353" i="9"/>
  <c r="B354" i="9"/>
  <c r="C354" i="9"/>
  <c r="B355" i="9"/>
  <c r="C355" i="9"/>
  <c r="B356" i="9"/>
  <c r="C356" i="9"/>
  <c r="B357" i="9"/>
  <c r="C357" i="9"/>
  <c r="B358" i="9"/>
  <c r="C358" i="9"/>
  <c r="B359" i="9"/>
  <c r="C359" i="9"/>
  <c r="B360" i="9"/>
  <c r="C360" i="9"/>
  <c r="B361" i="9"/>
  <c r="C361" i="9"/>
  <c r="B362" i="9"/>
  <c r="C362" i="9"/>
  <c r="B363" i="9"/>
  <c r="C363" i="9"/>
  <c r="B364" i="9"/>
  <c r="C364" i="9"/>
  <c r="B365" i="9"/>
  <c r="C365" i="9"/>
  <c r="B366" i="9"/>
  <c r="C366" i="9"/>
  <c r="B367" i="9"/>
  <c r="C367" i="9"/>
  <c r="B368" i="9"/>
  <c r="C368" i="9"/>
  <c r="B369" i="9"/>
  <c r="C369" i="9"/>
  <c r="B370" i="9"/>
  <c r="C370" i="9"/>
  <c r="B371" i="9"/>
  <c r="C371" i="9"/>
  <c r="B372" i="9"/>
  <c r="C372" i="9"/>
  <c r="B373" i="9"/>
  <c r="C373" i="9"/>
  <c r="B374" i="9"/>
  <c r="C374" i="9"/>
  <c r="B375" i="9"/>
  <c r="C375" i="9"/>
  <c r="B376" i="9"/>
  <c r="C376" i="9"/>
  <c r="B377" i="9"/>
  <c r="C377" i="9"/>
  <c r="B378" i="9"/>
  <c r="C378" i="9"/>
  <c r="B379" i="9"/>
  <c r="C379" i="9"/>
  <c r="B380" i="9"/>
  <c r="C380" i="9"/>
  <c r="B381" i="9"/>
  <c r="C381" i="9"/>
  <c r="B382" i="9"/>
  <c r="C382" i="9"/>
  <c r="B383" i="9"/>
  <c r="C383" i="9"/>
  <c r="B384" i="9"/>
  <c r="C384" i="9"/>
  <c r="B385" i="9"/>
  <c r="C385" i="9"/>
  <c r="B386" i="9"/>
  <c r="C386"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139" i="9"/>
  <c r="C139" i="9"/>
  <c r="E139" i="9"/>
  <c r="B100" i="9"/>
  <c r="C100" i="9"/>
  <c r="E100" i="9"/>
  <c r="B101" i="9"/>
  <c r="C101" i="9"/>
  <c r="E101" i="9"/>
  <c r="B102" i="9"/>
  <c r="C102" i="9"/>
  <c r="E102" i="9"/>
  <c r="B103" i="9"/>
  <c r="C103" i="9"/>
  <c r="E103" i="9"/>
  <c r="B140" i="9"/>
  <c r="C140" i="9"/>
  <c r="E140" i="9"/>
  <c r="B56" i="9"/>
  <c r="C56" i="9"/>
  <c r="E56" i="9"/>
  <c r="B97" i="9"/>
  <c r="C97" i="9"/>
  <c r="E97" i="9"/>
  <c r="B141" i="9"/>
  <c r="C141" i="9"/>
  <c r="E141" i="9"/>
  <c r="B69" i="9"/>
  <c r="C69" i="9"/>
  <c r="E69" i="9"/>
  <c r="B70" i="9"/>
  <c r="C70" i="9"/>
  <c r="E70" i="9"/>
  <c r="B142" i="9"/>
  <c r="C142" i="9"/>
  <c r="E142" i="9"/>
  <c r="B104" i="9"/>
  <c r="C104" i="9"/>
  <c r="E104" i="9"/>
  <c r="B43" i="9"/>
  <c r="C43" i="9"/>
  <c r="E43" i="9"/>
  <c r="B57" i="9"/>
  <c r="C57" i="9"/>
  <c r="E57" i="9"/>
  <c r="B58" i="9"/>
  <c r="C58" i="9"/>
  <c r="E58" i="9"/>
  <c r="B59" i="9"/>
  <c r="C59" i="9"/>
  <c r="E59" i="9"/>
  <c r="B60" i="9"/>
  <c r="C60" i="9"/>
  <c r="E60" i="9"/>
  <c r="B42" i="9"/>
  <c r="C42" i="9"/>
  <c r="E42" i="9"/>
  <c r="B71" i="9"/>
  <c r="C71" i="9"/>
  <c r="E71" i="9"/>
  <c r="B72" i="9"/>
  <c r="C72" i="9"/>
  <c r="E72" i="9"/>
  <c r="B143" i="9"/>
  <c r="C143" i="9"/>
  <c r="E143" i="9"/>
  <c r="B144" i="9"/>
  <c r="C144" i="9"/>
  <c r="E144" i="9"/>
  <c r="B105" i="9"/>
  <c r="C105" i="9"/>
  <c r="E105" i="9"/>
  <c r="B44" i="9"/>
  <c r="C44" i="9"/>
  <c r="E44" i="9"/>
  <c r="B45" i="9"/>
  <c r="C45" i="9"/>
  <c r="E45" i="9"/>
  <c r="B73" i="9"/>
  <c r="C73" i="9"/>
  <c r="E73" i="9"/>
  <c r="B74" i="9"/>
  <c r="C74" i="9"/>
  <c r="E74" i="9"/>
  <c r="B75" i="9"/>
  <c r="C75" i="9"/>
  <c r="E75" i="9"/>
  <c r="B76" i="9"/>
  <c r="C76" i="9"/>
  <c r="E76" i="9"/>
  <c r="B106" i="9"/>
  <c r="C106" i="9"/>
  <c r="E106" i="9"/>
  <c r="B107" i="9"/>
  <c r="C107" i="9"/>
  <c r="E107" i="9"/>
  <c r="B108" i="9"/>
  <c r="C108" i="9"/>
  <c r="E108" i="9"/>
  <c r="B77" i="9"/>
  <c r="C77" i="9"/>
  <c r="E77" i="9"/>
  <c r="B109" i="9"/>
  <c r="C109" i="9"/>
  <c r="E109" i="9"/>
  <c r="B110" i="9"/>
  <c r="C110" i="9"/>
  <c r="E110" i="9"/>
  <c r="B78" i="9"/>
  <c r="C78" i="9"/>
  <c r="E78" i="9"/>
  <c r="B111" i="9"/>
  <c r="C111" i="9"/>
  <c r="E111" i="9"/>
  <c r="B112" i="9"/>
  <c r="C112" i="9"/>
  <c r="E112" i="9"/>
  <c r="B113" i="9"/>
  <c r="C113" i="9"/>
  <c r="E113" i="9"/>
  <c r="B145" i="9"/>
  <c r="C145" i="9"/>
  <c r="E145" i="9"/>
  <c r="B79" i="9"/>
  <c r="C79" i="9"/>
  <c r="E79" i="9"/>
  <c r="B80" i="9"/>
  <c r="C80" i="9"/>
  <c r="E80" i="9"/>
  <c r="B46" i="9"/>
  <c r="C46" i="9"/>
  <c r="E46" i="9"/>
  <c r="B47" i="9"/>
  <c r="C47" i="9"/>
  <c r="E47" i="9"/>
  <c r="B131" i="9"/>
  <c r="C131" i="9"/>
  <c r="E131" i="9"/>
  <c r="B146" i="9"/>
  <c r="C146" i="9"/>
  <c r="E146" i="9"/>
  <c r="B129" i="9"/>
  <c r="C129" i="9"/>
  <c r="E129" i="9"/>
  <c r="B147" i="9"/>
  <c r="C147" i="9"/>
  <c r="E147" i="9"/>
  <c r="B61" i="9"/>
  <c r="C61" i="9"/>
  <c r="E61" i="9"/>
  <c r="B148" i="9"/>
  <c r="C148" i="9"/>
  <c r="E148" i="9"/>
  <c r="B81" i="9"/>
  <c r="C81" i="9"/>
  <c r="E81" i="9"/>
  <c r="B82" i="9"/>
  <c r="C82" i="9"/>
  <c r="E82" i="9"/>
  <c r="B83" i="9"/>
  <c r="C83" i="9"/>
  <c r="E83" i="9"/>
  <c r="B84" i="9"/>
  <c r="C84" i="9"/>
  <c r="E84" i="9"/>
  <c r="B85" i="9"/>
  <c r="C85" i="9"/>
  <c r="E85" i="9"/>
  <c r="B86" i="9"/>
  <c r="C86" i="9"/>
  <c r="E86" i="9"/>
  <c r="B48" i="9"/>
  <c r="C48" i="9"/>
  <c r="E48" i="9"/>
  <c r="B49" i="9"/>
  <c r="C49" i="9"/>
  <c r="E49" i="9"/>
  <c r="B149" i="9"/>
  <c r="C149" i="9"/>
  <c r="E149" i="9"/>
  <c r="B150" i="9"/>
  <c r="C150" i="9"/>
  <c r="E150" i="9"/>
  <c r="B114" i="9"/>
  <c r="C114" i="9"/>
  <c r="E114" i="9"/>
  <c r="B38" i="9"/>
  <c r="C38" i="9"/>
  <c r="E38" i="9"/>
  <c r="B62" i="9"/>
  <c r="C62" i="9"/>
  <c r="E62" i="9"/>
  <c r="B115" i="9"/>
  <c r="C115" i="9"/>
  <c r="E115" i="9"/>
  <c r="B63" i="9"/>
  <c r="C63" i="9"/>
  <c r="E63" i="9"/>
  <c r="B64" i="9"/>
  <c r="C64" i="9"/>
  <c r="E64" i="9"/>
  <c r="B130" i="9"/>
  <c r="C130" i="9"/>
  <c r="E130" i="9"/>
  <c r="B87" i="9"/>
  <c r="C87" i="9"/>
  <c r="E87" i="9"/>
  <c r="B50" i="9"/>
  <c r="C50" i="9"/>
  <c r="E50" i="9"/>
  <c r="B88" i="9"/>
  <c r="C88" i="9"/>
  <c r="E88" i="9"/>
  <c r="B132" i="9"/>
  <c r="C132" i="9"/>
  <c r="E132" i="9"/>
  <c r="B133" i="9"/>
  <c r="C133" i="9"/>
  <c r="E133" i="9"/>
  <c r="B98" i="9"/>
  <c r="C98" i="9"/>
  <c r="E98" i="9"/>
  <c r="B134" i="9"/>
  <c r="C134" i="9"/>
  <c r="E134" i="9"/>
  <c r="B99" i="9"/>
  <c r="C99" i="9"/>
  <c r="E99" i="9"/>
  <c r="B89" i="9"/>
  <c r="C89" i="9"/>
  <c r="E89" i="9"/>
  <c r="B116" i="9"/>
  <c r="C116" i="9"/>
  <c r="E116" i="9"/>
  <c r="B117" i="9"/>
  <c r="C117" i="9"/>
  <c r="E117" i="9"/>
  <c r="B39" i="9"/>
  <c r="C39" i="9"/>
  <c r="E39" i="9"/>
  <c r="B51" i="9"/>
  <c r="C51" i="9"/>
  <c r="E51" i="9"/>
  <c r="B151" i="9"/>
  <c r="C151" i="9"/>
  <c r="E151" i="9"/>
  <c r="B135" i="9"/>
  <c r="C135" i="9"/>
  <c r="E135" i="9"/>
  <c r="B136" i="9"/>
  <c r="C136" i="9"/>
  <c r="E136" i="9"/>
  <c r="B52" i="9"/>
  <c r="C52" i="9"/>
  <c r="E52" i="9"/>
  <c r="B53" i="9"/>
  <c r="C53" i="9"/>
  <c r="E53" i="9"/>
  <c r="B118" i="9"/>
  <c r="C118" i="9"/>
  <c r="E118" i="9"/>
  <c r="B119" i="9"/>
  <c r="C119" i="9"/>
  <c r="E119" i="9"/>
  <c r="B120" i="9"/>
  <c r="C120" i="9"/>
  <c r="E120" i="9"/>
  <c r="B54" i="9"/>
  <c r="C54" i="9"/>
  <c r="E54" i="9"/>
  <c r="B40" i="9"/>
  <c r="C40" i="9"/>
  <c r="E40" i="9"/>
  <c r="B55" i="9"/>
  <c r="C55" i="9"/>
  <c r="E55" i="9"/>
  <c r="B90" i="9"/>
  <c r="C90" i="9"/>
  <c r="E90" i="9"/>
  <c r="B41" i="9"/>
  <c r="C41" i="9"/>
  <c r="E41" i="9"/>
  <c r="B65" i="9"/>
  <c r="C65" i="9"/>
  <c r="E65" i="9"/>
  <c r="B91" i="9"/>
  <c r="C91" i="9"/>
  <c r="E91" i="9"/>
  <c r="B121" i="9"/>
  <c r="C121" i="9"/>
  <c r="E121" i="9"/>
  <c r="B122" i="9"/>
  <c r="C122" i="9"/>
  <c r="E122" i="9"/>
  <c r="B66" i="9"/>
  <c r="C66" i="9"/>
  <c r="E66" i="9"/>
  <c r="B67" i="9"/>
  <c r="C67" i="9"/>
  <c r="E67" i="9"/>
  <c r="B68" i="9"/>
  <c r="C68" i="9"/>
  <c r="E68" i="9"/>
  <c r="B123" i="9"/>
  <c r="C123" i="9"/>
  <c r="E123" i="9"/>
  <c r="B124" i="9"/>
  <c r="C124" i="9"/>
  <c r="E124" i="9"/>
  <c r="B152" i="9"/>
  <c r="C152" i="9"/>
  <c r="E152" i="9"/>
  <c r="B125" i="9"/>
  <c r="C125" i="9"/>
  <c r="E125" i="9"/>
  <c r="B153" i="9"/>
  <c r="C153" i="9"/>
  <c r="E153" i="9"/>
  <c r="B126" i="9"/>
  <c r="C126" i="9"/>
  <c r="E126" i="9"/>
  <c r="B154" i="9"/>
  <c r="C154" i="9"/>
  <c r="E154" i="9"/>
  <c r="B92" i="9"/>
  <c r="C92" i="9"/>
  <c r="E92" i="9"/>
  <c r="B127" i="9"/>
  <c r="C127" i="9"/>
  <c r="E127" i="9"/>
  <c r="B155" i="9"/>
  <c r="C155" i="9"/>
  <c r="E155" i="9"/>
  <c r="B137" i="9"/>
  <c r="C137" i="9"/>
  <c r="E137" i="9"/>
  <c r="B93" i="9"/>
  <c r="C93" i="9"/>
  <c r="E93" i="9"/>
  <c r="B94" i="9"/>
  <c r="C94" i="9"/>
  <c r="E94" i="9"/>
  <c r="B95" i="9"/>
  <c r="C95" i="9"/>
  <c r="E95" i="9"/>
  <c r="B96" i="9"/>
  <c r="C96" i="9"/>
  <c r="E96" i="9"/>
  <c r="B128" i="9"/>
  <c r="C128" i="9"/>
  <c r="E128" i="9"/>
  <c r="C138" i="9"/>
  <c r="B138" i="9"/>
  <c r="C11" i="7"/>
  <c r="C15" i="7"/>
  <c r="C19" i="7"/>
  <c r="C12" i="7"/>
  <c r="C16" i="7"/>
  <c r="C8" i="7"/>
  <c r="C13" i="7"/>
  <c r="C9" i="7"/>
  <c r="D9" i="7"/>
  <c r="I9" i="7"/>
  <c r="C17" i="7"/>
  <c r="C10" i="7"/>
  <c r="C18" i="7"/>
  <c r="C14" i="7"/>
  <c r="D14" i="7"/>
  <c r="I14" i="7"/>
  <c r="C105" i="8"/>
  <c r="D100" i="8"/>
  <c r="E105" i="8"/>
  <c r="E100" i="8"/>
  <c r="F37" i="8"/>
  <c r="D38" i="8"/>
  <c r="D40" i="8"/>
  <c r="F41" i="8"/>
  <c r="D42" i="8"/>
  <c r="F43" i="8"/>
  <c r="D44" i="8"/>
  <c r="F45" i="8"/>
  <c r="D46" i="8"/>
  <c r="F47" i="8"/>
  <c r="C36" i="8"/>
  <c r="E12" i="8"/>
  <c r="C37" i="8"/>
  <c r="G37" i="8"/>
  <c r="E38" i="8"/>
  <c r="C39" i="8"/>
  <c r="G39" i="8"/>
  <c r="E40" i="8"/>
  <c r="C41" i="8"/>
  <c r="G41" i="8"/>
  <c r="E42" i="8"/>
  <c r="C43" i="8"/>
  <c r="G43" i="8"/>
  <c r="E44" i="8"/>
  <c r="C45" i="8"/>
  <c r="G45" i="8"/>
  <c r="E46" i="8"/>
  <c r="C47" i="8"/>
  <c r="G47" i="8"/>
  <c r="F36" i="8"/>
  <c r="D17" i="8"/>
  <c r="C100" i="8"/>
  <c r="D39" i="8"/>
  <c r="F40" i="8"/>
  <c r="D43" i="8"/>
  <c r="F44" i="8"/>
  <c r="D47" i="8"/>
  <c r="E36" i="8"/>
  <c r="G40" i="8"/>
  <c r="G44" i="8"/>
  <c r="D36" i="8"/>
  <c r="D105" i="8"/>
  <c r="D37" i="8"/>
  <c r="F38" i="8"/>
  <c r="D41" i="8"/>
  <c r="F42" i="8"/>
  <c r="D45" i="8"/>
  <c r="F46" i="8"/>
  <c r="E17" i="8"/>
  <c r="E39" i="8"/>
  <c r="C42" i="8"/>
  <c r="C46" i="8"/>
  <c r="D12" i="8"/>
  <c r="E37" i="8"/>
  <c r="G38" i="8"/>
  <c r="C40" i="8"/>
  <c r="E41" i="8"/>
  <c r="G42" i="8"/>
  <c r="C44" i="8"/>
  <c r="E45" i="8"/>
  <c r="G46" i="8"/>
  <c r="C38" i="8"/>
  <c r="E43" i="8"/>
  <c r="E47" i="8"/>
  <c r="C17" i="8"/>
  <c r="F17" i="8"/>
  <c r="C12" i="8"/>
  <c r="F12" i="8"/>
  <c r="C9" i="9"/>
  <c r="C15" i="9"/>
  <c r="C8" i="9"/>
  <c r="C13" i="9"/>
  <c r="C19" i="9"/>
  <c r="C10" i="9"/>
  <c r="C17" i="9"/>
  <c r="C12" i="9"/>
  <c r="C14" i="9"/>
  <c r="C11" i="9"/>
  <c r="C16" i="9"/>
  <c r="C18" i="9"/>
  <c r="I31" i="6"/>
  <c r="I24" i="6"/>
  <c r="G112" i="8"/>
  <c r="C8" i="8"/>
  <c r="F232" i="8"/>
  <c r="F234" i="8"/>
  <c r="F235" i="8"/>
  <c r="F233" i="8"/>
  <c r="H234" i="8"/>
  <c r="H232" i="8"/>
  <c r="H235" i="8"/>
  <c r="H233" i="8"/>
  <c r="E96" i="8"/>
  <c r="L234" i="8"/>
  <c r="L235" i="8"/>
  <c r="L233" i="8"/>
  <c r="L232" i="8"/>
  <c r="K234" i="8"/>
  <c r="K232" i="8"/>
  <c r="K233" i="8"/>
  <c r="K235" i="8"/>
  <c r="E232" i="8"/>
  <c r="E235" i="8"/>
  <c r="E234" i="8"/>
  <c r="E233" i="8"/>
  <c r="J112" i="8"/>
  <c r="D96" i="8"/>
  <c r="I232" i="8"/>
  <c r="I235" i="8"/>
  <c r="I233" i="8"/>
  <c r="I234" i="8"/>
  <c r="E156" i="7"/>
  <c r="E159" i="7"/>
  <c r="E158" i="7"/>
  <c r="E157" i="7"/>
  <c r="E158" i="9"/>
  <c r="E157" i="9"/>
  <c r="E156" i="9"/>
  <c r="E159" i="9"/>
  <c r="I31" i="2"/>
  <c r="D19" i="7"/>
  <c r="D8" i="7"/>
  <c r="G8" i="7"/>
  <c r="D12" i="7"/>
  <c r="D16" i="7"/>
  <c r="D13" i="7"/>
  <c r="D17" i="7"/>
  <c r="D10" i="7"/>
  <c r="D18" i="7"/>
  <c r="D11" i="7"/>
  <c r="D15" i="7"/>
  <c r="F8" i="9"/>
  <c r="G213" i="8"/>
  <c r="J231" i="8"/>
  <c r="G203" i="8"/>
  <c r="G230" i="8"/>
  <c r="J202" i="8"/>
  <c r="G229" i="8"/>
  <c r="G228" i="8"/>
  <c r="G199" i="8"/>
  <c r="J142" i="8"/>
  <c r="G198" i="8"/>
  <c r="G167" i="8"/>
  <c r="J166" i="8"/>
  <c r="G131" i="8"/>
  <c r="G130" i="8"/>
  <c r="J196" i="8"/>
  <c r="G129" i="8"/>
  <c r="G227" i="8"/>
  <c r="J127" i="8"/>
  <c r="J193" i="8"/>
  <c r="G192" i="8"/>
  <c r="J165" i="8"/>
  <c r="J210" i="8"/>
  <c r="E15" i="8"/>
  <c r="G174" i="8"/>
  <c r="C103" i="8"/>
  <c r="G208" i="8"/>
  <c r="G139" i="8"/>
  <c r="J191" i="8"/>
  <c r="G138" i="8"/>
  <c r="G190" i="8"/>
  <c r="J226" i="8"/>
  <c r="G161" i="8"/>
  <c r="G137" i="8"/>
  <c r="J223" i="8"/>
  <c r="G207" i="8"/>
  <c r="G209" i="8"/>
  <c r="G210" i="8"/>
  <c r="G211" i="8"/>
  <c r="C106" i="8"/>
  <c r="J123" i="8"/>
  <c r="G156" i="8"/>
  <c r="J155" i="8"/>
  <c r="G154" i="8"/>
  <c r="J186" i="8"/>
  <c r="J153" i="8"/>
  <c r="G182" i="8"/>
  <c r="G149" i="8"/>
  <c r="G220" i="8"/>
  <c r="J219" i="8"/>
  <c r="E9" i="8"/>
  <c r="G118" i="8"/>
  <c r="C97" i="8"/>
  <c r="G119" i="8"/>
  <c r="C10" i="8"/>
  <c r="J180" i="8"/>
  <c r="J179" i="8"/>
  <c r="G178" i="8"/>
  <c r="J177" i="8"/>
  <c r="G176" i="8"/>
  <c r="J215" i="8"/>
  <c r="J220" i="8"/>
  <c r="J227" i="8"/>
  <c r="J228" i="8"/>
  <c r="J229" i="8"/>
  <c r="D107" i="8"/>
  <c r="G172" i="8"/>
  <c r="J171" i="8"/>
  <c r="G170" i="8"/>
  <c r="G231" i="8"/>
  <c r="J203" i="8"/>
  <c r="G202" i="8"/>
  <c r="J199" i="8"/>
  <c r="G142" i="8"/>
  <c r="J167" i="8"/>
  <c r="G141" i="8"/>
  <c r="G166" i="8"/>
  <c r="J131" i="8"/>
  <c r="J130" i="8"/>
  <c r="G196" i="8"/>
  <c r="J129" i="8"/>
  <c r="G193" i="8"/>
  <c r="J192" i="8"/>
  <c r="G165" i="8"/>
  <c r="J174" i="8"/>
  <c r="D15" i="8"/>
  <c r="J139" i="8"/>
  <c r="G191" i="8"/>
  <c r="J138" i="8"/>
  <c r="J190" i="8"/>
  <c r="G226" i="8"/>
  <c r="J161" i="8"/>
  <c r="J137" i="8"/>
  <c r="D13" i="8"/>
  <c r="G223" i="8"/>
  <c r="J207" i="8"/>
  <c r="D18" i="8"/>
  <c r="G123" i="8"/>
  <c r="J156" i="8"/>
  <c r="G155" i="8"/>
  <c r="J154" i="8"/>
  <c r="G186" i="8"/>
  <c r="G153" i="8"/>
  <c r="J182" i="8"/>
  <c r="J149" i="8"/>
  <c r="G219" i="8"/>
  <c r="J118" i="8"/>
  <c r="D9" i="8"/>
  <c r="J119" i="8"/>
  <c r="D98" i="8"/>
  <c r="G180" i="8"/>
  <c r="G179" i="8"/>
  <c r="J178" i="8"/>
  <c r="G177" i="8"/>
  <c r="J176" i="8"/>
  <c r="G215" i="8"/>
  <c r="J172" i="8"/>
  <c r="G171" i="8"/>
  <c r="J170" i="8"/>
  <c r="F8" i="7"/>
  <c r="I15" i="7"/>
  <c r="G9" i="9"/>
  <c r="D17" i="9"/>
  <c r="F12" i="9"/>
  <c r="D13" i="9"/>
  <c r="D16" i="9"/>
  <c r="I16" i="9"/>
  <c r="D9" i="9"/>
  <c r="F19" i="9"/>
  <c r="F15" i="9"/>
  <c r="F11" i="9"/>
  <c r="G16" i="9"/>
  <c r="G12" i="9"/>
  <c r="F18" i="9"/>
  <c r="F14" i="9"/>
  <c r="F10" i="9"/>
  <c r="G19" i="9"/>
  <c r="G15" i="9"/>
  <c r="G11" i="9"/>
  <c r="F17" i="9"/>
  <c r="F13" i="9"/>
  <c r="F9" i="9"/>
  <c r="G8" i="9"/>
  <c r="G18" i="9"/>
  <c r="G14" i="9"/>
  <c r="G10" i="9"/>
  <c r="I9" i="9"/>
  <c r="F16" i="9"/>
  <c r="G17" i="9"/>
  <c r="G13" i="9"/>
  <c r="D10" i="9"/>
  <c r="D14" i="9"/>
  <c r="E14" i="9"/>
  <c r="D18" i="9"/>
  <c r="D11" i="9"/>
  <c r="D15" i="9"/>
  <c r="D19" i="9"/>
  <c r="D8" i="9"/>
  <c r="D12" i="9"/>
  <c r="E12" i="9"/>
  <c r="C102" i="8"/>
  <c r="C104" i="8"/>
  <c r="D102" i="8"/>
  <c r="E101" i="8"/>
  <c r="C107" i="8"/>
  <c r="C11" i="8"/>
  <c r="E102" i="8"/>
  <c r="E107" i="8"/>
  <c r="E15" i="9"/>
  <c r="D16" i="8"/>
  <c r="D99" i="8"/>
  <c r="C13" i="8"/>
  <c r="C16" i="8"/>
  <c r="C19" i="8"/>
  <c r="C18" i="8"/>
  <c r="E92" i="8"/>
  <c r="E62" i="8"/>
  <c r="E77" i="8"/>
  <c r="D14" i="8"/>
  <c r="E90" i="8"/>
  <c r="E75" i="8"/>
  <c r="E60" i="8"/>
  <c r="C85" i="8"/>
  <c r="C70" i="8"/>
  <c r="C55" i="8"/>
  <c r="D101" i="8"/>
  <c r="F87" i="8"/>
  <c r="F57" i="8"/>
  <c r="F72" i="8"/>
  <c r="D82" i="8"/>
  <c r="D52" i="8"/>
  <c r="D67" i="8"/>
  <c r="G89" i="8"/>
  <c r="G74" i="8"/>
  <c r="G59" i="8"/>
  <c r="E11" i="8"/>
  <c r="F89" i="8"/>
  <c r="F74" i="8"/>
  <c r="F59" i="8"/>
  <c r="D84" i="8"/>
  <c r="D54" i="8"/>
  <c r="D69" i="8"/>
  <c r="D19" i="8"/>
  <c r="D11" i="8"/>
  <c r="F11" i="8"/>
  <c r="C92" i="8"/>
  <c r="C77" i="8"/>
  <c r="C62" i="8"/>
  <c r="E89" i="8"/>
  <c r="E74" i="8"/>
  <c r="E59" i="8"/>
  <c r="G86" i="8"/>
  <c r="G71" i="8"/>
  <c r="G56" i="8"/>
  <c r="C84" i="8"/>
  <c r="C69" i="8"/>
  <c r="C54" i="8"/>
  <c r="E16" i="8"/>
  <c r="C81" i="8"/>
  <c r="C66" i="8"/>
  <c r="C51" i="8"/>
  <c r="D91" i="8"/>
  <c r="D76" i="8"/>
  <c r="D61" i="8"/>
  <c r="F88" i="8"/>
  <c r="F73" i="8"/>
  <c r="F58" i="8"/>
  <c r="D83" i="8"/>
  <c r="D68" i="8"/>
  <c r="D53" i="8"/>
  <c r="D97" i="8"/>
  <c r="E104" i="8"/>
  <c r="D106" i="8"/>
  <c r="C101" i="8"/>
  <c r="C14" i="8"/>
  <c r="E88" i="8"/>
  <c r="E73" i="8"/>
  <c r="E58" i="8"/>
  <c r="D10" i="8"/>
  <c r="C89" i="8"/>
  <c r="C74" i="8"/>
  <c r="C59" i="8"/>
  <c r="G83" i="8"/>
  <c r="G68" i="8"/>
  <c r="G53" i="8"/>
  <c r="C91" i="8"/>
  <c r="C76" i="8"/>
  <c r="C61" i="8"/>
  <c r="F76" i="8"/>
  <c r="F61" i="8"/>
  <c r="F91" i="8"/>
  <c r="D71" i="8"/>
  <c r="D56" i="8"/>
  <c r="D86" i="8"/>
  <c r="G85" i="8"/>
  <c r="G70" i="8"/>
  <c r="G55" i="8"/>
  <c r="E81" i="8"/>
  <c r="E66" i="8"/>
  <c r="E51" i="8"/>
  <c r="D73" i="8"/>
  <c r="D88" i="8"/>
  <c r="D58" i="8"/>
  <c r="E91" i="8"/>
  <c r="E76" i="8"/>
  <c r="E61" i="8"/>
  <c r="G88" i="8"/>
  <c r="G73" i="8"/>
  <c r="G58" i="8"/>
  <c r="C86" i="8"/>
  <c r="C71" i="8"/>
  <c r="C56" i="8"/>
  <c r="E83" i="8"/>
  <c r="E68" i="8"/>
  <c r="E53" i="8"/>
  <c r="E98" i="8"/>
  <c r="E14" i="8"/>
  <c r="G81" i="8"/>
  <c r="G66" i="8"/>
  <c r="F90" i="8"/>
  <c r="F75" i="8"/>
  <c r="F60" i="8"/>
  <c r="D85" i="8"/>
  <c r="D70" i="8"/>
  <c r="D55" i="8"/>
  <c r="F82" i="8"/>
  <c r="F67" i="8"/>
  <c r="F52" i="8"/>
  <c r="C96" i="8"/>
  <c r="D103" i="8"/>
  <c r="C98" i="8"/>
  <c r="D104" i="8"/>
  <c r="C99" i="8"/>
  <c r="E99" i="8"/>
  <c r="C15" i="8"/>
  <c r="F15" i="8"/>
  <c r="C9" i="8"/>
  <c r="F9" i="8"/>
  <c r="C83" i="8"/>
  <c r="C68" i="8"/>
  <c r="C53" i="8"/>
  <c r="G87" i="8"/>
  <c r="G72" i="8"/>
  <c r="G57" i="8"/>
  <c r="E82" i="8"/>
  <c r="E67" i="8"/>
  <c r="E52" i="8"/>
  <c r="C87" i="8"/>
  <c r="C72" i="8"/>
  <c r="C57" i="8"/>
  <c r="E13" i="8"/>
  <c r="F13" i="8"/>
  <c r="D90" i="8"/>
  <c r="D75" i="8"/>
  <c r="D60" i="8"/>
  <c r="E8" i="8"/>
  <c r="E19" i="8"/>
  <c r="D92" i="8"/>
  <c r="D77" i="8"/>
  <c r="D62" i="8"/>
  <c r="F81" i="8"/>
  <c r="F66" i="8"/>
  <c r="F51" i="8"/>
  <c r="G90" i="8"/>
  <c r="G75" i="8"/>
  <c r="G60" i="8"/>
  <c r="C88" i="8"/>
  <c r="C73" i="8"/>
  <c r="C58" i="8"/>
  <c r="E85" i="8"/>
  <c r="E70" i="8"/>
  <c r="E55" i="8"/>
  <c r="G82" i="8"/>
  <c r="G67" i="8"/>
  <c r="G52" i="8"/>
  <c r="D8" i="8"/>
  <c r="F8" i="8"/>
  <c r="F92" i="8"/>
  <c r="F77" i="8"/>
  <c r="F62" i="8"/>
  <c r="D87" i="8"/>
  <c r="D72" i="8"/>
  <c r="D57" i="8"/>
  <c r="F84" i="8"/>
  <c r="E97" i="8"/>
  <c r="E103" i="8"/>
  <c r="G91" i="8"/>
  <c r="G76" i="8"/>
  <c r="G61" i="8"/>
  <c r="E86" i="8"/>
  <c r="E71" i="8"/>
  <c r="E56" i="8"/>
  <c r="E106" i="8"/>
  <c r="E84" i="8"/>
  <c r="E69" i="8"/>
  <c r="E54" i="8"/>
  <c r="F68" i="8"/>
  <c r="F53" i="8"/>
  <c r="F83" i="8"/>
  <c r="D81" i="8"/>
  <c r="D51" i="8"/>
  <c r="D66" i="8"/>
  <c r="F70" i="8"/>
  <c r="F55" i="8"/>
  <c r="F85" i="8"/>
  <c r="G92" i="8"/>
  <c r="G77" i="8"/>
  <c r="G62" i="8"/>
  <c r="C90" i="8"/>
  <c r="C75" i="8"/>
  <c r="C60" i="8"/>
  <c r="E87" i="8"/>
  <c r="E72" i="8"/>
  <c r="E57" i="8"/>
  <c r="G84" i="8"/>
  <c r="G69" i="8"/>
  <c r="G54" i="8"/>
  <c r="C82" i="8"/>
  <c r="C67" i="8"/>
  <c r="C52" i="8"/>
  <c r="E18" i="8"/>
  <c r="E10" i="8"/>
  <c r="D89" i="8"/>
  <c r="D74" i="8"/>
  <c r="D59" i="8"/>
  <c r="F86" i="8"/>
  <c r="F71" i="8"/>
  <c r="F56" i="8"/>
  <c r="I12" i="7"/>
  <c r="I16" i="7"/>
  <c r="I19" i="7"/>
  <c r="E8" i="9"/>
  <c r="E18" i="9"/>
  <c r="I10" i="9"/>
  <c r="I8" i="7"/>
  <c r="I13" i="7"/>
  <c r="I18" i="7"/>
  <c r="I10" i="7"/>
  <c r="E11" i="9"/>
  <c r="E17" i="9"/>
  <c r="E19" i="9"/>
  <c r="I11" i="9"/>
  <c r="E13" i="9"/>
  <c r="E10" i="9"/>
  <c r="E16" i="9"/>
  <c r="E9" i="9"/>
  <c r="E11" i="7"/>
  <c r="E17" i="7"/>
  <c r="E12" i="7"/>
  <c r="E13" i="7"/>
  <c r="E14" i="7"/>
  <c r="E9" i="7"/>
  <c r="E8" i="7"/>
  <c r="E18" i="7"/>
  <c r="E15" i="7"/>
  <c r="E10" i="7"/>
  <c r="E16" i="7"/>
  <c r="E19" i="7"/>
  <c r="I17" i="9"/>
  <c r="I8" i="9"/>
  <c r="I14" i="9"/>
  <c r="I18" i="9"/>
  <c r="I15" i="9"/>
  <c r="I13" i="9"/>
  <c r="I19" i="9"/>
  <c r="I12" i="9"/>
  <c r="I17" i="7"/>
  <c r="I11" i="7"/>
  <c r="B256" i="11"/>
  <c r="C256" i="11"/>
  <c r="E256" i="11"/>
  <c r="F256" i="11"/>
  <c r="G256" i="11"/>
  <c r="B257" i="11"/>
  <c r="C257" i="11"/>
  <c r="E257" i="11"/>
  <c r="F257" i="11"/>
  <c r="G257" i="11"/>
  <c r="B258" i="11"/>
  <c r="C258" i="11"/>
  <c r="E258" i="11"/>
  <c r="F258" i="11"/>
  <c r="G258" i="11"/>
  <c r="B259" i="11"/>
  <c r="C259" i="11"/>
  <c r="E259" i="11"/>
  <c r="F259" i="11"/>
  <c r="G259" i="11"/>
  <c r="B260" i="11"/>
  <c r="C260" i="11"/>
  <c r="E260" i="11"/>
  <c r="F260" i="11"/>
  <c r="G260" i="11"/>
  <c r="B261" i="11"/>
  <c r="C261" i="11"/>
  <c r="E261" i="11"/>
  <c r="F261" i="11"/>
  <c r="G261" i="11"/>
  <c r="B262" i="11"/>
  <c r="C262" i="11"/>
  <c r="E262" i="11"/>
  <c r="F262" i="11"/>
  <c r="G262" i="11"/>
  <c r="B263" i="11"/>
  <c r="C263" i="11"/>
  <c r="E263" i="11"/>
  <c r="F263" i="11"/>
  <c r="G263" i="11"/>
  <c r="B264" i="11"/>
  <c r="C264" i="11"/>
  <c r="E264" i="11"/>
  <c r="F264" i="11"/>
  <c r="G264" i="11"/>
  <c r="B265" i="11"/>
  <c r="C265" i="11"/>
  <c r="E265" i="11"/>
  <c r="F265" i="11"/>
  <c r="G265" i="11"/>
  <c r="B266" i="11"/>
  <c r="C266" i="11"/>
  <c r="E266" i="11"/>
  <c r="F266" i="11"/>
  <c r="G266" i="11"/>
  <c r="B267" i="11"/>
  <c r="C267" i="11"/>
  <c r="E267" i="11"/>
  <c r="F267" i="11"/>
  <c r="G267" i="11"/>
  <c r="B268" i="11"/>
  <c r="C268" i="11"/>
  <c r="E268" i="11"/>
  <c r="F268" i="11"/>
  <c r="G268" i="11"/>
  <c r="B269" i="11"/>
  <c r="C269" i="11"/>
  <c r="E269" i="11"/>
  <c r="F269" i="11"/>
  <c r="G269" i="11"/>
  <c r="B270" i="11"/>
  <c r="C270" i="11"/>
  <c r="E270" i="11"/>
  <c r="F270" i="11"/>
  <c r="G270" i="11"/>
  <c r="B271" i="11"/>
  <c r="C271" i="11"/>
  <c r="E271" i="11"/>
  <c r="F271" i="11"/>
  <c r="G271" i="11"/>
  <c r="B272" i="11"/>
  <c r="C272" i="11"/>
  <c r="E272" i="11"/>
  <c r="F272" i="11"/>
  <c r="G272" i="11"/>
  <c r="B273" i="11"/>
  <c r="C273" i="11"/>
  <c r="E273" i="11"/>
  <c r="F273" i="11"/>
  <c r="G273" i="11"/>
  <c r="B274" i="11"/>
  <c r="C274" i="11"/>
  <c r="E274" i="11"/>
  <c r="F274" i="11"/>
  <c r="G274" i="11"/>
  <c r="B275" i="11"/>
  <c r="C275" i="11"/>
  <c r="E275" i="11"/>
  <c r="F275" i="11"/>
  <c r="G275" i="11"/>
  <c r="B276" i="11"/>
  <c r="C276" i="11"/>
  <c r="E276" i="11"/>
  <c r="F276" i="11"/>
  <c r="G276" i="11"/>
  <c r="B277" i="11"/>
  <c r="C277" i="11"/>
  <c r="E277" i="11"/>
  <c r="F277" i="11"/>
  <c r="G277" i="11"/>
  <c r="B278" i="11"/>
  <c r="C278" i="11"/>
  <c r="E278" i="11"/>
  <c r="F278" i="11"/>
  <c r="G278" i="11"/>
  <c r="B279" i="11"/>
  <c r="C279" i="11"/>
  <c r="E279" i="11"/>
  <c r="F279" i="11"/>
  <c r="G279" i="11"/>
  <c r="B280" i="11"/>
  <c r="C280" i="11"/>
  <c r="E280" i="11"/>
  <c r="F280" i="11"/>
  <c r="G280" i="11"/>
  <c r="B281" i="11"/>
  <c r="C281" i="11"/>
  <c r="E281" i="11"/>
  <c r="F281" i="11"/>
  <c r="G281" i="11"/>
  <c r="B282" i="11"/>
  <c r="C282" i="11"/>
  <c r="E282" i="11"/>
  <c r="F282" i="11"/>
  <c r="G282" i="11"/>
  <c r="B283" i="11"/>
  <c r="C283" i="11"/>
  <c r="E283" i="11"/>
  <c r="F283" i="11"/>
  <c r="G283" i="11"/>
  <c r="B284" i="11"/>
  <c r="C284" i="11"/>
  <c r="E284" i="11"/>
  <c r="F284" i="11"/>
  <c r="G284" i="11"/>
  <c r="B285" i="11"/>
  <c r="C285" i="11"/>
  <c r="E285" i="11"/>
  <c r="F285" i="11"/>
  <c r="G285" i="11"/>
  <c r="B286" i="11"/>
  <c r="C286" i="11"/>
  <c r="E286" i="11"/>
  <c r="F286" i="11"/>
  <c r="G286" i="11"/>
  <c r="B287" i="11"/>
  <c r="C287" i="11"/>
  <c r="E287" i="11"/>
  <c r="F287" i="11"/>
  <c r="G287" i="11"/>
  <c r="B288" i="11"/>
  <c r="C288" i="11"/>
  <c r="E288" i="11"/>
  <c r="F288" i="11"/>
  <c r="G288" i="11"/>
  <c r="B289" i="11"/>
  <c r="C289" i="11"/>
  <c r="E289" i="11"/>
  <c r="F289" i="11"/>
  <c r="G289" i="11"/>
  <c r="B290" i="11"/>
  <c r="C290" i="11"/>
  <c r="E290" i="11"/>
  <c r="F290" i="11"/>
  <c r="G290" i="11"/>
  <c r="B291" i="11"/>
  <c r="C291" i="11"/>
  <c r="E291" i="11"/>
  <c r="F291" i="11"/>
  <c r="G291" i="11"/>
  <c r="B292" i="11"/>
  <c r="C292" i="11"/>
  <c r="E292" i="11"/>
  <c r="F292" i="11"/>
  <c r="G292" i="11"/>
  <c r="B293" i="11"/>
  <c r="C293" i="11"/>
  <c r="E293" i="11"/>
  <c r="F293" i="11"/>
  <c r="G293" i="11"/>
  <c r="B294" i="11"/>
  <c r="C294" i="11"/>
  <c r="E294" i="11"/>
  <c r="F294" i="11"/>
  <c r="G294" i="11"/>
  <c r="B295" i="11"/>
  <c r="C295" i="11"/>
  <c r="E295" i="11"/>
  <c r="F295" i="11"/>
  <c r="G295" i="11"/>
  <c r="B296" i="11"/>
  <c r="C296" i="11"/>
  <c r="E296" i="11"/>
  <c r="F296" i="11"/>
  <c r="G296" i="11"/>
  <c r="B297" i="11"/>
  <c r="C297" i="11"/>
  <c r="E297" i="11"/>
  <c r="F297" i="11"/>
  <c r="G297" i="11"/>
  <c r="B298" i="11"/>
  <c r="C298" i="11"/>
  <c r="E298" i="11"/>
  <c r="F298" i="11"/>
  <c r="G298" i="11"/>
  <c r="B299" i="11"/>
  <c r="C299" i="11"/>
  <c r="E299" i="11"/>
  <c r="F299" i="11"/>
  <c r="G299" i="11"/>
  <c r="B300" i="11"/>
  <c r="C300" i="11"/>
  <c r="E300" i="11"/>
  <c r="F300" i="11"/>
  <c r="G300" i="11"/>
  <c r="B301" i="11"/>
  <c r="C301" i="11"/>
  <c r="E301" i="11"/>
  <c r="F301" i="11"/>
  <c r="G301" i="11"/>
  <c r="B302" i="11"/>
  <c r="C302" i="11"/>
  <c r="E302" i="11"/>
  <c r="F302" i="11"/>
  <c r="G302" i="11"/>
  <c r="B303" i="11"/>
  <c r="C303" i="11"/>
  <c r="E303" i="11"/>
  <c r="F303" i="11"/>
  <c r="G303" i="11"/>
  <c r="B304" i="11"/>
  <c r="C304" i="11"/>
  <c r="E304" i="11"/>
  <c r="F304" i="11"/>
  <c r="G304" i="11"/>
  <c r="B305" i="11"/>
  <c r="C305" i="11"/>
  <c r="E305" i="11"/>
  <c r="F305" i="11"/>
  <c r="G305" i="11"/>
  <c r="B306" i="11"/>
  <c r="C306" i="11"/>
  <c r="E306" i="11"/>
  <c r="F306" i="11"/>
  <c r="G306" i="11"/>
  <c r="B307" i="11"/>
  <c r="C307" i="11"/>
  <c r="E307" i="11"/>
  <c r="F307" i="11"/>
  <c r="G307" i="11"/>
  <c r="B308" i="11"/>
  <c r="C308" i="11"/>
  <c r="E308" i="11"/>
  <c r="F308" i="11"/>
  <c r="G308" i="11"/>
  <c r="B309" i="11"/>
  <c r="C309" i="11"/>
  <c r="E309" i="11"/>
  <c r="F309" i="11"/>
  <c r="G309" i="11"/>
  <c r="B310" i="11"/>
  <c r="C310" i="11"/>
  <c r="E310" i="11"/>
  <c r="F310" i="11"/>
  <c r="G310" i="11"/>
  <c r="B311" i="11"/>
  <c r="C311" i="11"/>
  <c r="E311" i="11"/>
  <c r="F311" i="11"/>
  <c r="G311" i="11"/>
  <c r="B312" i="11"/>
  <c r="C312" i="11"/>
  <c r="E312" i="11"/>
  <c r="F312" i="11"/>
  <c r="G312" i="11"/>
  <c r="B313" i="11"/>
  <c r="C313" i="11"/>
  <c r="E313" i="11"/>
  <c r="F313" i="11"/>
  <c r="G313" i="11"/>
  <c r="B314" i="11"/>
  <c r="C314" i="11"/>
  <c r="E314" i="11"/>
  <c r="F314" i="11"/>
  <c r="G314" i="11"/>
  <c r="B315" i="11"/>
  <c r="C315" i="11"/>
  <c r="E315" i="11"/>
  <c r="F315" i="11"/>
  <c r="G315" i="11"/>
  <c r="B316" i="11"/>
  <c r="C316" i="11"/>
  <c r="E316" i="11"/>
  <c r="F316" i="11"/>
  <c r="G316" i="11"/>
  <c r="B317" i="11"/>
  <c r="C317" i="11"/>
  <c r="E317" i="11"/>
  <c r="F317" i="11"/>
  <c r="G317" i="11"/>
  <c r="B318" i="11"/>
  <c r="C318" i="11"/>
  <c r="E318" i="11"/>
  <c r="F318" i="11"/>
  <c r="G318" i="11"/>
  <c r="B319" i="11"/>
  <c r="C319" i="11"/>
  <c r="E319" i="11"/>
  <c r="F319" i="11"/>
  <c r="G319" i="11"/>
  <c r="B320" i="11"/>
  <c r="C320" i="11"/>
  <c r="E320" i="11"/>
  <c r="F320" i="11"/>
  <c r="G320" i="11"/>
  <c r="B321" i="11"/>
  <c r="C321" i="11"/>
  <c r="E321" i="11"/>
  <c r="F321" i="11"/>
  <c r="G321" i="11"/>
  <c r="B322" i="11"/>
  <c r="C322" i="11"/>
  <c r="E322" i="11"/>
  <c r="F322" i="11"/>
  <c r="G322" i="11"/>
  <c r="B323" i="11"/>
  <c r="C323" i="11"/>
  <c r="E323" i="11"/>
  <c r="F323" i="11"/>
  <c r="G323" i="11"/>
  <c r="B324" i="11"/>
  <c r="C324" i="11"/>
  <c r="E324" i="11"/>
  <c r="F324" i="11"/>
  <c r="G324" i="11"/>
  <c r="B325" i="11"/>
  <c r="C325" i="11"/>
  <c r="E325" i="11"/>
  <c r="F325" i="11"/>
  <c r="G325" i="11"/>
  <c r="B326" i="11"/>
  <c r="C326" i="11"/>
  <c r="E326" i="11"/>
  <c r="F326" i="11"/>
  <c r="G326" i="11"/>
  <c r="B327" i="11"/>
  <c r="C327" i="11"/>
  <c r="E327" i="11"/>
  <c r="F327" i="11"/>
  <c r="G327" i="11"/>
  <c r="B328" i="11"/>
  <c r="C328" i="11"/>
  <c r="E328" i="11"/>
  <c r="F328" i="11"/>
  <c r="G328" i="11"/>
  <c r="B329" i="11"/>
  <c r="C329" i="11"/>
  <c r="E329" i="11"/>
  <c r="F329" i="11"/>
  <c r="G329" i="11"/>
  <c r="B330" i="11"/>
  <c r="C330" i="11"/>
  <c r="E330" i="11"/>
  <c r="F330" i="11"/>
  <c r="G330" i="11"/>
  <c r="B331" i="11"/>
  <c r="C331" i="11"/>
  <c r="E331" i="11"/>
  <c r="F331" i="11"/>
  <c r="G331" i="11"/>
  <c r="B332" i="11"/>
  <c r="C332" i="11"/>
  <c r="E332" i="11"/>
  <c r="F332" i="11"/>
  <c r="G332" i="11"/>
  <c r="B333" i="11"/>
  <c r="C333" i="11"/>
  <c r="E333" i="11"/>
  <c r="F333" i="11"/>
  <c r="G333" i="11"/>
  <c r="B334" i="11"/>
  <c r="C334" i="11"/>
  <c r="E334" i="11"/>
  <c r="F334" i="11"/>
  <c r="G334" i="11"/>
  <c r="B335" i="11"/>
  <c r="C335" i="11"/>
  <c r="E335" i="11"/>
  <c r="F335" i="11"/>
  <c r="G335" i="11"/>
  <c r="B336" i="11"/>
  <c r="C336" i="11"/>
  <c r="E336" i="11"/>
  <c r="F336" i="11"/>
  <c r="G336" i="11"/>
  <c r="B337" i="11"/>
  <c r="C337" i="11"/>
  <c r="E337" i="11"/>
  <c r="F337" i="11"/>
  <c r="G337" i="11"/>
  <c r="B338" i="11"/>
  <c r="C338" i="11"/>
  <c r="E338" i="11"/>
  <c r="F338" i="11"/>
  <c r="G338" i="11"/>
  <c r="B339" i="11"/>
  <c r="C339" i="11"/>
  <c r="E339" i="11"/>
  <c r="F339" i="11"/>
  <c r="G339" i="11"/>
  <c r="B340" i="11"/>
  <c r="C340" i="11"/>
  <c r="E340" i="11"/>
  <c r="F340" i="11"/>
  <c r="G340" i="11"/>
  <c r="B341" i="11"/>
  <c r="C341" i="11"/>
  <c r="E341" i="11"/>
  <c r="F341" i="11"/>
  <c r="G341" i="11"/>
  <c r="B342" i="11"/>
  <c r="C342" i="11"/>
  <c r="E342" i="11"/>
  <c r="F342" i="11"/>
  <c r="G342" i="11"/>
  <c r="B343" i="11"/>
  <c r="C343" i="11"/>
  <c r="E343" i="11"/>
  <c r="F343" i="11"/>
  <c r="G343" i="11"/>
  <c r="B344" i="11"/>
  <c r="C344" i="11"/>
  <c r="E344" i="11"/>
  <c r="F344" i="11"/>
  <c r="G344" i="11"/>
  <c r="B345" i="11"/>
  <c r="C345" i="11"/>
  <c r="E345" i="11"/>
  <c r="F345" i="11"/>
  <c r="G345" i="11"/>
  <c r="B346" i="11"/>
  <c r="C346" i="11"/>
  <c r="E346" i="11"/>
  <c r="F346" i="11"/>
  <c r="G346" i="11"/>
  <c r="B347" i="11"/>
  <c r="C347" i="11"/>
  <c r="E347" i="11"/>
  <c r="F347" i="11"/>
  <c r="G347" i="11"/>
  <c r="B348" i="11"/>
  <c r="C348" i="11"/>
  <c r="E348" i="11"/>
  <c r="F348" i="11"/>
  <c r="G348" i="11"/>
  <c r="B349" i="11"/>
  <c r="C349" i="11"/>
  <c r="E349" i="11"/>
  <c r="F349" i="11"/>
  <c r="G349" i="11"/>
  <c r="B350" i="11"/>
  <c r="C350" i="11"/>
  <c r="E350" i="11"/>
  <c r="F350" i="11"/>
  <c r="G350" i="11"/>
  <c r="B351" i="11"/>
  <c r="C351" i="11"/>
  <c r="E351" i="11"/>
  <c r="F351" i="11"/>
  <c r="G351" i="11"/>
  <c r="B352" i="11"/>
  <c r="C352" i="11"/>
  <c r="E352" i="11"/>
  <c r="F352" i="11"/>
  <c r="G352" i="11"/>
  <c r="B353" i="11"/>
  <c r="C353" i="11"/>
  <c r="E353" i="11"/>
  <c r="F353" i="11"/>
  <c r="G353" i="11"/>
  <c r="B354" i="11"/>
  <c r="C354" i="11"/>
  <c r="E354" i="11"/>
  <c r="F354" i="11"/>
  <c r="G354" i="11"/>
  <c r="B355" i="11"/>
  <c r="C355" i="11"/>
  <c r="E355" i="11"/>
  <c r="F355" i="11"/>
  <c r="G355" i="11"/>
  <c r="B356" i="11"/>
  <c r="C356" i="11"/>
  <c r="E356" i="11"/>
  <c r="F356" i="11"/>
  <c r="G356" i="11"/>
  <c r="B357" i="11"/>
  <c r="C357" i="11"/>
  <c r="E357" i="11"/>
  <c r="F357" i="11"/>
  <c r="G357" i="11"/>
  <c r="B358" i="11"/>
  <c r="C358" i="11"/>
  <c r="E358" i="11"/>
  <c r="F358" i="11"/>
  <c r="G358" i="11"/>
  <c r="B359" i="11"/>
  <c r="C359" i="11"/>
  <c r="E359" i="11"/>
  <c r="F359" i="11"/>
  <c r="G359" i="11"/>
  <c r="B360" i="11"/>
  <c r="C360" i="11"/>
  <c r="E360" i="11"/>
  <c r="F360" i="11"/>
  <c r="G360" i="11"/>
  <c r="B361" i="11"/>
  <c r="C361" i="11"/>
  <c r="E361" i="11"/>
  <c r="F361" i="11"/>
  <c r="G361" i="11"/>
  <c r="B362" i="11"/>
  <c r="C362" i="11"/>
  <c r="E362" i="11"/>
  <c r="F362" i="11"/>
  <c r="G362" i="11"/>
  <c r="B363" i="11"/>
  <c r="C363" i="11"/>
  <c r="E363" i="11"/>
  <c r="F363" i="11"/>
  <c r="G363" i="11"/>
  <c r="B364" i="11"/>
  <c r="C364" i="11"/>
  <c r="E364" i="11"/>
  <c r="F364" i="11"/>
  <c r="G364" i="11"/>
  <c r="B365" i="11"/>
  <c r="C365" i="11"/>
  <c r="E365" i="11"/>
  <c r="F365" i="11"/>
  <c r="G365" i="11"/>
  <c r="B366" i="11"/>
  <c r="C366" i="11"/>
  <c r="E366" i="11"/>
  <c r="F366" i="11"/>
  <c r="G366" i="11"/>
  <c r="B367" i="11"/>
  <c r="C367" i="11"/>
  <c r="E367" i="11"/>
  <c r="F367" i="11"/>
  <c r="G367" i="11"/>
  <c r="B368" i="11"/>
  <c r="C368" i="11"/>
  <c r="E368" i="11"/>
  <c r="F368" i="11"/>
  <c r="G368" i="11"/>
  <c r="B369" i="11"/>
  <c r="C369" i="11"/>
  <c r="E369" i="11"/>
  <c r="F369" i="11"/>
  <c r="G369" i="11"/>
  <c r="B370" i="11"/>
  <c r="C370" i="11"/>
  <c r="E370" i="11"/>
  <c r="F370" i="11"/>
  <c r="G370" i="11"/>
  <c r="B371" i="11"/>
  <c r="C371" i="11"/>
  <c r="E371" i="11"/>
  <c r="F371" i="11"/>
  <c r="G371" i="11"/>
  <c r="B372" i="11"/>
  <c r="C372" i="11"/>
  <c r="E372" i="11"/>
  <c r="F372" i="11"/>
  <c r="G372" i="11"/>
  <c r="B373" i="11"/>
  <c r="C373" i="11"/>
  <c r="E373" i="11"/>
  <c r="F373" i="11"/>
  <c r="G373" i="11"/>
  <c r="B374" i="11"/>
  <c r="C374" i="11"/>
  <c r="E374" i="11"/>
  <c r="F374" i="11"/>
  <c r="G374" i="11"/>
  <c r="B375" i="11"/>
  <c r="C375" i="11"/>
  <c r="E375" i="11"/>
  <c r="F375" i="11"/>
  <c r="G375" i="11"/>
  <c r="B376" i="11"/>
  <c r="C376" i="11"/>
  <c r="E376" i="11"/>
  <c r="F376" i="11"/>
  <c r="G376" i="11"/>
  <c r="B377" i="11"/>
  <c r="C377" i="11"/>
  <c r="E377" i="11"/>
  <c r="F377" i="11"/>
  <c r="G377" i="11"/>
  <c r="B378" i="11"/>
  <c r="C378" i="11"/>
  <c r="E378" i="11"/>
  <c r="F378" i="11"/>
  <c r="G378" i="11"/>
  <c r="B379" i="11"/>
  <c r="C379" i="11"/>
  <c r="E379" i="11"/>
  <c r="F379" i="11"/>
  <c r="G379" i="11"/>
  <c r="B380" i="11"/>
  <c r="C380" i="11"/>
  <c r="E380" i="11"/>
  <c r="F380" i="11"/>
  <c r="G380" i="11"/>
  <c r="B381" i="11"/>
  <c r="C381" i="11"/>
  <c r="E381" i="11"/>
  <c r="F381" i="11"/>
  <c r="G381" i="11"/>
  <c r="B382" i="11"/>
  <c r="C382" i="11"/>
  <c r="E382" i="11"/>
  <c r="F382" i="11"/>
  <c r="G382" i="11"/>
  <c r="B383" i="11"/>
  <c r="C383" i="11"/>
  <c r="E383" i="11"/>
  <c r="F383" i="11"/>
  <c r="G383" i="11"/>
  <c r="B384" i="11"/>
  <c r="C384" i="11"/>
  <c r="E384" i="11"/>
  <c r="F384" i="11"/>
  <c r="G384" i="11"/>
  <c r="B385" i="11"/>
  <c r="C385" i="11"/>
  <c r="E385" i="11"/>
  <c r="F385" i="11"/>
  <c r="G385" i="11"/>
  <c r="B386" i="11"/>
  <c r="C386" i="11"/>
  <c r="E386" i="11"/>
  <c r="F386" i="11"/>
  <c r="G386" i="11"/>
  <c r="B387" i="11"/>
  <c r="C387" i="11"/>
  <c r="E387" i="11"/>
  <c r="F387" i="11"/>
  <c r="G387" i="11"/>
  <c r="B388" i="11"/>
  <c r="C388" i="11"/>
  <c r="E388" i="11"/>
  <c r="F388" i="11"/>
  <c r="G388" i="11"/>
  <c r="B389" i="11"/>
  <c r="C389" i="11"/>
  <c r="E389" i="11"/>
  <c r="F389" i="11"/>
  <c r="G389" i="11"/>
  <c r="B390" i="11"/>
  <c r="C390" i="11"/>
  <c r="E390" i="11"/>
  <c r="F390" i="11"/>
  <c r="G390" i="11"/>
  <c r="B391" i="11"/>
  <c r="C391" i="11"/>
  <c r="E391" i="11"/>
  <c r="F391" i="11"/>
  <c r="G391" i="11"/>
  <c r="B392" i="11"/>
  <c r="C392" i="11"/>
  <c r="E392" i="11"/>
  <c r="F392" i="11"/>
  <c r="G392" i="11"/>
  <c r="B393" i="11"/>
  <c r="C393" i="11"/>
  <c r="E393" i="11"/>
  <c r="F393" i="11"/>
  <c r="G393" i="11"/>
  <c r="B394" i="11"/>
  <c r="C394" i="11"/>
  <c r="E394" i="11"/>
  <c r="F394" i="11"/>
  <c r="G394" i="11"/>
  <c r="B395" i="11"/>
  <c r="C395" i="11"/>
  <c r="E395" i="11"/>
  <c r="F395" i="11"/>
  <c r="G395" i="11"/>
  <c r="B396" i="11"/>
  <c r="C396" i="11"/>
  <c r="E396" i="11"/>
  <c r="F396" i="11"/>
  <c r="G396" i="11"/>
  <c r="B397" i="11"/>
  <c r="C397" i="11"/>
  <c r="E397" i="11"/>
  <c r="F397" i="11"/>
  <c r="G397" i="11"/>
  <c r="B398" i="11"/>
  <c r="C398" i="11"/>
  <c r="E398" i="11"/>
  <c r="F398" i="11"/>
  <c r="G398" i="11"/>
  <c r="B399" i="11"/>
  <c r="C399" i="11"/>
  <c r="E399" i="11"/>
  <c r="F399" i="11"/>
  <c r="G399" i="11"/>
  <c r="B400" i="11"/>
  <c r="C400" i="11"/>
  <c r="E400" i="11"/>
  <c r="F400" i="11"/>
  <c r="G400" i="11"/>
  <c r="B401" i="11"/>
  <c r="C401" i="11"/>
  <c r="E401" i="11"/>
  <c r="F401" i="11"/>
  <c r="G401" i="11"/>
  <c r="B402" i="11"/>
  <c r="C402" i="11"/>
  <c r="E402" i="11"/>
  <c r="F402" i="11"/>
  <c r="G402" i="11"/>
  <c r="B403" i="11"/>
  <c r="C403" i="11"/>
  <c r="E403" i="11"/>
  <c r="F403" i="11"/>
  <c r="G403" i="11"/>
  <c r="B404" i="11"/>
  <c r="C404" i="11"/>
  <c r="E404" i="11"/>
  <c r="F404" i="11"/>
  <c r="G404" i="11"/>
  <c r="B405" i="11"/>
  <c r="C405" i="11"/>
  <c r="E405" i="11"/>
  <c r="F405" i="11"/>
  <c r="G405" i="11"/>
  <c r="B406" i="11"/>
  <c r="C406" i="11"/>
  <c r="E406" i="11"/>
  <c r="F406" i="11"/>
  <c r="G406" i="11"/>
  <c r="B407" i="11"/>
  <c r="C407" i="11"/>
  <c r="E407" i="11"/>
  <c r="F407" i="11"/>
  <c r="G407" i="11"/>
  <c r="B408" i="11"/>
  <c r="C408" i="11"/>
  <c r="E408" i="11"/>
  <c r="F408" i="11"/>
  <c r="G408" i="11"/>
  <c r="B409" i="11"/>
  <c r="C409" i="11"/>
  <c r="E409" i="11"/>
  <c r="F409" i="11"/>
  <c r="G409" i="11"/>
  <c r="B410" i="11"/>
  <c r="C410" i="11"/>
  <c r="E410" i="11"/>
  <c r="F410" i="11"/>
  <c r="G410" i="11"/>
  <c r="B411" i="11"/>
  <c r="C411" i="11"/>
  <c r="E411" i="11"/>
  <c r="F411" i="11"/>
  <c r="G411" i="11"/>
  <c r="B412" i="11"/>
  <c r="C412" i="11"/>
  <c r="E412" i="11"/>
  <c r="F412" i="11"/>
  <c r="G412" i="11"/>
  <c r="B413" i="11"/>
  <c r="C413" i="11"/>
  <c r="E413" i="11"/>
  <c r="F413" i="11"/>
  <c r="G413" i="11"/>
  <c r="B414" i="11"/>
  <c r="C414" i="11"/>
  <c r="E414" i="11"/>
  <c r="F414" i="11"/>
  <c r="G414" i="11"/>
  <c r="B415" i="11"/>
  <c r="C415" i="11"/>
  <c r="E415" i="11"/>
  <c r="F415" i="11"/>
  <c r="G415" i="11"/>
  <c r="B416" i="11"/>
  <c r="C416" i="11"/>
  <c r="E416" i="11"/>
  <c r="F416" i="11"/>
  <c r="G416" i="11"/>
  <c r="B417" i="11"/>
  <c r="C417" i="11"/>
  <c r="E417" i="11"/>
  <c r="F417" i="11"/>
  <c r="G417" i="11"/>
  <c r="B418" i="11"/>
  <c r="C418" i="11"/>
  <c r="E418" i="11"/>
  <c r="F418" i="11"/>
  <c r="G418" i="11"/>
  <c r="B419" i="11"/>
  <c r="C419" i="11"/>
  <c r="E419" i="11"/>
  <c r="F419" i="11"/>
  <c r="G419" i="11"/>
  <c r="B420" i="11"/>
  <c r="C420" i="11"/>
  <c r="E420" i="11"/>
  <c r="F420" i="11"/>
  <c r="G420" i="11"/>
  <c r="B421" i="11"/>
  <c r="C421" i="11"/>
  <c r="E421" i="11"/>
  <c r="F421" i="11"/>
  <c r="G421" i="11"/>
  <c r="B422" i="11"/>
  <c r="C422" i="11"/>
  <c r="E422" i="11"/>
  <c r="F422" i="11"/>
  <c r="G422" i="11"/>
  <c r="B423" i="11"/>
  <c r="C423" i="11"/>
  <c r="E423" i="11"/>
  <c r="F423" i="11"/>
  <c r="G423" i="11"/>
  <c r="B424" i="11"/>
  <c r="C424" i="11"/>
  <c r="E424" i="11"/>
  <c r="F424" i="11"/>
  <c r="G424" i="11"/>
  <c r="B425" i="11"/>
  <c r="C425" i="11"/>
  <c r="E425" i="11"/>
  <c r="F425" i="11"/>
  <c r="G425" i="11"/>
  <c r="B426" i="11"/>
  <c r="C426" i="11"/>
  <c r="E426" i="11"/>
  <c r="F426" i="11"/>
  <c r="G426" i="11"/>
  <c r="B427" i="11"/>
  <c r="C427" i="11"/>
  <c r="E427" i="11"/>
  <c r="F427" i="11"/>
  <c r="G427" i="11"/>
  <c r="B428" i="11"/>
  <c r="C428" i="11"/>
  <c r="E428" i="11"/>
  <c r="F428" i="11"/>
  <c r="G428" i="11"/>
  <c r="B429" i="11"/>
  <c r="C429" i="11"/>
  <c r="E429" i="11"/>
  <c r="F429" i="11"/>
  <c r="G429" i="11"/>
  <c r="B430" i="11"/>
  <c r="C430" i="11"/>
  <c r="E430" i="11"/>
  <c r="F430" i="11"/>
  <c r="G430" i="11"/>
  <c r="B431" i="11"/>
  <c r="C431" i="11"/>
  <c r="E431" i="11"/>
  <c r="F431" i="11"/>
  <c r="G431" i="11"/>
  <c r="B432" i="11"/>
  <c r="C432" i="11"/>
  <c r="E432" i="11"/>
  <c r="F432" i="11"/>
  <c r="G432" i="11"/>
  <c r="B433" i="11"/>
  <c r="C433" i="11"/>
  <c r="E433" i="11"/>
  <c r="F433" i="11"/>
  <c r="G433" i="11"/>
  <c r="B434" i="11"/>
  <c r="C434" i="11"/>
  <c r="E434" i="11"/>
  <c r="F434" i="11"/>
  <c r="G434" i="11"/>
  <c r="B435" i="11"/>
  <c r="C435" i="11"/>
  <c r="E435" i="11"/>
  <c r="F435" i="11"/>
  <c r="G435" i="11"/>
  <c r="B436" i="11"/>
  <c r="C436" i="11"/>
  <c r="E436" i="11"/>
  <c r="F436" i="11"/>
  <c r="G436" i="11"/>
  <c r="B437" i="11"/>
  <c r="C437" i="11"/>
  <c r="E437" i="11"/>
  <c r="F437" i="11"/>
  <c r="G437" i="11"/>
  <c r="B438" i="11"/>
  <c r="C438" i="11"/>
  <c r="E438" i="11"/>
  <c r="F438" i="11"/>
  <c r="G438" i="11"/>
  <c r="B439" i="11"/>
  <c r="C439" i="11"/>
  <c r="E439" i="11"/>
  <c r="F439" i="11"/>
  <c r="G439" i="11"/>
  <c r="B440" i="11"/>
  <c r="C440" i="11"/>
  <c r="E440" i="11"/>
  <c r="F440" i="11"/>
  <c r="G440" i="11"/>
  <c r="B441" i="11"/>
  <c r="C441" i="11"/>
  <c r="E441" i="11"/>
  <c r="F441" i="11"/>
  <c r="G441" i="11"/>
  <c r="B442" i="11"/>
  <c r="C442" i="11"/>
  <c r="E442" i="11"/>
  <c r="F442" i="11"/>
  <c r="G442" i="11"/>
  <c r="B443" i="11"/>
  <c r="C443" i="11"/>
  <c r="E443" i="11"/>
  <c r="F443" i="11"/>
  <c r="G443" i="11"/>
  <c r="B444" i="11"/>
  <c r="C444" i="11"/>
  <c r="E444" i="11"/>
  <c r="F444" i="11"/>
  <c r="G444" i="11"/>
  <c r="B445" i="11"/>
  <c r="C445" i="11"/>
  <c r="E445" i="11"/>
  <c r="F445" i="11"/>
  <c r="G445" i="11"/>
  <c r="B446" i="11"/>
  <c r="C446" i="11"/>
  <c r="E446" i="11"/>
  <c r="F446" i="11"/>
  <c r="G446" i="11"/>
  <c r="B447" i="11"/>
  <c r="C447" i="11"/>
  <c r="E447" i="11"/>
  <c r="F447" i="11"/>
  <c r="G447" i="11"/>
  <c r="B448" i="11"/>
  <c r="C448" i="11"/>
  <c r="E448" i="11"/>
  <c r="F448" i="11"/>
  <c r="G448" i="11"/>
  <c r="B449" i="11"/>
  <c r="C449" i="11"/>
  <c r="E449" i="11"/>
  <c r="F449" i="11"/>
  <c r="G449" i="11"/>
  <c r="B450" i="11"/>
  <c r="C450" i="11"/>
  <c r="E450" i="11"/>
  <c r="F450" i="11"/>
  <c r="G450" i="11"/>
  <c r="B451" i="11"/>
  <c r="C451" i="11"/>
  <c r="E451" i="11"/>
  <c r="F451" i="11"/>
  <c r="G451" i="11"/>
  <c r="B452" i="11"/>
  <c r="C452" i="11"/>
  <c r="E452" i="11"/>
  <c r="F452" i="11"/>
  <c r="G452" i="11"/>
  <c r="B453" i="11"/>
  <c r="C453" i="11"/>
  <c r="E453" i="11"/>
  <c r="F453" i="11"/>
  <c r="G453" i="11"/>
  <c r="B454" i="11"/>
  <c r="C454" i="11"/>
  <c r="E454" i="11"/>
  <c r="F454" i="11"/>
  <c r="G454" i="11"/>
  <c r="B455" i="11"/>
  <c r="C455" i="11"/>
  <c r="E455" i="11"/>
  <c r="F455" i="11"/>
  <c r="G455" i="11"/>
  <c r="B456" i="11"/>
  <c r="C456" i="11"/>
  <c r="E456" i="11"/>
  <c r="F456" i="11"/>
  <c r="G456" i="11"/>
  <c r="B457" i="11"/>
  <c r="C457" i="11"/>
  <c r="E457" i="11"/>
  <c r="F457" i="11"/>
  <c r="G457" i="11"/>
  <c r="B458" i="11"/>
  <c r="C458" i="11"/>
  <c r="E458" i="11"/>
  <c r="F458" i="11"/>
  <c r="G458" i="11"/>
  <c r="B459" i="11"/>
  <c r="C459" i="11"/>
  <c r="E459" i="11"/>
  <c r="F459" i="11"/>
  <c r="G459" i="11"/>
  <c r="B460" i="11"/>
  <c r="C460" i="11"/>
  <c r="E460" i="11"/>
  <c r="F460" i="11"/>
  <c r="G460" i="11"/>
  <c r="B461" i="11"/>
  <c r="C461" i="11"/>
  <c r="E461" i="11"/>
  <c r="F461" i="11"/>
  <c r="G461" i="11"/>
  <c r="B462" i="11"/>
  <c r="C462" i="11"/>
  <c r="E462" i="11"/>
  <c r="F462" i="11"/>
  <c r="G462" i="11"/>
  <c r="B463" i="11"/>
  <c r="C463" i="11"/>
  <c r="E463" i="11"/>
  <c r="F463" i="11"/>
  <c r="G463" i="11"/>
  <c r="B464" i="11"/>
  <c r="C464" i="11"/>
  <c r="E464" i="11"/>
  <c r="F464" i="11"/>
  <c r="G464" i="11"/>
  <c r="B465" i="11"/>
  <c r="C465" i="11"/>
  <c r="E465" i="11"/>
  <c r="F465" i="11"/>
  <c r="G465" i="11"/>
  <c r="B466" i="11"/>
  <c r="C466" i="11"/>
  <c r="E466" i="11"/>
  <c r="F466" i="11"/>
  <c r="G466" i="11"/>
  <c r="B467" i="11"/>
  <c r="C467" i="11"/>
  <c r="E467" i="11"/>
  <c r="F467" i="11"/>
  <c r="G467" i="11"/>
  <c r="B468" i="11"/>
  <c r="C468" i="11"/>
  <c r="E468" i="11"/>
  <c r="F468" i="11"/>
  <c r="G468" i="11"/>
  <c r="B469" i="11"/>
  <c r="C469" i="11"/>
  <c r="E469" i="11"/>
  <c r="F469" i="11"/>
  <c r="G469" i="11"/>
  <c r="B470" i="11"/>
  <c r="C470" i="11"/>
  <c r="E470" i="11"/>
  <c r="F470" i="11"/>
  <c r="G470" i="11"/>
  <c r="B471" i="11"/>
  <c r="C471" i="11"/>
  <c r="E471" i="11"/>
  <c r="F471" i="11"/>
  <c r="G471" i="11"/>
  <c r="B472" i="11"/>
  <c r="C472" i="11"/>
  <c r="E472" i="11"/>
  <c r="F472" i="11"/>
  <c r="G472" i="11"/>
  <c r="B473" i="11"/>
  <c r="C473" i="11"/>
  <c r="E473" i="11"/>
  <c r="F473" i="11"/>
  <c r="G473" i="11"/>
  <c r="B474" i="11"/>
  <c r="C474" i="11"/>
  <c r="E474" i="11"/>
  <c r="F474" i="11"/>
  <c r="G474" i="11"/>
  <c r="B475" i="11"/>
  <c r="C475" i="11"/>
  <c r="E475" i="11"/>
  <c r="F475" i="11"/>
  <c r="G475" i="11"/>
  <c r="B476" i="11"/>
  <c r="C476" i="11"/>
  <c r="E476" i="11"/>
  <c r="F476" i="11"/>
  <c r="G476" i="11"/>
  <c r="B477" i="11"/>
  <c r="C477" i="11"/>
  <c r="E477" i="11"/>
  <c r="F477" i="11"/>
  <c r="G477" i="11"/>
  <c r="B478" i="11"/>
  <c r="C478" i="11"/>
  <c r="E478" i="11"/>
  <c r="F478" i="11"/>
  <c r="G478" i="11"/>
  <c r="G255" i="11"/>
  <c r="F255" i="11"/>
  <c r="E255" i="11"/>
  <c r="C255" i="11"/>
  <c r="B255" i="11"/>
  <c r="B230" i="11"/>
  <c r="C230" i="11"/>
  <c r="E230" i="11"/>
  <c r="F230" i="11"/>
  <c r="G230" i="11"/>
  <c r="B191" i="11"/>
  <c r="C191" i="11"/>
  <c r="E191" i="11"/>
  <c r="F191" i="11"/>
  <c r="G191" i="11"/>
  <c r="B192" i="11"/>
  <c r="C192" i="11"/>
  <c r="E192" i="11"/>
  <c r="F192" i="11"/>
  <c r="G192" i="11"/>
  <c r="B193" i="11"/>
  <c r="C193" i="11"/>
  <c r="E193" i="11"/>
  <c r="F193" i="11"/>
  <c r="G193" i="11"/>
  <c r="B194" i="11"/>
  <c r="C194" i="11"/>
  <c r="E194" i="11"/>
  <c r="F194" i="11"/>
  <c r="G194" i="11"/>
  <c r="B231" i="11"/>
  <c r="C231" i="11"/>
  <c r="E231" i="11"/>
  <c r="F231" i="11"/>
  <c r="G231" i="11"/>
  <c r="B147" i="11"/>
  <c r="C147" i="11"/>
  <c r="E147" i="11"/>
  <c r="F147" i="11"/>
  <c r="G147" i="11"/>
  <c r="B188" i="11"/>
  <c r="C188" i="11"/>
  <c r="E188" i="11"/>
  <c r="F188" i="11"/>
  <c r="G188" i="11"/>
  <c r="B232" i="11"/>
  <c r="C232" i="11"/>
  <c r="E232" i="11"/>
  <c r="F232" i="11"/>
  <c r="G232" i="11"/>
  <c r="B160" i="11"/>
  <c r="C160" i="11"/>
  <c r="E160" i="11"/>
  <c r="F160" i="11"/>
  <c r="G160" i="11"/>
  <c r="B161" i="11"/>
  <c r="C161" i="11"/>
  <c r="E161" i="11"/>
  <c r="F161" i="11"/>
  <c r="G161" i="11"/>
  <c r="B233" i="11"/>
  <c r="C233" i="11"/>
  <c r="E233" i="11"/>
  <c r="F233" i="11"/>
  <c r="G233" i="11"/>
  <c r="B195" i="11"/>
  <c r="C195" i="11"/>
  <c r="E195" i="11"/>
  <c r="F195" i="11"/>
  <c r="G195" i="11"/>
  <c r="B134" i="11"/>
  <c r="C134" i="11"/>
  <c r="E134" i="11"/>
  <c r="F134" i="11"/>
  <c r="G134" i="11"/>
  <c r="B127" i="11"/>
  <c r="C127" i="11"/>
  <c r="E127" i="11"/>
  <c r="F127" i="11"/>
  <c r="G127" i="11"/>
  <c r="B148" i="11"/>
  <c r="C148" i="11"/>
  <c r="E148" i="11"/>
  <c r="F148" i="11"/>
  <c r="G148" i="11"/>
  <c r="B149" i="11"/>
  <c r="C149" i="11"/>
  <c r="E149" i="11"/>
  <c r="F149" i="11"/>
  <c r="G149" i="11"/>
  <c r="B150" i="11"/>
  <c r="C150" i="11"/>
  <c r="E150" i="11"/>
  <c r="F150" i="11"/>
  <c r="G150" i="11"/>
  <c r="B151" i="11"/>
  <c r="C151" i="11"/>
  <c r="E151" i="11"/>
  <c r="F151" i="11"/>
  <c r="G151" i="11"/>
  <c r="B133" i="11"/>
  <c r="C133" i="11"/>
  <c r="E133" i="11"/>
  <c r="F133" i="11"/>
  <c r="G133" i="11"/>
  <c r="B162" i="11"/>
  <c r="C162" i="11"/>
  <c r="E162" i="11"/>
  <c r="F162" i="11"/>
  <c r="G162" i="11"/>
  <c r="B163" i="11"/>
  <c r="C163" i="11"/>
  <c r="E163" i="11"/>
  <c r="F163" i="11"/>
  <c r="G163" i="11"/>
  <c r="B234" i="11"/>
  <c r="C234" i="11"/>
  <c r="E234" i="11"/>
  <c r="F234" i="11"/>
  <c r="G234" i="11"/>
  <c r="B235" i="11"/>
  <c r="C235" i="11"/>
  <c r="E235" i="11"/>
  <c r="F235" i="11"/>
  <c r="G235" i="11"/>
  <c r="B196" i="11"/>
  <c r="C196" i="11"/>
  <c r="E196" i="11"/>
  <c r="F196" i="11"/>
  <c r="G196" i="11"/>
  <c r="B135" i="11"/>
  <c r="C135" i="11"/>
  <c r="E135" i="11"/>
  <c r="F135" i="11"/>
  <c r="G135" i="11"/>
  <c r="B136" i="11"/>
  <c r="C136" i="11"/>
  <c r="E136" i="11"/>
  <c r="F136" i="11"/>
  <c r="G136" i="11"/>
  <c r="B164" i="11"/>
  <c r="C164" i="11"/>
  <c r="E164" i="11"/>
  <c r="F164" i="11"/>
  <c r="G164" i="11"/>
  <c r="B165" i="11"/>
  <c r="C165" i="11"/>
  <c r="E165" i="11"/>
  <c r="F165" i="11"/>
  <c r="G165" i="11"/>
  <c r="B166" i="11"/>
  <c r="C166" i="11"/>
  <c r="E166" i="11"/>
  <c r="F166" i="11"/>
  <c r="G166" i="11"/>
  <c r="B167" i="11"/>
  <c r="C167" i="11"/>
  <c r="E167" i="11"/>
  <c r="F167" i="11"/>
  <c r="G167" i="11"/>
  <c r="B197" i="11"/>
  <c r="C197" i="11"/>
  <c r="E197" i="11"/>
  <c r="F197" i="11"/>
  <c r="G197" i="11"/>
  <c r="B198" i="11"/>
  <c r="C198" i="11"/>
  <c r="E198" i="11"/>
  <c r="F198" i="11"/>
  <c r="G198" i="11"/>
  <c r="B199" i="11"/>
  <c r="C199" i="11"/>
  <c r="E199" i="11"/>
  <c r="F199" i="11"/>
  <c r="G199" i="11"/>
  <c r="B168" i="11"/>
  <c r="C168" i="11"/>
  <c r="E168" i="11"/>
  <c r="F168" i="11"/>
  <c r="G168" i="11"/>
  <c r="B200" i="11"/>
  <c r="C200" i="11"/>
  <c r="E200" i="11"/>
  <c r="F200" i="11"/>
  <c r="G200" i="11"/>
  <c r="B201" i="11"/>
  <c r="C201" i="11"/>
  <c r="E201" i="11"/>
  <c r="F201" i="11"/>
  <c r="G201" i="11"/>
  <c r="B169" i="11"/>
  <c r="C169" i="11"/>
  <c r="E169" i="11"/>
  <c r="F169" i="11"/>
  <c r="G169" i="11"/>
  <c r="B202" i="11"/>
  <c r="C202" i="11"/>
  <c r="E202" i="11"/>
  <c r="F202" i="11"/>
  <c r="G202" i="11"/>
  <c r="B203" i="11"/>
  <c r="C203" i="11"/>
  <c r="E203" i="11"/>
  <c r="F203" i="11"/>
  <c r="G203" i="11"/>
  <c r="B204" i="11"/>
  <c r="C204" i="11"/>
  <c r="E204" i="11"/>
  <c r="F204" i="11"/>
  <c r="G204" i="11"/>
  <c r="B236" i="11"/>
  <c r="C236" i="11"/>
  <c r="E236" i="11"/>
  <c r="F236" i="11"/>
  <c r="G236" i="11"/>
  <c r="B170" i="11"/>
  <c r="C170" i="11"/>
  <c r="E170" i="11"/>
  <c r="F170" i="11"/>
  <c r="G170" i="11"/>
  <c r="B171" i="11"/>
  <c r="C171" i="11"/>
  <c r="E171" i="11"/>
  <c r="F171" i="11"/>
  <c r="G171" i="11"/>
  <c r="B137" i="11"/>
  <c r="C137" i="11"/>
  <c r="E137" i="11"/>
  <c r="F137" i="11"/>
  <c r="G137" i="11"/>
  <c r="B128" i="11"/>
  <c r="C128" i="11"/>
  <c r="E128" i="11"/>
  <c r="F128" i="11"/>
  <c r="G128" i="11"/>
  <c r="B138" i="11"/>
  <c r="C138" i="11"/>
  <c r="E138" i="11"/>
  <c r="F138" i="11"/>
  <c r="G138" i="11"/>
  <c r="B222" i="11"/>
  <c r="C222" i="11"/>
  <c r="E222" i="11"/>
  <c r="F222" i="11"/>
  <c r="G222" i="11"/>
  <c r="B237" i="11"/>
  <c r="C237" i="11"/>
  <c r="E237" i="11"/>
  <c r="F237" i="11"/>
  <c r="G237" i="11"/>
  <c r="B220" i="11"/>
  <c r="C220" i="11"/>
  <c r="E220" i="11"/>
  <c r="F220" i="11"/>
  <c r="G220" i="11"/>
  <c r="B238" i="11"/>
  <c r="C238" i="11"/>
  <c r="E238" i="11"/>
  <c r="F238" i="11"/>
  <c r="G238" i="11"/>
  <c r="B152" i="11"/>
  <c r="C152" i="11"/>
  <c r="E152" i="11"/>
  <c r="F152" i="11"/>
  <c r="G152" i="11"/>
  <c r="B239" i="11"/>
  <c r="C239" i="11"/>
  <c r="E239" i="11"/>
  <c r="F239" i="11"/>
  <c r="G239" i="11"/>
  <c r="B172" i="11"/>
  <c r="C172" i="11"/>
  <c r="E172" i="11"/>
  <c r="F172" i="11"/>
  <c r="G172" i="11"/>
  <c r="B173" i="11"/>
  <c r="C173" i="11"/>
  <c r="E173" i="11"/>
  <c r="F173" i="11"/>
  <c r="G173" i="11"/>
  <c r="B174" i="11"/>
  <c r="C174" i="11"/>
  <c r="E174" i="11"/>
  <c r="F174" i="11"/>
  <c r="G174" i="11"/>
  <c r="B175" i="11"/>
  <c r="C175" i="11"/>
  <c r="E175" i="11"/>
  <c r="F175" i="11"/>
  <c r="G175" i="11"/>
  <c r="B176" i="11"/>
  <c r="C176" i="11"/>
  <c r="E176" i="11"/>
  <c r="F176" i="11"/>
  <c r="G176" i="11"/>
  <c r="B177" i="11"/>
  <c r="C177" i="11"/>
  <c r="E177" i="11"/>
  <c r="F177" i="11"/>
  <c r="G177" i="11"/>
  <c r="B139" i="11"/>
  <c r="C139" i="11"/>
  <c r="E139" i="11"/>
  <c r="F139" i="11"/>
  <c r="G139" i="11"/>
  <c r="B140" i="11"/>
  <c r="C140" i="11"/>
  <c r="E140" i="11"/>
  <c r="F140" i="11"/>
  <c r="G140" i="11"/>
  <c r="B240" i="11"/>
  <c r="C240" i="11"/>
  <c r="E240" i="11"/>
  <c r="F240" i="11"/>
  <c r="G240" i="11"/>
  <c r="B241" i="11"/>
  <c r="C241" i="11"/>
  <c r="E241" i="11"/>
  <c r="F241" i="11"/>
  <c r="G241" i="11"/>
  <c r="B205" i="11"/>
  <c r="C205" i="11"/>
  <c r="E205" i="11"/>
  <c r="F205" i="11"/>
  <c r="G205" i="11"/>
  <c r="B129" i="11"/>
  <c r="C129" i="11"/>
  <c r="E129" i="11"/>
  <c r="F129" i="11"/>
  <c r="G129" i="11"/>
  <c r="B153" i="11"/>
  <c r="C153" i="11"/>
  <c r="E153" i="11"/>
  <c r="F153" i="11"/>
  <c r="G153" i="11"/>
  <c r="B206" i="11"/>
  <c r="C206" i="11"/>
  <c r="E206" i="11"/>
  <c r="F206" i="11"/>
  <c r="G206" i="11"/>
  <c r="B154" i="11"/>
  <c r="C154" i="11"/>
  <c r="E154" i="11"/>
  <c r="F154" i="11"/>
  <c r="G154" i="11"/>
  <c r="B155" i="11"/>
  <c r="C155" i="11"/>
  <c r="E155" i="11"/>
  <c r="F155" i="11"/>
  <c r="G155" i="11"/>
  <c r="B221" i="11"/>
  <c r="C221" i="11"/>
  <c r="E221" i="11"/>
  <c r="F221" i="11"/>
  <c r="G221" i="11"/>
  <c r="B178" i="11"/>
  <c r="C178" i="11"/>
  <c r="E178" i="11"/>
  <c r="F178" i="11"/>
  <c r="G178" i="11"/>
  <c r="B141" i="11"/>
  <c r="C141" i="11"/>
  <c r="E141" i="11"/>
  <c r="F141" i="11"/>
  <c r="G141" i="11"/>
  <c r="B179" i="11"/>
  <c r="C179" i="11"/>
  <c r="E179" i="11"/>
  <c r="F179" i="11"/>
  <c r="G179" i="11"/>
  <c r="B223" i="11"/>
  <c r="C223" i="11"/>
  <c r="E223" i="11"/>
  <c r="F223" i="11"/>
  <c r="G223" i="11"/>
  <c r="B224" i="11"/>
  <c r="C224" i="11"/>
  <c r="E224" i="11"/>
  <c r="F224" i="11"/>
  <c r="G224" i="11"/>
  <c r="B189" i="11"/>
  <c r="C189" i="11"/>
  <c r="E189" i="11"/>
  <c r="F189" i="11"/>
  <c r="G189" i="11"/>
  <c r="B225" i="11"/>
  <c r="C225" i="11"/>
  <c r="E225" i="11"/>
  <c r="F225" i="11"/>
  <c r="G225" i="11"/>
  <c r="B190" i="11"/>
  <c r="C190" i="11"/>
  <c r="E190" i="11"/>
  <c r="F190" i="11"/>
  <c r="G190" i="11"/>
  <c r="B180" i="11"/>
  <c r="C180" i="11"/>
  <c r="E180" i="11"/>
  <c r="F180" i="11"/>
  <c r="G180" i="11"/>
  <c r="B207" i="11"/>
  <c r="C207" i="11"/>
  <c r="E207" i="11"/>
  <c r="F207" i="11"/>
  <c r="G207" i="11"/>
  <c r="B208" i="11"/>
  <c r="C208" i="11"/>
  <c r="E208" i="11"/>
  <c r="F208" i="11"/>
  <c r="G208" i="11"/>
  <c r="B130" i="11"/>
  <c r="C130" i="11"/>
  <c r="E130" i="11"/>
  <c r="F130" i="11"/>
  <c r="G130" i="11"/>
  <c r="B142" i="11"/>
  <c r="C142" i="11"/>
  <c r="E142" i="11"/>
  <c r="F142" i="11"/>
  <c r="G142" i="11"/>
  <c r="B242" i="11"/>
  <c r="C242" i="11"/>
  <c r="E242" i="11"/>
  <c r="F242" i="11"/>
  <c r="G242" i="11"/>
  <c r="B226" i="11"/>
  <c r="C226" i="11"/>
  <c r="E226" i="11"/>
  <c r="F226" i="11"/>
  <c r="G226" i="11"/>
  <c r="B227" i="11"/>
  <c r="C227" i="11"/>
  <c r="E227" i="11"/>
  <c r="F227" i="11"/>
  <c r="G227" i="11"/>
  <c r="B143" i="11"/>
  <c r="C143" i="11"/>
  <c r="E143" i="11"/>
  <c r="F143" i="11"/>
  <c r="G143" i="11"/>
  <c r="B144" i="11"/>
  <c r="C144" i="11"/>
  <c r="E144" i="11"/>
  <c r="F144" i="11"/>
  <c r="G144" i="11"/>
  <c r="B209" i="11"/>
  <c r="C209" i="11"/>
  <c r="E209" i="11"/>
  <c r="F209" i="11"/>
  <c r="G209" i="11"/>
  <c r="B210" i="11"/>
  <c r="C210" i="11"/>
  <c r="E210" i="11"/>
  <c r="F210" i="11"/>
  <c r="G210" i="11"/>
  <c r="B211" i="11"/>
  <c r="C211" i="11"/>
  <c r="E211" i="11"/>
  <c r="F211" i="11"/>
  <c r="G211" i="11"/>
  <c r="B145" i="11"/>
  <c r="C145" i="11"/>
  <c r="E145" i="11"/>
  <c r="F145" i="11"/>
  <c r="G145" i="11"/>
  <c r="B131" i="11"/>
  <c r="C131" i="11"/>
  <c r="E131" i="11"/>
  <c r="F131" i="11"/>
  <c r="G131" i="11"/>
  <c r="B146" i="11"/>
  <c r="C146" i="11"/>
  <c r="E146" i="11"/>
  <c r="F146" i="11"/>
  <c r="G146" i="11"/>
  <c r="B181" i="11"/>
  <c r="C181" i="11"/>
  <c r="E181" i="11"/>
  <c r="F181" i="11"/>
  <c r="G181" i="11"/>
  <c r="B132" i="11"/>
  <c r="C132" i="11"/>
  <c r="E132" i="11"/>
  <c r="F132" i="11"/>
  <c r="G132" i="11"/>
  <c r="B156" i="11"/>
  <c r="C156" i="11"/>
  <c r="E156" i="11"/>
  <c r="F156" i="11"/>
  <c r="G156" i="11"/>
  <c r="B182" i="11"/>
  <c r="C182" i="11"/>
  <c r="E182" i="11"/>
  <c r="F182" i="11"/>
  <c r="G182" i="11"/>
  <c r="B212" i="11"/>
  <c r="C212" i="11"/>
  <c r="E212" i="11"/>
  <c r="F212" i="11"/>
  <c r="G212" i="11"/>
  <c r="B213" i="11"/>
  <c r="C213" i="11"/>
  <c r="E213" i="11"/>
  <c r="F213" i="11"/>
  <c r="G213" i="11"/>
  <c r="B157" i="11"/>
  <c r="C157" i="11"/>
  <c r="E157" i="11"/>
  <c r="F157" i="11"/>
  <c r="G157" i="11"/>
  <c r="B158" i="11"/>
  <c r="C158" i="11"/>
  <c r="E158" i="11"/>
  <c r="F158" i="11"/>
  <c r="G158" i="11"/>
  <c r="B159" i="11"/>
  <c r="C159" i="11"/>
  <c r="E159" i="11"/>
  <c r="F159" i="11"/>
  <c r="G159" i="11"/>
  <c r="B214" i="11"/>
  <c r="C214" i="11"/>
  <c r="E214" i="11"/>
  <c r="F214" i="11"/>
  <c r="G214" i="11"/>
  <c r="B215" i="11"/>
  <c r="C215" i="11"/>
  <c r="E215" i="11"/>
  <c r="F215" i="11"/>
  <c r="G215" i="11"/>
  <c r="B243" i="11"/>
  <c r="C243" i="11"/>
  <c r="E243" i="11"/>
  <c r="F243" i="11"/>
  <c r="G243" i="11"/>
  <c r="B216" i="11"/>
  <c r="C216" i="11"/>
  <c r="E216" i="11"/>
  <c r="F216" i="11"/>
  <c r="G216" i="11"/>
  <c r="B244" i="11"/>
  <c r="C244" i="11"/>
  <c r="E244" i="11"/>
  <c r="F244" i="11"/>
  <c r="G244" i="11"/>
  <c r="B217" i="11"/>
  <c r="C217" i="11"/>
  <c r="E217" i="11"/>
  <c r="F217" i="11"/>
  <c r="G217" i="11"/>
  <c r="B245" i="11"/>
  <c r="C245" i="11"/>
  <c r="E245" i="11"/>
  <c r="F245" i="11"/>
  <c r="G245" i="11"/>
  <c r="B183" i="11"/>
  <c r="C183" i="11"/>
  <c r="E183" i="11"/>
  <c r="F183" i="11"/>
  <c r="G183" i="11"/>
  <c r="B218" i="11"/>
  <c r="C218" i="11"/>
  <c r="E218" i="11"/>
  <c r="F218" i="11"/>
  <c r="G218" i="11"/>
  <c r="B246" i="11"/>
  <c r="C246" i="11"/>
  <c r="E246" i="11"/>
  <c r="F246" i="11"/>
  <c r="G246" i="11"/>
  <c r="B228" i="11"/>
  <c r="C228" i="11"/>
  <c r="E228" i="11"/>
  <c r="F228" i="11"/>
  <c r="G228" i="11"/>
  <c r="B184" i="11"/>
  <c r="C184" i="11"/>
  <c r="E184" i="11"/>
  <c r="F184" i="11"/>
  <c r="G184" i="11"/>
  <c r="B185" i="11"/>
  <c r="C185" i="11"/>
  <c r="E185" i="11"/>
  <c r="F185" i="11"/>
  <c r="G185" i="11"/>
  <c r="B186" i="11"/>
  <c r="C186" i="11"/>
  <c r="E186" i="11"/>
  <c r="F186" i="11"/>
  <c r="G186" i="11"/>
  <c r="B187" i="11"/>
  <c r="C187" i="11"/>
  <c r="E187" i="11"/>
  <c r="F187" i="11"/>
  <c r="G187" i="11"/>
  <c r="B219" i="11"/>
  <c r="C219" i="11"/>
  <c r="E219" i="11"/>
  <c r="F219" i="11"/>
  <c r="G219" i="11"/>
  <c r="G229" i="11"/>
  <c r="F229" i="11"/>
  <c r="E229" i="11"/>
  <c r="C229" i="11"/>
  <c r="B229" i="11"/>
  <c r="F10" i="8"/>
  <c r="C54" i="11"/>
  <c r="C58" i="11"/>
  <c r="C62" i="11"/>
  <c r="C24" i="11"/>
  <c r="C28" i="11"/>
  <c r="C32" i="11"/>
  <c r="C9" i="11"/>
  <c r="C13" i="11"/>
  <c r="C17" i="11"/>
  <c r="C56" i="11"/>
  <c r="C60" i="11"/>
  <c r="C64" i="11"/>
  <c r="C26" i="11"/>
  <c r="C30" i="11"/>
  <c r="C34" i="11"/>
  <c r="C11" i="11"/>
  <c r="C15" i="11"/>
  <c r="C19" i="11"/>
  <c r="C57" i="11"/>
  <c r="C61" i="11"/>
  <c r="C53" i="11"/>
  <c r="C27" i="11"/>
  <c r="C31" i="11"/>
  <c r="C23" i="11"/>
  <c r="C12" i="11"/>
  <c r="C16" i="11"/>
  <c r="C8" i="11"/>
  <c r="C25" i="11"/>
  <c r="C14" i="11"/>
  <c r="C55" i="11"/>
  <c r="C29" i="11"/>
  <c r="C18" i="11"/>
  <c r="C33" i="11"/>
  <c r="C59" i="11"/>
  <c r="C10" i="11"/>
  <c r="C63" i="11"/>
  <c r="F14" i="8"/>
  <c r="F18" i="8"/>
  <c r="F19" i="8"/>
  <c r="F16" i="8"/>
  <c r="E481" i="11"/>
  <c r="E480" i="11"/>
  <c r="E479" i="11"/>
  <c r="E482" i="11"/>
  <c r="F482" i="11"/>
  <c r="F479" i="11"/>
  <c r="F481" i="11"/>
  <c r="F480" i="11"/>
  <c r="G479" i="11"/>
  <c r="G481" i="11"/>
  <c r="G482" i="11"/>
  <c r="G480" i="11"/>
  <c r="C32" i="8"/>
  <c r="C23" i="8"/>
  <c r="C24" i="8"/>
  <c r="E23" i="8"/>
  <c r="E24" i="8"/>
  <c r="I27" i="9"/>
  <c r="I28" i="9"/>
  <c r="I29" i="9"/>
  <c r="I30" i="9"/>
  <c r="I32" i="9"/>
  <c r="I23" i="9"/>
  <c r="I25" i="9"/>
  <c r="I26" i="9"/>
  <c r="E25" i="8"/>
  <c r="E26" i="8"/>
  <c r="E29" i="8"/>
  <c r="E30" i="8"/>
  <c r="E27" i="8"/>
  <c r="E28" i="8"/>
  <c r="C25" i="8"/>
  <c r="C26" i="8"/>
  <c r="D29" i="8"/>
  <c r="D30" i="8"/>
  <c r="D27" i="8"/>
  <c r="D28" i="8"/>
  <c r="D25" i="8"/>
  <c r="D26" i="8"/>
  <c r="D32" i="8"/>
  <c r="D23" i="8"/>
  <c r="E32" i="8"/>
  <c r="C29" i="8"/>
  <c r="C30" i="8"/>
  <c r="C27" i="8"/>
  <c r="C28" i="8"/>
  <c r="I29" i="7"/>
  <c r="I30" i="7"/>
  <c r="I25" i="7"/>
  <c r="I26" i="7"/>
  <c r="I32" i="7"/>
  <c r="I27" i="7"/>
  <c r="I28" i="7"/>
  <c r="I23" i="7"/>
  <c r="G249" i="11"/>
  <c r="G248" i="11"/>
  <c r="G250" i="11"/>
  <c r="G247" i="11"/>
  <c r="E248" i="11"/>
  <c r="E250" i="11"/>
  <c r="E249" i="11"/>
  <c r="E247" i="11"/>
  <c r="F248" i="11"/>
  <c r="F250" i="11"/>
  <c r="F247" i="11"/>
  <c r="F249" i="11"/>
  <c r="J8" i="9"/>
  <c r="G9" i="11"/>
  <c r="G13" i="11"/>
  <c r="G17" i="11"/>
  <c r="G10" i="11"/>
  <c r="G14" i="11"/>
  <c r="G18" i="11"/>
  <c r="G11" i="11"/>
  <c r="G19" i="11"/>
  <c r="G12" i="11"/>
  <c r="G16" i="11"/>
  <c r="G8" i="11"/>
  <c r="G15" i="11"/>
  <c r="G64" i="11"/>
  <c r="G62" i="11"/>
  <c r="G60" i="11"/>
  <c r="G58" i="11"/>
  <c r="G56" i="11"/>
  <c r="G54" i="11"/>
  <c r="G61" i="11"/>
  <c r="G57" i="11"/>
  <c r="G63" i="11"/>
  <c r="G55" i="11"/>
  <c r="G53" i="11"/>
  <c r="G59" i="11"/>
  <c r="G24" i="11"/>
  <c r="G28" i="11"/>
  <c r="G32" i="11"/>
  <c r="G26" i="11"/>
  <c r="G34" i="11"/>
  <c r="G23" i="11"/>
  <c r="G25" i="11"/>
  <c r="G29" i="11"/>
  <c r="G33" i="11"/>
  <c r="G27" i="11"/>
  <c r="G31" i="11"/>
  <c r="G30" i="11"/>
  <c r="D25" i="11"/>
  <c r="D29" i="11"/>
  <c r="D33" i="11"/>
  <c r="D9" i="11"/>
  <c r="D13" i="11"/>
  <c r="D17" i="11"/>
  <c r="D11" i="11"/>
  <c r="D19" i="11"/>
  <c r="D64" i="11"/>
  <c r="D62" i="11"/>
  <c r="D60" i="11"/>
  <c r="D58" i="11"/>
  <c r="D56" i="11"/>
  <c r="D54" i="11"/>
  <c r="E84" i="11"/>
  <c r="D26" i="11"/>
  <c r="D30" i="11"/>
  <c r="D34" i="11"/>
  <c r="D10" i="11"/>
  <c r="D14" i="11"/>
  <c r="D18" i="11"/>
  <c r="D27" i="11"/>
  <c r="D63" i="11"/>
  <c r="D61" i="11"/>
  <c r="D59" i="11"/>
  <c r="D57" i="11"/>
  <c r="D55" i="11"/>
  <c r="D53" i="11"/>
  <c r="D24" i="11"/>
  <c r="D28" i="11"/>
  <c r="D32" i="11"/>
  <c r="D23" i="11"/>
  <c r="D12" i="11"/>
  <c r="D16" i="11"/>
  <c r="D8" i="11"/>
  <c r="D31" i="11"/>
  <c r="D15" i="11"/>
  <c r="F61" i="11"/>
  <c r="F57" i="11"/>
  <c r="F53" i="11"/>
  <c r="F26" i="11"/>
  <c r="F30" i="11"/>
  <c r="F34" i="11"/>
  <c r="F23" i="11"/>
  <c r="F10" i="11"/>
  <c r="F14" i="11"/>
  <c r="F18" i="11"/>
  <c r="F62" i="11"/>
  <c r="F58" i="11"/>
  <c r="F54" i="11"/>
  <c r="F27" i="11"/>
  <c r="F31" i="11"/>
  <c r="F11" i="11"/>
  <c r="F15" i="11"/>
  <c r="F19" i="11"/>
  <c r="I9" i="11"/>
  <c r="F63" i="11"/>
  <c r="F59" i="11"/>
  <c r="F55" i="11"/>
  <c r="F24" i="11"/>
  <c r="F28" i="11"/>
  <c r="F32" i="11"/>
  <c r="F12" i="11"/>
  <c r="F16" i="11"/>
  <c r="F8" i="11"/>
  <c r="I16" i="11"/>
  <c r="F64" i="11"/>
  <c r="F60" i="11"/>
  <c r="F56" i="11"/>
  <c r="F25" i="11"/>
  <c r="F29" i="11"/>
  <c r="F33" i="11"/>
  <c r="F9" i="11"/>
  <c r="F13" i="11"/>
  <c r="F17" i="11"/>
  <c r="B209" i="12"/>
  <c r="C209" i="12"/>
  <c r="E209" i="12"/>
  <c r="B210" i="12"/>
  <c r="C210" i="12"/>
  <c r="E210" i="12"/>
  <c r="B211" i="12"/>
  <c r="C211" i="12"/>
  <c r="E211" i="12"/>
  <c r="B212" i="12"/>
  <c r="C212" i="12"/>
  <c r="E212" i="12"/>
  <c r="B213" i="12"/>
  <c r="C213" i="12"/>
  <c r="E213" i="12"/>
  <c r="B214" i="12"/>
  <c r="C214" i="12"/>
  <c r="E214" i="12"/>
  <c r="B215" i="12"/>
  <c r="C215" i="12"/>
  <c r="E215" i="12"/>
  <c r="B216" i="12"/>
  <c r="C216" i="12"/>
  <c r="E216" i="12"/>
  <c r="B217" i="12"/>
  <c r="C217" i="12"/>
  <c r="E217" i="12"/>
  <c r="B218" i="12"/>
  <c r="C218" i="12"/>
  <c r="E218" i="12"/>
  <c r="B219" i="12"/>
  <c r="C219" i="12"/>
  <c r="E219" i="12"/>
  <c r="B220" i="12"/>
  <c r="C220" i="12"/>
  <c r="E220" i="12"/>
  <c r="B221" i="12"/>
  <c r="C221" i="12"/>
  <c r="E221" i="12"/>
  <c r="B222" i="12"/>
  <c r="C222" i="12"/>
  <c r="E222" i="12"/>
  <c r="B223" i="12"/>
  <c r="C223" i="12"/>
  <c r="E223" i="12"/>
  <c r="B224" i="12"/>
  <c r="C224" i="12"/>
  <c r="E224" i="12"/>
  <c r="B225" i="12"/>
  <c r="C225" i="12"/>
  <c r="E225" i="12"/>
  <c r="B226" i="12"/>
  <c r="C226" i="12"/>
  <c r="E226" i="12"/>
  <c r="B227" i="12"/>
  <c r="C227" i="12"/>
  <c r="E227" i="12"/>
  <c r="B228" i="12"/>
  <c r="C228" i="12"/>
  <c r="E228" i="12"/>
  <c r="B229" i="12"/>
  <c r="C229" i="12"/>
  <c r="E229" i="12"/>
  <c r="B230" i="12"/>
  <c r="C230" i="12"/>
  <c r="E230" i="12"/>
  <c r="B231" i="12"/>
  <c r="C231" i="12"/>
  <c r="E231" i="12"/>
  <c r="B232" i="12"/>
  <c r="C232" i="12"/>
  <c r="E232" i="12"/>
  <c r="B233" i="12"/>
  <c r="C233" i="12"/>
  <c r="E233" i="12"/>
  <c r="B234" i="12"/>
  <c r="C234" i="12"/>
  <c r="E234" i="12"/>
  <c r="B235" i="12"/>
  <c r="C235" i="12"/>
  <c r="E235" i="12"/>
  <c r="B236" i="12"/>
  <c r="C236" i="12"/>
  <c r="E236" i="12"/>
  <c r="B237" i="12"/>
  <c r="C237" i="12"/>
  <c r="E237" i="12"/>
  <c r="B238" i="12"/>
  <c r="C238" i="12"/>
  <c r="E238" i="12"/>
  <c r="B239" i="12"/>
  <c r="C239" i="12"/>
  <c r="E239" i="12"/>
  <c r="B240" i="12"/>
  <c r="C240" i="12"/>
  <c r="E240" i="12"/>
  <c r="B241" i="12"/>
  <c r="C241" i="12"/>
  <c r="E241" i="12"/>
  <c r="B242" i="12"/>
  <c r="C242" i="12"/>
  <c r="E242" i="12"/>
  <c r="B243" i="12"/>
  <c r="C243" i="12"/>
  <c r="E243" i="12"/>
  <c r="B244" i="12"/>
  <c r="C244" i="12"/>
  <c r="E244" i="12"/>
  <c r="B245" i="12"/>
  <c r="C245" i="12"/>
  <c r="E245" i="12"/>
  <c r="B246" i="12"/>
  <c r="C246" i="12"/>
  <c r="E246" i="12"/>
  <c r="B247" i="12"/>
  <c r="C247" i="12"/>
  <c r="E247" i="12"/>
  <c r="B248" i="12"/>
  <c r="C248" i="12"/>
  <c r="E248" i="12"/>
  <c r="B249" i="12"/>
  <c r="C249" i="12"/>
  <c r="E249" i="12"/>
  <c r="B181" i="12"/>
  <c r="C181" i="12"/>
  <c r="E181" i="12"/>
  <c r="B182" i="12"/>
  <c r="C182" i="12"/>
  <c r="E182" i="12"/>
  <c r="B183" i="12"/>
  <c r="C183" i="12"/>
  <c r="E183" i="12"/>
  <c r="B184" i="12"/>
  <c r="C184" i="12"/>
  <c r="E184" i="12"/>
  <c r="B185" i="12"/>
  <c r="C185" i="12"/>
  <c r="E185" i="12"/>
  <c r="B186" i="12"/>
  <c r="C186" i="12"/>
  <c r="E186" i="12"/>
  <c r="B187" i="12"/>
  <c r="C187" i="12"/>
  <c r="E187" i="12"/>
  <c r="B188" i="12"/>
  <c r="C188" i="12"/>
  <c r="E188" i="12"/>
  <c r="B189" i="12"/>
  <c r="C189" i="12"/>
  <c r="E189" i="12"/>
  <c r="B190" i="12"/>
  <c r="C190" i="12"/>
  <c r="E190" i="12"/>
  <c r="B191" i="12"/>
  <c r="C191" i="12"/>
  <c r="E191" i="12"/>
  <c r="B192" i="12"/>
  <c r="C192" i="12"/>
  <c r="E192" i="12"/>
  <c r="B193" i="12"/>
  <c r="C193" i="12"/>
  <c r="E193" i="12"/>
  <c r="B194" i="12"/>
  <c r="C194" i="12"/>
  <c r="E194" i="12"/>
  <c r="B195" i="12"/>
  <c r="C195" i="12"/>
  <c r="E195" i="12"/>
  <c r="B196" i="12"/>
  <c r="C196" i="12"/>
  <c r="E196" i="12"/>
  <c r="B197" i="12"/>
  <c r="C197" i="12"/>
  <c r="E197" i="12"/>
  <c r="B198" i="12"/>
  <c r="C198" i="12"/>
  <c r="E198" i="12"/>
  <c r="B199" i="12"/>
  <c r="C199" i="12"/>
  <c r="E199" i="12"/>
  <c r="B200" i="12"/>
  <c r="C200" i="12"/>
  <c r="E200" i="12"/>
  <c r="B201" i="12"/>
  <c r="C201" i="12"/>
  <c r="E201" i="12"/>
  <c r="B202" i="12"/>
  <c r="C202" i="12"/>
  <c r="E202" i="12"/>
  <c r="B203" i="12"/>
  <c r="C203" i="12"/>
  <c r="E203" i="12"/>
  <c r="B204" i="12"/>
  <c r="C204" i="12"/>
  <c r="E204" i="12"/>
  <c r="B205" i="12"/>
  <c r="C205" i="12"/>
  <c r="E205" i="12"/>
  <c r="B206" i="12"/>
  <c r="C206" i="12"/>
  <c r="E206" i="12"/>
  <c r="B207" i="12"/>
  <c r="C207" i="12"/>
  <c r="E207" i="12"/>
  <c r="B208" i="12"/>
  <c r="C208" i="12"/>
  <c r="E208" i="12"/>
  <c r="E180" i="12"/>
  <c r="C180" i="12"/>
  <c r="B180" i="12"/>
  <c r="E252" i="12"/>
  <c r="E251" i="12"/>
  <c r="E250" i="12"/>
  <c r="E253" i="12"/>
  <c r="I24" i="9"/>
  <c r="I31" i="9"/>
  <c r="E31" i="8"/>
  <c r="D24" i="8"/>
  <c r="D31" i="8"/>
  <c r="C31" i="8"/>
  <c r="I24" i="7"/>
  <c r="I31" i="7"/>
  <c r="I19" i="11"/>
  <c r="I12" i="11"/>
  <c r="I64" i="11"/>
  <c r="C94" i="11"/>
  <c r="E94" i="11"/>
  <c r="I54" i="11"/>
  <c r="C84" i="11"/>
  <c r="E24" i="11"/>
  <c r="E59" i="11"/>
  <c r="E31" i="11"/>
  <c r="E23" i="11"/>
  <c r="E53" i="11"/>
  <c r="E61" i="11"/>
  <c r="E14" i="11"/>
  <c r="E60" i="11"/>
  <c r="I58" i="11"/>
  <c r="C88" i="11"/>
  <c r="E88" i="11"/>
  <c r="I57" i="11"/>
  <c r="C87" i="11"/>
  <c r="E87" i="11"/>
  <c r="I29" i="11"/>
  <c r="D44" i="11"/>
  <c r="I18" i="11"/>
  <c r="I11" i="11"/>
  <c r="I26" i="11"/>
  <c r="D41" i="11"/>
  <c r="I33" i="11"/>
  <c r="D48" i="11"/>
  <c r="E15" i="11"/>
  <c r="E12" i="11"/>
  <c r="E18" i="11"/>
  <c r="E30" i="11"/>
  <c r="E58" i="11"/>
  <c r="E19" i="11"/>
  <c r="E9" i="11"/>
  <c r="E26" i="11"/>
  <c r="E11" i="11"/>
  <c r="E33" i="11"/>
  <c r="I31" i="11"/>
  <c r="D46" i="11"/>
  <c r="I62" i="11"/>
  <c r="C92" i="11"/>
  <c r="E92" i="11"/>
  <c r="I53" i="11"/>
  <c r="C83" i="11"/>
  <c r="E83" i="11"/>
  <c r="I61" i="11"/>
  <c r="C91" i="11"/>
  <c r="E91" i="11"/>
  <c r="I17" i="11"/>
  <c r="I14" i="11"/>
  <c r="I24" i="11"/>
  <c r="D39" i="11"/>
  <c r="I59" i="11"/>
  <c r="C89" i="11"/>
  <c r="E89" i="11"/>
  <c r="E8" i="11"/>
  <c r="E32" i="11"/>
  <c r="E55" i="11"/>
  <c r="E63" i="11"/>
  <c r="E10" i="11"/>
  <c r="E54" i="11"/>
  <c r="E62" i="11"/>
  <c r="E17" i="11"/>
  <c r="E29" i="11"/>
  <c r="I23" i="11"/>
  <c r="D38" i="11"/>
  <c r="I60" i="11"/>
  <c r="C90" i="11"/>
  <c r="E90" i="11"/>
  <c r="E16" i="11"/>
  <c r="E28" i="11"/>
  <c r="E57" i="11"/>
  <c r="E27" i="11"/>
  <c r="E34" i="11"/>
  <c r="E56" i="11"/>
  <c r="E64" i="11"/>
  <c r="E13" i="11"/>
  <c r="E25" i="11"/>
  <c r="I25" i="11"/>
  <c r="D40" i="11"/>
  <c r="I27" i="11"/>
  <c r="D42" i="11"/>
  <c r="I55" i="11"/>
  <c r="C85" i="11"/>
  <c r="E85" i="11"/>
  <c r="I34" i="11"/>
  <c r="D49" i="11"/>
  <c r="I56" i="11"/>
  <c r="C86" i="11"/>
  <c r="E86" i="11"/>
  <c r="I32" i="11"/>
  <c r="D47" i="11"/>
  <c r="I15" i="11"/>
  <c r="I8" i="11"/>
  <c r="I30" i="11"/>
  <c r="I13" i="11"/>
  <c r="I10" i="11"/>
  <c r="I28" i="11"/>
  <c r="D43" i="11"/>
  <c r="I63" i="11"/>
  <c r="C93" i="11"/>
  <c r="E93" i="11"/>
  <c r="D45" i="11"/>
  <c r="D9" i="12"/>
  <c r="D18" i="12"/>
  <c r="D14" i="12"/>
  <c r="D10" i="12"/>
  <c r="D17" i="12"/>
  <c r="D13" i="12"/>
  <c r="D8" i="12"/>
  <c r="D16" i="12"/>
  <c r="D12" i="12"/>
  <c r="D19" i="12"/>
  <c r="D15" i="12"/>
  <c r="D11" i="12"/>
  <c r="B155" i="12"/>
  <c r="C155" i="12"/>
  <c r="B116" i="12"/>
  <c r="C116" i="12"/>
  <c r="B117" i="12"/>
  <c r="C117" i="12"/>
  <c r="B118" i="12"/>
  <c r="C118" i="12"/>
  <c r="B119" i="12"/>
  <c r="C119" i="12"/>
  <c r="B156" i="12"/>
  <c r="C156" i="12"/>
  <c r="B72" i="12"/>
  <c r="C72" i="12"/>
  <c r="B113" i="12"/>
  <c r="C113" i="12"/>
  <c r="B157" i="12"/>
  <c r="C157" i="12"/>
  <c r="B85" i="12"/>
  <c r="C85" i="12"/>
  <c r="B86" i="12"/>
  <c r="C86" i="12"/>
  <c r="B158" i="12"/>
  <c r="C158" i="12"/>
  <c r="B120" i="12"/>
  <c r="C120" i="12"/>
  <c r="B59" i="12"/>
  <c r="C59" i="12"/>
  <c r="B52" i="12"/>
  <c r="C52" i="12"/>
  <c r="B73" i="12"/>
  <c r="C73" i="12"/>
  <c r="B74" i="12"/>
  <c r="C74" i="12"/>
  <c r="B75" i="12"/>
  <c r="C75" i="12"/>
  <c r="B76" i="12"/>
  <c r="C76" i="12"/>
  <c r="B58" i="12"/>
  <c r="C58" i="12"/>
  <c r="B87" i="12"/>
  <c r="C87" i="12"/>
  <c r="B88" i="12"/>
  <c r="C88" i="12"/>
  <c r="B159" i="12"/>
  <c r="C159" i="12"/>
  <c r="B160" i="12"/>
  <c r="C160" i="12"/>
  <c r="B121" i="12"/>
  <c r="C121" i="12"/>
  <c r="B60" i="12"/>
  <c r="C60" i="12"/>
  <c r="B61" i="12"/>
  <c r="C61" i="12"/>
  <c r="B89" i="12"/>
  <c r="C89" i="12"/>
  <c r="B90" i="12"/>
  <c r="C90" i="12"/>
  <c r="B91" i="12"/>
  <c r="C91" i="12"/>
  <c r="B92" i="12"/>
  <c r="C92" i="12"/>
  <c r="B122" i="12"/>
  <c r="C122" i="12"/>
  <c r="B123" i="12"/>
  <c r="C123" i="12"/>
  <c r="B124" i="12"/>
  <c r="C124" i="12"/>
  <c r="B93" i="12"/>
  <c r="C93" i="12"/>
  <c r="B125" i="12"/>
  <c r="C125" i="12"/>
  <c r="B126" i="12"/>
  <c r="C126" i="12"/>
  <c r="B94" i="12"/>
  <c r="C94" i="12"/>
  <c r="B127" i="12"/>
  <c r="C127" i="12"/>
  <c r="B128" i="12"/>
  <c r="C128" i="12"/>
  <c r="B129" i="12"/>
  <c r="C129" i="12"/>
  <c r="B161" i="12"/>
  <c r="C161" i="12"/>
  <c r="B95" i="12"/>
  <c r="C95" i="12"/>
  <c r="B96" i="12"/>
  <c r="C96" i="12"/>
  <c r="B62" i="12"/>
  <c r="C62" i="12"/>
  <c r="B53" i="12"/>
  <c r="C53" i="12"/>
  <c r="B63" i="12"/>
  <c r="C63" i="12"/>
  <c r="B147" i="12"/>
  <c r="C147" i="12"/>
  <c r="B162" i="12"/>
  <c r="C162" i="12"/>
  <c r="B145" i="12"/>
  <c r="C145" i="12"/>
  <c r="B163" i="12"/>
  <c r="C163" i="12"/>
  <c r="B77" i="12"/>
  <c r="C77" i="12"/>
  <c r="B164" i="12"/>
  <c r="C164" i="12"/>
  <c r="B97" i="12"/>
  <c r="C97" i="12"/>
  <c r="B98" i="12"/>
  <c r="C98" i="12"/>
  <c r="B99" i="12"/>
  <c r="C99" i="12"/>
  <c r="B100" i="12"/>
  <c r="C100" i="12"/>
  <c r="B101" i="12"/>
  <c r="C101" i="12"/>
  <c r="B102" i="12"/>
  <c r="C102" i="12"/>
  <c r="B64" i="12"/>
  <c r="C64" i="12"/>
  <c r="B65" i="12"/>
  <c r="C65" i="12"/>
  <c r="B165" i="12"/>
  <c r="C165" i="12"/>
  <c r="B166" i="12"/>
  <c r="C166" i="12"/>
  <c r="B130" i="12"/>
  <c r="C130" i="12"/>
  <c r="B54" i="12"/>
  <c r="C54" i="12"/>
  <c r="B78" i="12"/>
  <c r="C78" i="12"/>
  <c r="B131" i="12"/>
  <c r="C131" i="12"/>
  <c r="B79" i="12"/>
  <c r="C79" i="12"/>
  <c r="B80" i="12"/>
  <c r="C80" i="12"/>
  <c r="B146" i="12"/>
  <c r="C146" i="12"/>
  <c r="B103" i="12"/>
  <c r="C103" i="12"/>
  <c r="B66" i="12"/>
  <c r="C66" i="12"/>
  <c r="B104" i="12"/>
  <c r="C104" i="12"/>
  <c r="B148" i="12"/>
  <c r="C148" i="12"/>
  <c r="B149" i="12"/>
  <c r="C149" i="12"/>
  <c r="B114" i="12"/>
  <c r="C114" i="12"/>
  <c r="B150" i="12"/>
  <c r="C150" i="12"/>
  <c r="B115" i="12"/>
  <c r="C115" i="12"/>
  <c r="B105" i="12"/>
  <c r="C105" i="12"/>
  <c r="B132" i="12"/>
  <c r="C132" i="12"/>
  <c r="B133" i="12"/>
  <c r="C133" i="12"/>
  <c r="B55" i="12"/>
  <c r="C55" i="12"/>
  <c r="B67" i="12"/>
  <c r="C67" i="12"/>
  <c r="B167" i="12"/>
  <c r="C167" i="12"/>
  <c r="B151" i="12"/>
  <c r="C151" i="12"/>
  <c r="B152" i="12"/>
  <c r="C152" i="12"/>
  <c r="B68" i="12"/>
  <c r="C68" i="12"/>
  <c r="B69" i="12"/>
  <c r="C69" i="12"/>
  <c r="B134" i="12"/>
  <c r="C134" i="12"/>
  <c r="B135" i="12"/>
  <c r="C135" i="12"/>
  <c r="B136" i="12"/>
  <c r="C136" i="12"/>
  <c r="B70" i="12"/>
  <c r="C70" i="12"/>
  <c r="B56" i="12"/>
  <c r="C56" i="12"/>
  <c r="B71" i="12"/>
  <c r="C71" i="12"/>
  <c r="B106" i="12"/>
  <c r="C106" i="12"/>
  <c r="B57" i="12"/>
  <c r="C57" i="12"/>
  <c r="B81" i="12"/>
  <c r="C81" i="12"/>
  <c r="B107" i="12"/>
  <c r="C107" i="12"/>
  <c r="B137" i="12"/>
  <c r="C137" i="12"/>
  <c r="B138" i="12"/>
  <c r="C138" i="12"/>
  <c r="B82" i="12"/>
  <c r="C82" i="12"/>
  <c r="B83" i="12"/>
  <c r="C83" i="12"/>
  <c r="B84" i="12"/>
  <c r="C84" i="12"/>
  <c r="B139" i="12"/>
  <c r="C139" i="12"/>
  <c r="B140" i="12"/>
  <c r="C140" i="12"/>
  <c r="B168" i="12"/>
  <c r="C168" i="12"/>
  <c r="B141" i="12"/>
  <c r="C141" i="12"/>
  <c r="B169" i="12"/>
  <c r="C169" i="12"/>
  <c r="B142" i="12"/>
  <c r="C142" i="12"/>
  <c r="B170" i="12"/>
  <c r="C170" i="12"/>
  <c r="B108" i="12"/>
  <c r="C108" i="12"/>
  <c r="B143" i="12"/>
  <c r="C143" i="12"/>
  <c r="B171" i="12"/>
  <c r="C171" i="12"/>
  <c r="B153" i="12"/>
  <c r="C153" i="12"/>
  <c r="B109" i="12"/>
  <c r="C109" i="12"/>
  <c r="B110" i="12"/>
  <c r="C110" i="12"/>
  <c r="B111" i="12"/>
  <c r="C111" i="12"/>
  <c r="B112" i="12"/>
  <c r="C112" i="12"/>
  <c r="B144" i="12"/>
  <c r="C144" i="12"/>
  <c r="C154" i="12"/>
  <c r="B154" i="12"/>
  <c r="B226" i="13"/>
  <c r="C226" i="13"/>
  <c r="B227" i="13"/>
  <c r="C227" i="13"/>
  <c r="B228" i="13"/>
  <c r="C228" i="13"/>
  <c r="B229" i="13"/>
  <c r="C229" i="13"/>
  <c r="B230" i="13"/>
  <c r="C230" i="13"/>
  <c r="B231" i="13"/>
  <c r="C231" i="13"/>
  <c r="B232" i="13"/>
  <c r="C232" i="13"/>
  <c r="B233" i="13"/>
  <c r="C233" i="13"/>
  <c r="B234" i="13"/>
  <c r="C234" i="13"/>
  <c r="B235" i="13"/>
  <c r="C235" i="13"/>
  <c r="B236" i="13"/>
  <c r="C236" i="13"/>
  <c r="B237" i="13"/>
  <c r="C237" i="13"/>
  <c r="B238" i="13"/>
  <c r="C238" i="13"/>
  <c r="B239" i="13"/>
  <c r="C239" i="13"/>
  <c r="B240" i="13"/>
  <c r="C240" i="13"/>
  <c r="B241" i="13"/>
  <c r="C241" i="13"/>
  <c r="B242" i="13"/>
  <c r="C242" i="13"/>
  <c r="B243" i="13"/>
  <c r="C243" i="13"/>
  <c r="B244" i="13"/>
  <c r="C244" i="13"/>
  <c r="B245" i="13"/>
  <c r="C245" i="13"/>
  <c r="B246" i="13"/>
  <c r="C246" i="13"/>
  <c r="B247" i="13"/>
  <c r="C247" i="13"/>
  <c r="B248" i="13"/>
  <c r="C248" i="13"/>
  <c r="B249" i="13"/>
  <c r="C249" i="13"/>
  <c r="B250" i="13"/>
  <c r="C250" i="13"/>
  <c r="B251" i="13"/>
  <c r="C251" i="13"/>
  <c r="B252" i="13"/>
  <c r="C252" i="13"/>
  <c r="B253" i="13"/>
  <c r="C253" i="13"/>
  <c r="B254" i="13"/>
  <c r="C254" i="13"/>
  <c r="B255" i="13"/>
  <c r="C255" i="13"/>
  <c r="B256" i="13"/>
  <c r="C256" i="13"/>
  <c r="B257" i="13"/>
  <c r="C257" i="13"/>
  <c r="B258" i="13"/>
  <c r="C258" i="13"/>
  <c r="B259" i="13"/>
  <c r="C259" i="13"/>
  <c r="B260" i="13"/>
  <c r="C260" i="13"/>
  <c r="B261" i="13"/>
  <c r="C261" i="13"/>
  <c r="B262" i="13"/>
  <c r="C262" i="13"/>
  <c r="B263" i="13"/>
  <c r="C263" i="13"/>
  <c r="B264" i="13"/>
  <c r="C264" i="13"/>
  <c r="B265" i="13"/>
  <c r="C265" i="13"/>
  <c r="B266" i="13"/>
  <c r="C266" i="13"/>
  <c r="B267" i="13"/>
  <c r="C267" i="13"/>
  <c r="B268" i="13"/>
  <c r="C268" i="13"/>
  <c r="B269" i="13"/>
  <c r="C269" i="13"/>
  <c r="B270" i="13"/>
  <c r="C270" i="13"/>
  <c r="B271" i="13"/>
  <c r="C271" i="13"/>
  <c r="B272" i="13"/>
  <c r="C272" i="13"/>
  <c r="B273" i="13"/>
  <c r="C273" i="13"/>
  <c r="B274" i="13"/>
  <c r="C274" i="13"/>
  <c r="B275" i="13"/>
  <c r="C275" i="13"/>
  <c r="B276" i="13"/>
  <c r="C276" i="13"/>
  <c r="B277" i="13"/>
  <c r="C277" i="13"/>
  <c r="B278" i="13"/>
  <c r="C278" i="13"/>
  <c r="B279" i="13"/>
  <c r="C279" i="13"/>
  <c r="B280" i="13"/>
  <c r="C280" i="13"/>
  <c r="B281" i="13"/>
  <c r="C281" i="13"/>
  <c r="B282" i="13"/>
  <c r="C282" i="13"/>
  <c r="B283" i="13"/>
  <c r="C283" i="13"/>
  <c r="B284" i="13"/>
  <c r="C284" i="13"/>
  <c r="B285" i="13"/>
  <c r="C285" i="13"/>
  <c r="B286" i="13"/>
  <c r="C286" i="13"/>
  <c r="B287" i="13"/>
  <c r="C287" i="13"/>
  <c r="B288" i="13"/>
  <c r="C288" i="13"/>
  <c r="B289" i="13"/>
  <c r="C289" i="13"/>
  <c r="B290" i="13"/>
  <c r="C290" i="13"/>
  <c r="B291" i="13"/>
  <c r="C291" i="13"/>
  <c r="B292" i="13"/>
  <c r="C292" i="13"/>
  <c r="B293" i="13"/>
  <c r="C293" i="13"/>
  <c r="B294" i="13"/>
  <c r="C294" i="13"/>
  <c r="B295" i="13"/>
  <c r="C295" i="13"/>
  <c r="B296" i="13"/>
  <c r="C296" i="13"/>
  <c r="B297" i="13"/>
  <c r="C297" i="13"/>
  <c r="B298" i="13"/>
  <c r="C298" i="13"/>
  <c r="B299" i="13"/>
  <c r="C299" i="13"/>
  <c r="B300" i="13"/>
  <c r="C300" i="13"/>
  <c r="B301" i="13"/>
  <c r="C301" i="13"/>
  <c r="B302" i="13"/>
  <c r="C302" i="13"/>
  <c r="B303" i="13"/>
  <c r="C303" i="13"/>
  <c r="B304" i="13"/>
  <c r="C304" i="13"/>
  <c r="B305" i="13"/>
  <c r="C305" i="13"/>
  <c r="B306" i="13"/>
  <c r="C306" i="13"/>
  <c r="B307" i="13"/>
  <c r="C307" i="13"/>
  <c r="B308" i="13"/>
  <c r="C308" i="13"/>
  <c r="B309" i="13"/>
  <c r="C309" i="13"/>
  <c r="B310" i="13"/>
  <c r="C310" i="13"/>
  <c r="B311" i="13"/>
  <c r="C311" i="13"/>
  <c r="B312" i="13"/>
  <c r="C312" i="13"/>
  <c r="B313" i="13"/>
  <c r="C313" i="13"/>
  <c r="B314" i="13"/>
  <c r="C314" i="13"/>
  <c r="B315" i="13"/>
  <c r="C315" i="13"/>
  <c r="B316" i="13"/>
  <c r="C316" i="13"/>
  <c r="B317" i="13"/>
  <c r="C317" i="13"/>
  <c r="B318" i="13"/>
  <c r="C318" i="13"/>
  <c r="B319" i="13"/>
  <c r="C319" i="13"/>
  <c r="B320" i="13"/>
  <c r="C320" i="13"/>
  <c r="B321" i="13"/>
  <c r="C321" i="13"/>
  <c r="B322" i="13"/>
  <c r="C322" i="13"/>
  <c r="B323" i="13"/>
  <c r="C323" i="13"/>
  <c r="B324" i="13"/>
  <c r="C324" i="13"/>
  <c r="B325" i="13"/>
  <c r="C325" i="13"/>
  <c r="B326" i="13"/>
  <c r="C326" i="13"/>
  <c r="B327" i="13"/>
  <c r="C327" i="13"/>
  <c r="B328" i="13"/>
  <c r="C328" i="13"/>
  <c r="B329" i="13"/>
  <c r="C329" i="13"/>
  <c r="B330" i="13"/>
  <c r="C330" i="13"/>
  <c r="B331" i="13"/>
  <c r="C331" i="13"/>
  <c r="B332" i="13"/>
  <c r="C332" i="13"/>
  <c r="B333" i="13"/>
  <c r="C333" i="13"/>
  <c r="B334" i="13"/>
  <c r="C334" i="13"/>
  <c r="B335" i="13"/>
  <c r="C335" i="13"/>
  <c r="B336" i="13"/>
  <c r="C336" i="13"/>
  <c r="B337" i="13"/>
  <c r="C337" i="13"/>
  <c r="B338" i="13"/>
  <c r="C338" i="13"/>
  <c r="B339" i="13"/>
  <c r="C339" i="13"/>
  <c r="B340" i="13"/>
  <c r="C340" i="13"/>
  <c r="B341" i="13"/>
  <c r="C341" i="13"/>
  <c r="B342" i="13"/>
  <c r="C342" i="13"/>
  <c r="B343" i="13"/>
  <c r="C343" i="13"/>
  <c r="B344" i="13"/>
  <c r="C344" i="13"/>
  <c r="B345" i="13"/>
  <c r="C345" i="13"/>
  <c r="B346" i="13"/>
  <c r="C346" i="13"/>
  <c r="B347" i="13"/>
  <c r="C347" i="13"/>
  <c r="B348" i="13"/>
  <c r="C348" i="13"/>
  <c r="B349" i="13"/>
  <c r="C349" i="13"/>
  <c r="B350" i="13"/>
  <c r="C350" i="13"/>
  <c r="B351" i="13"/>
  <c r="C351" i="13"/>
  <c r="B352" i="13"/>
  <c r="C352" i="13"/>
  <c r="B353" i="13"/>
  <c r="C353" i="13"/>
  <c r="B354" i="13"/>
  <c r="C354" i="13"/>
  <c r="B355" i="13"/>
  <c r="C355" i="13"/>
  <c r="B356" i="13"/>
  <c r="C356" i="13"/>
  <c r="B357" i="13"/>
  <c r="C357" i="13"/>
  <c r="B358" i="13"/>
  <c r="C358" i="13"/>
  <c r="B359" i="13"/>
  <c r="C359" i="13"/>
  <c r="B360" i="13"/>
  <c r="C360" i="13"/>
  <c r="B361" i="13"/>
  <c r="C361" i="13"/>
  <c r="B362" i="13"/>
  <c r="C362" i="13"/>
  <c r="B363" i="13"/>
  <c r="C363" i="13"/>
  <c r="B364" i="13"/>
  <c r="C364" i="13"/>
  <c r="B365" i="13"/>
  <c r="C365" i="13"/>
  <c r="B366" i="13"/>
  <c r="C366" i="13"/>
  <c r="B367" i="13"/>
  <c r="C367" i="13"/>
  <c r="B368" i="13"/>
  <c r="C368" i="13"/>
  <c r="B369" i="13"/>
  <c r="C369" i="13"/>
  <c r="B370" i="13"/>
  <c r="C370" i="13"/>
  <c r="B371" i="13"/>
  <c r="C371" i="13"/>
  <c r="B372" i="13"/>
  <c r="C372" i="13"/>
  <c r="B373" i="13"/>
  <c r="C373" i="13"/>
  <c r="B374" i="13"/>
  <c r="C374" i="13"/>
  <c r="B375" i="13"/>
  <c r="C375" i="13"/>
  <c r="B376" i="13"/>
  <c r="C376" i="13"/>
  <c r="B377" i="13"/>
  <c r="C377" i="13"/>
  <c r="B378" i="13"/>
  <c r="C378" i="13"/>
  <c r="B379" i="13"/>
  <c r="C379" i="13"/>
  <c r="B380" i="13"/>
  <c r="C380" i="13"/>
  <c r="B381" i="13"/>
  <c r="C381" i="13"/>
  <c r="B382" i="13"/>
  <c r="C382" i="13"/>
  <c r="B383" i="13"/>
  <c r="C383" i="13"/>
  <c r="B384" i="13"/>
  <c r="C384" i="13"/>
  <c r="B385" i="13"/>
  <c r="C385" i="13"/>
  <c r="B386" i="13"/>
  <c r="C386" i="13"/>
  <c r="B387" i="13"/>
  <c r="C387" i="13"/>
  <c r="B388" i="13"/>
  <c r="C388" i="13"/>
  <c r="B389" i="13"/>
  <c r="C389" i="13"/>
  <c r="B390" i="13"/>
  <c r="C390" i="13"/>
  <c r="B391" i="13"/>
  <c r="C391" i="13"/>
  <c r="B392" i="13"/>
  <c r="C392" i="13"/>
  <c r="B393" i="13"/>
  <c r="C393" i="13"/>
  <c r="B394" i="13"/>
  <c r="C394" i="13"/>
  <c r="B395" i="13"/>
  <c r="C395" i="13"/>
  <c r="B396" i="13"/>
  <c r="C396" i="13"/>
  <c r="B397" i="13"/>
  <c r="C397" i="13"/>
  <c r="B398" i="13"/>
  <c r="C398" i="13"/>
  <c r="B399" i="13"/>
  <c r="C399" i="13"/>
  <c r="B400" i="13"/>
  <c r="C400" i="13"/>
  <c r="B401" i="13"/>
  <c r="C401" i="13"/>
  <c r="B402" i="13"/>
  <c r="C402" i="13"/>
  <c r="B403" i="13"/>
  <c r="C403" i="13"/>
  <c r="B404" i="13"/>
  <c r="C404" i="13"/>
  <c r="B405" i="13"/>
  <c r="C405" i="13"/>
  <c r="B406" i="13"/>
  <c r="C406" i="13"/>
  <c r="B407" i="13"/>
  <c r="C407" i="13"/>
  <c r="B408" i="13"/>
  <c r="C408" i="13"/>
  <c r="B409" i="13"/>
  <c r="C409" i="13"/>
  <c r="B410" i="13"/>
  <c r="C410" i="13"/>
  <c r="B411" i="13"/>
  <c r="C411" i="13"/>
  <c r="B412" i="13"/>
  <c r="C412" i="13"/>
  <c r="B413" i="13"/>
  <c r="C413" i="13"/>
  <c r="B414" i="13"/>
  <c r="C414" i="13"/>
  <c r="B415" i="13"/>
  <c r="C415" i="13"/>
  <c r="B416" i="13"/>
  <c r="C416" i="13"/>
  <c r="B417" i="13"/>
  <c r="C417" i="13"/>
  <c r="B418" i="13"/>
  <c r="C418" i="13"/>
  <c r="B419" i="13"/>
  <c r="C419" i="13"/>
  <c r="B420" i="13"/>
  <c r="C420" i="13"/>
  <c r="B421" i="13"/>
  <c r="C421" i="13"/>
  <c r="B422" i="13"/>
  <c r="C422" i="13"/>
  <c r="B423" i="13"/>
  <c r="C423" i="13"/>
  <c r="B424" i="13"/>
  <c r="C424" i="13"/>
  <c r="B425" i="13"/>
  <c r="C425" i="13"/>
  <c r="B426" i="13"/>
  <c r="C426" i="13"/>
  <c r="B427" i="13"/>
  <c r="C427" i="13"/>
  <c r="B428" i="13"/>
  <c r="C428" i="13"/>
  <c r="B429" i="13"/>
  <c r="C429" i="13"/>
  <c r="B430" i="13"/>
  <c r="C430" i="13"/>
  <c r="B431" i="13"/>
  <c r="C431" i="13"/>
  <c r="B432" i="13"/>
  <c r="C432" i="13"/>
  <c r="B433" i="13"/>
  <c r="C433" i="13"/>
  <c r="B434" i="13"/>
  <c r="C434" i="13"/>
  <c r="B435" i="13"/>
  <c r="C435" i="13"/>
  <c r="B436" i="13"/>
  <c r="C436" i="13"/>
  <c r="B437" i="13"/>
  <c r="C437" i="13"/>
  <c r="B438" i="13"/>
  <c r="C438" i="13"/>
  <c r="B439" i="13"/>
  <c r="C439" i="13"/>
  <c r="B440" i="13"/>
  <c r="C440" i="13"/>
  <c r="B441" i="13"/>
  <c r="C441" i="13"/>
  <c r="B442" i="13"/>
  <c r="C442" i="13"/>
  <c r="B443" i="13"/>
  <c r="C443" i="13"/>
  <c r="B444" i="13"/>
  <c r="C444" i="13"/>
  <c r="B445" i="13"/>
  <c r="C445" i="13"/>
  <c r="B446" i="13"/>
  <c r="C446" i="13"/>
  <c r="B447" i="13"/>
  <c r="C447" i="13"/>
  <c r="B448" i="13"/>
  <c r="C448" i="13"/>
  <c r="C225" i="13"/>
  <c r="B225" i="13"/>
  <c r="B98" i="13"/>
  <c r="C98" i="13"/>
  <c r="E98" i="13"/>
  <c r="F98" i="13"/>
  <c r="G98" i="13"/>
  <c r="B99" i="13"/>
  <c r="C99" i="13"/>
  <c r="E99" i="13"/>
  <c r="F99" i="13"/>
  <c r="G99" i="13"/>
  <c r="B100" i="13"/>
  <c r="C100" i="13"/>
  <c r="E100" i="13"/>
  <c r="F100" i="13"/>
  <c r="G100" i="13"/>
  <c r="B101" i="13"/>
  <c r="C101" i="13"/>
  <c r="E101" i="13"/>
  <c r="F101" i="13"/>
  <c r="G101" i="13"/>
  <c r="B102" i="13"/>
  <c r="C102" i="13"/>
  <c r="E102" i="13"/>
  <c r="F102" i="13"/>
  <c r="G102" i="13"/>
  <c r="B103" i="13"/>
  <c r="C103" i="13"/>
  <c r="E103" i="13"/>
  <c r="F103" i="13"/>
  <c r="G103" i="13"/>
  <c r="B104" i="13"/>
  <c r="C104" i="13"/>
  <c r="E104" i="13"/>
  <c r="F104" i="13"/>
  <c r="G104" i="13"/>
  <c r="B105" i="13"/>
  <c r="C105" i="13"/>
  <c r="E105" i="13"/>
  <c r="F105" i="13"/>
  <c r="G105" i="13"/>
  <c r="B106" i="13"/>
  <c r="C106" i="13"/>
  <c r="E106" i="13"/>
  <c r="F106" i="13"/>
  <c r="G106" i="13"/>
  <c r="B107" i="13"/>
  <c r="C107" i="13"/>
  <c r="E107" i="13"/>
  <c r="F107" i="13"/>
  <c r="G107" i="13"/>
  <c r="B108" i="13"/>
  <c r="C108" i="13"/>
  <c r="E108" i="13"/>
  <c r="F108" i="13"/>
  <c r="G108" i="13"/>
  <c r="B109" i="13"/>
  <c r="C109" i="13"/>
  <c r="E109" i="13"/>
  <c r="F109" i="13"/>
  <c r="G109" i="13"/>
  <c r="B110" i="13"/>
  <c r="C110" i="13"/>
  <c r="E110" i="13"/>
  <c r="F110" i="13"/>
  <c r="G110" i="13"/>
  <c r="B111" i="13"/>
  <c r="C111" i="13"/>
  <c r="E111" i="13"/>
  <c r="F111" i="13"/>
  <c r="G111" i="13"/>
  <c r="B112" i="13"/>
  <c r="C112" i="13"/>
  <c r="E112" i="13"/>
  <c r="F112" i="13"/>
  <c r="G112" i="13"/>
  <c r="B113" i="13"/>
  <c r="C113" i="13"/>
  <c r="E113" i="13"/>
  <c r="F113" i="13"/>
  <c r="G113" i="13"/>
  <c r="B114" i="13"/>
  <c r="C114" i="13"/>
  <c r="E114" i="13"/>
  <c r="F114" i="13"/>
  <c r="G114" i="13"/>
  <c r="B115" i="13"/>
  <c r="C115" i="13"/>
  <c r="E115" i="13"/>
  <c r="F115" i="13"/>
  <c r="G115" i="13"/>
  <c r="B116" i="13"/>
  <c r="C116" i="13"/>
  <c r="E116" i="13"/>
  <c r="F116" i="13"/>
  <c r="G116" i="13"/>
  <c r="B117" i="13"/>
  <c r="C117" i="13"/>
  <c r="E117" i="13"/>
  <c r="F117" i="13"/>
  <c r="G117" i="13"/>
  <c r="B118" i="13"/>
  <c r="C118" i="13"/>
  <c r="E118" i="13"/>
  <c r="F118" i="13"/>
  <c r="G118" i="13"/>
  <c r="B119" i="13"/>
  <c r="C119" i="13"/>
  <c r="E119" i="13"/>
  <c r="F119" i="13"/>
  <c r="G119" i="13"/>
  <c r="B120" i="13"/>
  <c r="C120" i="13"/>
  <c r="E120" i="13"/>
  <c r="F120" i="13"/>
  <c r="G120" i="13"/>
  <c r="B121" i="13"/>
  <c r="C121" i="13"/>
  <c r="E121" i="13"/>
  <c r="F121" i="13"/>
  <c r="G121" i="13"/>
  <c r="B122" i="13"/>
  <c r="C122" i="13"/>
  <c r="E122" i="13"/>
  <c r="F122" i="13"/>
  <c r="G122" i="13"/>
  <c r="B123" i="13"/>
  <c r="C123" i="13"/>
  <c r="E123" i="13"/>
  <c r="F123" i="13"/>
  <c r="G123" i="13"/>
  <c r="B124" i="13"/>
  <c r="C124" i="13"/>
  <c r="E124" i="13"/>
  <c r="F124" i="13"/>
  <c r="G124" i="13"/>
  <c r="B125" i="13"/>
  <c r="C125" i="13"/>
  <c r="E125" i="13"/>
  <c r="F125" i="13"/>
  <c r="G125" i="13"/>
  <c r="B126" i="13"/>
  <c r="C126" i="13"/>
  <c r="E126" i="13"/>
  <c r="F126" i="13"/>
  <c r="G126" i="13"/>
  <c r="B127" i="13"/>
  <c r="C127" i="13"/>
  <c r="E127" i="13"/>
  <c r="F127" i="13"/>
  <c r="G127" i="13"/>
  <c r="B128" i="13"/>
  <c r="C128" i="13"/>
  <c r="E128" i="13"/>
  <c r="F128" i="13"/>
  <c r="G128" i="13"/>
  <c r="B129" i="13"/>
  <c r="C129" i="13"/>
  <c r="E129" i="13"/>
  <c r="F129" i="13"/>
  <c r="G129" i="13"/>
  <c r="B130" i="13"/>
  <c r="C130" i="13"/>
  <c r="E130" i="13"/>
  <c r="F130" i="13"/>
  <c r="G130" i="13"/>
  <c r="B131" i="13"/>
  <c r="C131" i="13"/>
  <c r="E131" i="13"/>
  <c r="F131" i="13"/>
  <c r="G131" i="13"/>
  <c r="B132" i="13"/>
  <c r="C132" i="13"/>
  <c r="E132" i="13"/>
  <c r="F132" i="13"/>
  <c r="G132" i="13"/>
  <c r="B133" i="13"/>
  <c r="C133" i="13"/>
  <c r="E133" i="13"/>
  <c r="F133" i="13"/>
  <c r="G133" i="13"/>
  <c r="B134" i="13"/>
  <c r="C134" i="13"/>
  <c r="E134" i="13"/>
  <c r="F134" i="13"/>
  <c r="G134" i="13"/>
  <c r="B135" i="13"/>
  <c r="C135" i="13"/>
  <c r="E135" i="13"/>
  <c r="F135" i="13"/>
  <c r="G135" i="13"/>
  <c r="B136" i="13"/>
  <c r="C136" i="13"/>
  <c r="E136" i="13"/>
  <c r="F136" i="13"/>
  <c r="G136" i="13"/>
  <c r="B137" i="13"/>
  <c r="C137" i="13"/>
  <c r="E137" i="13"/>
  <c r="F137" i="13"/>
  <c r="G137" i="13"/>
  <c r="B138" i="13"/>
  <c r="C138" i="13"/>
  <c r="E138" i="13"/>
  <c r="F138" i="13"/>
  <c r="G138" i="13"/>
  <c r="B139" i="13"/>
  <c r="C139" i="13"/>
  <c r="E139" i="13"/>
  <c r="F139" i="13"/>
  <c r="G139" i="13"/>
  <c r="B140" i="13"/>
  <c r="C140" i="13"/>
  <c r="E140" i="13"/>
  <c r="F140" i="13"/>
  <c r="G140" i="13"/>
  <c r="B141" i="13"/>
  <c r="C141" i="13"/>
  <c r="E141" i="13"/>
  <c r="F141" i="13"/>
  <c r="G141" i="13"/>
  <c r="B142" i="13"/>
  <c r="C142" i="13"/>
  <c r="E142" i="13"/>
  <c r="F142" i="13"/>
  <c r="G142" i="13"/>
  <c r="B143" i="13"/>
  <c r="C143" i="13"/>
  <c r="E143" i="13"/>
  <c r="F143" i="13"/>
  <c r="G143" i="13"/>
  <c r="B144" i="13"/>
  <c r="C144" i="13"/>
  <c r="E144" i="13"/>
  <c r="F144" i="13"/>
  <c r="G144" i="13"/>
  <c r="B145" i="13"/>
  <c r="C145" i="13"/>
  <c r="E145" i="13"/>
  <c r="F145" i="13"/>
  <c r="G145" i="13"/>
  <c r="B146" i="13"/>
  <c r="C146" i="13"/>
  <c r="E146" i="13"/>
  <c r="F146" i="13"/>
  <c r="G146" i="13"/>
  <c r="B147" i="13"/>
  <c r="C147" i="13"/>
  <c r="E147" i="13"/>
  <c r="F147" i="13"/>
  <c r="G147" i="13"/>
  <c r="B148" i="13"/>
  <c r="C148" i="13"/>
  <c r="E148" i="13"/>
  <c r="F148" i="13"/>
  <c r="G148" i="13"/>
  <c r="B149" i="13"/>
  <c r="C149" i="13"/>
  <c r="E149" i="13"/>
  <c r="F149" i="13"/>
  <c r="G149" i="13"/>
  <c r="B150" i="13"/>
  <c r="C150" i="13"/>
  <c r="E150" i="13"/>
  <c r="F150" i="13"/>
  <c r="G150" i="13"/>
  <c r="B151" i="13"/>
  <c r="C151" i="13"/>
  <c r="E151" i="13"/>
  <c r="F151" i="13"/>
  <c r="G151" i="13"/>
  <c r="B152" i="13"/>
  <c r="C152" i="13"/>
  <c r="E152" i="13"/>
  <c r="F152" i="13"/>
  <c r="G152" i="13"/>
  <c r="B153" i="13"/>
  <c r="C153" i="13"/>
  <c r="E153" i="13"/>
  <c r="F153" i="13"/>
  <c r="G153" i="13"/>
  <c r="B154" i="13"/>
  <c r="C154" i="13"/>
  <c r="E154" i="13"/>
  <c r="F154" i="13"/>
  <c r="G154" i="13"/>
  <c r="B155" i="13"/>
  <c r="C155" i="13"/>
  <c r="E155" i="13"/>
  <c r="F155" i="13"/>
  <c r="G155" i="13"/>
  <c r="B156" i="13"/>
  <c r="C156" i="13"/>
  <c r="E156" i="13"/>
  <c r="F156" i="13"/>
  <c r="G156" i="13"/>
  <c r="B157" i="13"/>
  <c r="C157" i="13"/>
  <c r="E157" i="13"/>
  <c r="F157" i="13"/>
  <c r="G157" i="13"/>
  <c r="B158" i="13"/>
  <c r="C158" i="13"/>
  <c r="E158" i="13"/>
  <c r="F158" i="13"/>
  <c r="G158" i="13"/>
  <c r="B159" i="13"/>
  <c r="C159" i="13"/>
  <c r="E159" i="13"/>
  <c r="F159" i="13"/>
  <c r="G159" i="13"/>
  <c r="B160" i="13"/>
  <c r="C160" i="13"/>
  <c r="E160" i="13"/>
  <c r="F160" i="13"/>
  <c r="G160" i="13"/>
  <c r="B161" i="13"/>
  <c r="C161" i="13"/>
  <c r="E161" i="13"/>
  <c r="F161" i="13"/>
  <c r="G161" i="13"/>
  <c r="B162" i="13"/>
  <c r="C162" i="13"/>
  <c r="E162" i="13"/>
  <c r="F162" i="13"/>
  <c r="G162" i="13"/>
  <c r="B163" i="13"/>
  <c r="C163" i="13"/>
  <c r="E163" i="13"/>
  <c r="F163" i="13"/>
  <c r="G163" i="13"/>
  <c r="B164" i="13"/>
  <c r="C164" i="13"/>
  <c r="E164" i="13"/>
  <c r="F164" i="13"/>
  <c r="G164" i="13"/>
  <c r="B165" i="13"/>
  <c r="C165" i="13"/>
  <c r="E165" i="13"/>
  <c r="F165" i="13"/>
  <c r="G165" i="13"/>
  <c r="B166" i="13"/>
  <c r="C166" i="13"/>
  <c r="E166" i="13"/>
  <c r="F166" i="13"/>
  <c r="G166" i="13"/>
  <c r="B167" i="13"/>
  <c r="C167" i="13"/>
  <c r="E167" i="13"/>
  <c r="F167" i="13"/>
  <c r="G167" i="13"/>
  <c r="B168" i="13"/>
  <c r="C168" i="13"/>
  <c r="E168" i="13"/>
  <c r="F168" i="13"/>
  <c r="G168" i="13"/>
  <c r="B169" i="13"/>
  <c r="C169" i="13"/>
  <c r="E169" i="13"/>
  <c r="F169" i="13"/>
  <c r="G169" i="13"/>
  <c r="B170" i="13"/>
  <c r="C170" i="13"/>
  <c r="E170" i="13"/>
  <c r="F170" i="13"/>
  <c r="G170" i="13"/>
  <c r="B171" i="13"/>
  <c r="C171" i="13"/>
  <c r="E171" i="13"/>
  <c r="F171" i="13"/>
  <c r="G171" i="13"/>
  <c r="B172" i="13"/>
  <c r="C172" i="13"/>
  <c r="E172" i="13"/>
  <c r="F172" i="13"/>
  <c r="G172" i="13"/>
  <c r="B173" i="13"/>
  <c r="C173" i="13"/>
  <c r="E173" i="13"/>
  <c r="F173" i="13"/>
  <c r="G173" i="13"/>
  <c r="B174" i="13"/>
  <c r="C174" i="13"/>
  <c r="E174" i="13"/>
  <c r="F174" i="13"/>
  <c r="G174" i="13"/>
  <c r="B175" i="13"/>
  <c r="C175" i="13"/>
  <c r="E175" i="13"/>
  <c r="F175" i="13"/>
  <c r="G175" i="13"/>
  <c r="B176" i="13"/>
  <c r="C176" i="13"/>
  <c r="E176" i="13"/>
  <c r="F176" i="13"/>
  <c r="G176" i="13"/>
  <c r="B177" i="13"/>
  <c r="C177" i="13"/>
  <c r="E177" i="13"/>
  <c r="F177" i="13"/>
  <c r="G177" i="13"/>
  <c r="B178" i="13"/>
  <c r="C178" i="13"/>
  <c r="E178" i="13"/>
  <c r="F178" i="13"/>
  <c r="G178" i="13"/>
  <c r="B179" i="13"/>
  <c r="C179" i="13"/>
  <c r="E179" i="13"/>
  <c r="F179" i="13"/>
  <c r="G179" i="13"/>
  <c r="B180" i="13"/>
  <c r="C180" i="13"/>
  <c r="E180" i="13"/>
  <c r="F180" i="13"/>
  <c r="G180" i="13"/>
  <c r="B181" i="13"/>
  <c r="C181" i="13"/>
  <c r="E181" i="13"/>
  <c r="F181" i="13"/>
  <c r="G181" i="13"/>
  <c r="B182" i="13"/>
  <c r="C182" i="13"/>
  <c r="E182" i="13"/>
  <c r="F182" i="13"/>
  <c r="G182" i="13"/>
  <c r="B183" i="13"/>
  <c r="C183" i="13"/>
  <c r="E183" i="13"/>
  <c r="F183" i="13"/>
  <c r="G183" i="13"/>
  <c r="B184" i="13"/>
  <c r="C184" i="13"/>
  <c r="E184" i="13"/>
  <c r="F184" i="13"/>
  <c r="G184" i="13"/>
  <c r="B185" i="13"/>
  <c r="C185" i="13"/>
  <c r="E185" i="13"/>
  <c r="F185" i="13"/>
  <c r="G185" i="13"/>
  <c r="B186" i="13"/>
  <c r="C186" i="13"/>
  <c r="E186" i="13"/>
  <c r="F186" i="13"/>
  <c r="G186" i="13"/>
  <c r="B187" i="13"/>
  <c r="C187" i="13"/>
  <c r="E187" i="13"/>
  <c r="F187" i="13"/>
  <c r="G187" i="13"/>
  <c r="B188" i="13"/>
  <c r="C188" i="13"/>
  <c r="E188" i="13"/>
  <c r="F188" i="13"/>
  <c r="G188" i="13"/>
  <c r="B189" i="13"/>
  <c r="C189" i="13"/>
  <c r="E189" i="13"/>
  <c r="F189" i="13"/>
  <c r="G189" i="13"/>
  <c r="B190" i="13"/>
  <c r="C190" i="13"/>
  <c r="E190" i="13"/>
  <c r="F190" i="13"/>
  <c r="G190" i="13"/>
  <c r="B191" i="13"/>
  <c r="C191" i="13"/>
  <c r="E191" i="13"/>
  <c r="F191" i="13"/>
  <c r="G191" i="13"/>
  <c r="B192" i="13"/>
  <c r="C192" i="13"/>
  <c r="E192" i="13"/>
  <c r="F192" i="13"/>
  <c r="G192" i="13"/>
  <c r="B193" i="13"/>
  <c r="C193" i="13"/>
  <c r="E193" i="13"/>
  <c r="F193" i="13"/>
  <c r="G193" i="13"/>
  <c r="B194" i="13"/>
  <c r="C194" i="13"/>
  <c r="E194" i="13"/>
  <c r="F194" i="13"/>
  <c r="G194" i="13"/>
  <c r="B195" i="13"/>
  <c r="C195" i="13"/>
  <c r="E195" i="13"/>
  <c r="F195" i="13"/>
  <c r="G195" i="13"/>
  <c r="B196" i="13"/>
  <c r="C196" i="13"/>
  <c r="E196" i="13"/>
  <c r="F196" i="13"/>
  <c r="G196" i="13"/>
  <c r="B197" i="13"/>
  <c r="C197" i="13"/>
  <c r="E197" i="13"/>
  <c r="F197" i="13"/>
  <c r="G197" i="13"/>
  <c r="B198" i="13"/>
  <c r="C198" i="13"/>
  <c r="E198" i="13"/>
  <c r="F198" i="13"/>
  <c r="G198" i="13"/>
  <c r="B199" i="13"/>
  <c r="C199" i="13"/>
  <c r="E199" i="13"/>
  <c r="F199" i="13"/>
  <c r="G199" i="13"/>
  <c r="B200" i="13"/>
  <c r="C200" i="13"/>
  <c r="E200" i="13"/>
  <c r="F200" i="13"/>
  <c r="G200" i="13"/>
  <c r="B201" i="13"/>
  <c r="C201" i="13"/>
  <c r="E201" i="13"/>
  <c r="F201" i="13"/>
  <c r="G201" i="13"/>
  <c r="B202" i="13"/>
  <c r="C202" i="13"/>
  <c r="E202" i="13"/>
  <c r="F202" i="13"/>
  <c r="G202" i="13"/>
  <c r="B203" i="13"/>
  <c r="C203" i="13"/>
  <c r="E203" i="13"/>
  <c r="F203" i="13"/>
  <c r="G203" i="13"/>
  <c r="B204" i="13"/>
  <c r="C204" i="13"/>
  <c r="E204" i="13"/>
  <c r="F204" i="13"/>
  <c r="G204" i="13"/>
  <c r="B205" i="13"/>
  <c r="C205" i="13"/>
  <c r="E205" i="13"/>
  <c r="F205" i="13"/>
  <c r="G205" i="13"/>
  <c r="B206" i="13"/>
  <c r="C206" i="13"/>
  <c r="E206" i="13"/>
  <c r="F206" i="13"/>
  <c r="G206" i="13"/>
  <c r="B207" i="13"/>
  <c r="C207" i="13"/>
  <c r="E207" i="13"/>
  <c r="F207" i="13"/>
  <c r="G207" i="13"/>
  <c r="B208" i="13"/>
  <c r="C208" i="13"/>
  <c r="E208" i="13"/>
  <c r="F208" i="13"/>
  <c r="G208" i="13"/>
  <c r="B209" i="13"/>
  <c r="C209" i="13"/>
  <c r="E209" i="13"/>
  <c r="F209" i="13"/>
  <c r="G209" i="13"/>
  <c r="B210" i="13"/>
  <c r="C210" i="13"/>
  <c r="E210" i="13"/>
  <c r="F210" i="13"/>
  <c r="G210" i="13"/>
  <c r="B211" i="13"/>
  <c r="C211" i="13"/>
  <c r="E211" i="13"/>
  <c r="F211" i="13"/>
  <c r="G211" i="13"/>
  <c r="B212" i="13"/>
  <c r="C212" i="13"/>
  <c r="E212" i="13"/>
  <c r="F212" i="13"/>
  <c r="G212" i="13"/>
  <c r="B213" i="13"/>
  <c r="C213" i="13"/>
  <c r="E213" i="13"/>
  <c r="F213" i="13"/>
  <c r="G213" i="13"/>
  <c r="B214" i="13"/>
  <c r="C214" i="13"/>
  <c r="E214" i="13"/>
  <c r="F214" i="13"/>
  <c r="G214" i="13"/>
  <c r="B215" i="13"/>
  <c r="C215" i="13"/>
  <c r="E215" i="13"/>
  <c r="F215" i="13"/>
  <c r="G215" i="13"/>
  <c r="B216" i="13"/>
  <c r="C216" i="13"/>
  <c r="E216" i="13"/>
  <c r="F216" i="13"/>
  <c r="G216" i="13"/>
  <c r="G97" i="13"/>
  <c r="F97" i="13"/>
  <c r="E97" i="13"/>
  <c r="C97" i="13"/>
  <c r="B97" i="13"/>
  <c r="G34" i="18"/>
  <c r="G33" i="18"/>
  <c r="G32" i="18"/>
  <c r="G31" i="18"/>
  <c r="G30" i="18"/>
  <c r="G29" i="18"/>
  <c r="G28" i="18"/>
  <c r="G27" i="18"/>
  <c r="G26" i="18"/>
  <c r="G25" i="18"/>
  <c r="G24" i="18"/>
  <c r="G23" i="18"/>
  <c r="D24" i="18"/>
  <c r="D25" i="18"/>
  <c r="D26" i="18"/>
  <c r="D27" i="18"/>
  <c r="D28" i="18"/>
  <c r="D29" i="18"/>
  <c r="D30" i="18"/>
  <c r="D31" i="18"/>
  <c r="D32" i="18"/>
  <c r="D33" i="18"/>
  <c r="D34" i="18"/>
  <c r="D23" i="18"/>
  <c r="D9" i="18"/>
  <c r="D10" i="18"/>
  <c r="D11" i="18"/>
  <c r="D12" i="18"/>
  <c r="D13" i="18"/>
  <c r="D14" i="18"/>
  <c r="D15" i="18"/>
  <c r="D16" i="18"/>
  <c r="D17" i="18"/>
  <c r="D18" i="18"/>
  <c r="D19" i="18"/>
  <c r="D8" i="18"/>
  <c r="C54" i="13"/>
  <c r="D54" i="13"/>
  <c r="E54" i="13"/>
  <c r="C58" i="13"/>
  <c r="D58" i="13"/>
  <c r="E58" i="13"/>
  <c r="C62" i="13"/>
  <c r="D62" i="13"/>
  <c r="E62" i="13"/>
  <c r="C24" i="13"/>
  <c r="C28" i="13"/>
  <c r="C32" i="13"/>
  <c r="C9" i="13"/>
  <c r="C13" i="13"/>
  <c r="C17" i="13"/>
  <c r="C56" i="13"/>
  <c r="D56" i="13"/>
  <c r="E56" i="13"/>
  <c r="C60" i="13"/>
  <c r="D60" i="13"/>
  <c r="E60" i="13"/>
  <c r="C64" i="13"/>
  <c r="D64" i="13"/>
  <c r="E64" i="13"/>
  <c r="C26" i="13"/>
  <c r="C30" i="13"/>
  <c r="C34" i="13"/>
  <c r="C11" i="13"/>
  <c r="C15" i="13"/>
  <c r="C19" i="13"/>
  <c r="C57" i="13"/>
  <c r="D57" i="13"/>
  <c r="E57" i="13"/>
  <c r="C61" i="13"/>
  <c r="D61" i="13"/>
  <c r="E61" i="13"/>
  <c r="C53" i="13"/>
  <c r="D53" i="13"/>
  <c r="E53" i="13"/>
  <c r="C27" i="13"/>
  <c r="C31" i="13"/>
  <c r="C23" i="13"/>
  <c r="D23" i="13"/>
  <c r="I23" i="13"/>
  <c r="C12" i="13"/>
  <c r="C16" i="13"/>
  <c r="C8" i="13"/>
  <c r="C63" i="13"/>
  <c r="D63" i="13"/>
  <c r="E63" i="13"/>
  <c r="C10" i="13"/>
  <c r="C25" i="13"/>
  <c r="C14" i="13"/>
  <c r="C29" i="13"/>
  <c r="C55" i="13"/>
  <c r="D55" i="13"/>
  <c r="E55" i="13"/>
  <c r="C18" i="13"/>
  <c r="C59" i="13"/>
  <c r="D59" i="13"/>
  <c r="E59" i="13"/>
  <c r="C33" i="13"/>
  <c r="C9" i="12"/>
  <c r="C13" i="12"/>
  <c r="C17" i="12"/>
  <c r="C11" i="12"/>
  <c r="C15" i="12"/>
  <c r="C19" i="12"/>
  <c r="C12" i="12"/>
  <c r="C16" i="12"/>
  <c r="C8" i="12"/>
  <c r="C18" i="12"/>
  <c r="C10" i="12"/>
  <c r="C14" i="12"/>
  <c r="F218" i="13"/>
  <c r="F220" i="13"/>
  <c r="F217" i="13"/>
  <c r="F219" i="13"/>
  <c r="G218" i="13"/>
  <c r="G220" i="13"/>
  <c r="G217" i="13"/>
  <c r="G219" i="13"/>
  <c r="E219" i="13"/>
  <c r="E218" i="13"/>
  <c r="E217" i="13"/>
  <c r="E220" i="13"/>
  <c r="G11" i="13"/>
  <c r="G25" i="13"/>
  <c r="G13" i="13"/>
  <c r="G54" i="13"/>
  <c r="G56" i="13"/>
  <c r="G12" i="13"/>
  <c r="D17" i="13"/>
  <c r="D9" i="13"/>
  <c r="D28" i="13"/>
  <c r="G17" i="13"/>
  <c r="G9" i="13"/>
  <c r="G31" i="13"/>
  <c r="G23" i="13"/>
  <c r="G58" i="13"/>
  <c r="D8" i="13"/>
  <c r="D12" i="13"/>
  <c r="D31" i="13"/>
  <c r="G16" i="13"/>
  <c r="G34" i="13"/>
  <c r="G53" i="13"/>
  <c r="G57" i="13"/>
  <c r="D18" i="13"/>
  <c r="D14" i="13"/>
  <c r="D10" i="13"/>
  <c r="D33" i="13"/>
  <c r="D29" i="13"/>
  <c r="D25" i="13"/>
  <c r="G18" i="13"/>
  <c r="G14" i="13"/>
  <c r="G10" i="13"/>
  <c r="G32" i="13"/>
  <c r="G28" i="13"/>
  <c r="G24" i="13"/>
  <c r="G63" i="13"/>
  <c r="G59" i="13"/>
  <c r="G55" i="13"/>
  <c r="D13" i="13"/>
  <c r="D32" i="13"/>
  <c r="D24" i="13"/>
  <c r="G27" i="13"/>
  <c r="G62" i="13"/>
  <c r="D16" i="13"/>
  <c r="D27" i="13"/>
  <c r="G8" i="13"/>
  <c r="G30" i="13"/>
  <c r="G26" i="13"/>
  <c r="G61" i="13"/>
  <c r="D19" i="13"/>
  <c r="D15" i="13"/>
  <c r="D11" i="13"/>
  <c r="D34" i="13"/>
  <c r="D30" i="13"/>
  <c r="D26" i="13"/>
  <c r="G19" i="13"/>
  <c r="G15" i="13"/>
  <c r="G33" i="13"/>
  <c r="G29" i="13"/>
  <c r="G64" i="13"/>
  <c r="G60" i="13"/>
  <c r="F24" i="13"/>
  <c r="F55" i="13"/>
  <c r="F64" i="13"/>
  <c r="F54" i="13"/>
  <c r="F16" i="13"/>
  <c r="F8" i="13"/>
  <c r="F12" i="13"/>
  <c r="F62" i="13"/>
  <c r="F60" i="13"/>
  <c r="F58" i="13"/>
  <c r="F56" i="13"/>
  <c r="F19" i="13"/>
  <c r="F15" i="13"/>
  <c r="F11" i="13"/>
  <c r="F23" i="13"/>
  <c r="F33" i="13"/>
  <c r="F31" i="13"/>
  <c r="F29" i="13"/>
  <c r="F27" i="13"/>
  <c r="F25" i="13"/>
  <c r="F53" i="13"/>
  <c r="I28" i="13"/>
  <c r="F18" i="13"/>
  <c r="F14" i="13"/>
  <c r="F10" i="13"/>
  <c r="F63" i="13"/>
  <c r="F61" i="13"/>
  <c r="F59" i="13"/>
  <c r="F57" i="13"/>
  <c r="F9" i="12"/>
  <c r="F13" i="12"/>
  <c r="F17" i="12"/>
  <c r="F10" i="12"/>
  <c r="F14" i="12"/>
  <c r="F18" i="12"/>
  <c r="F12" i="12"/>
  <c r="F8" i="12"/>
  <c r="F11" i="12"/>
  <c r="F15" i="12"/>
  <c r="F19" i="12"/>
  <c r="F16" i="12"/>
  <c r="F17" i="13"/>
  <c r="F13" i="13"/>
  <c r="F9" i="13"/>
  <c r="F34" i="13"/>
  <c r="F32" i="13"/>
  <c r="F30" i="13"/>
  <c r="F28" i="13"/>
  <c r="F26" i="13"/>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144" i="10"/>
  <c r="C291" i="18"/>
  <c r="C252" i="18"/>
  <c r="C253" i="18"/>
  <c r="C254" i="18"/>
  <c r="C255" i="18"/>
  <c r="C292" i="18"/>
  <c r="C208" i="18"/>
  <c r="C249" i="18"/>
  <c r="C293" i="18"/>
  <c r="C221" i="18"/>
  <c r="C222" i="18"/>
  <c r="C294" i="18"/>
  <c r="C256" i="18"/>
  <c r="C195" i="18"/>
  <c r="C188" i="18"/>
  <c r="C209" i="18"/>
  <c r="C210" i="18"/>
  <c r="C211" i="18"/>
  <c r="C212" i="18"/>
  <c r="C194" i="18"/>
  <c r="C223" i="18"/>
  <c r="C224" i="18"/>
  <c r="C295" i="18"/>
  <c r="C296" i="18"/>
  <c r="C257" i="18"/>
  <c r="C196" i="18"/>
  <c r="C197" i="18"/>
  <c r="C225" i="18"/>
  <c r="C226" i="18"/>
  <c r="C227" i="18"/>
  <c r="C228" i="18"/>
  <c r="C258" i="18"/>
  <c r="C259" i="18"/>
  <c r="C260" i="18"/>
  <c r="C229" i="18"/>
  <c r="C261" i="18"/>
  <c r="C262" i="18"/>
  <c r="C230" i="18"/>
  <c r="C263" i="18"/>
  <c r="C264" i="18"/>
  <c r="C265" i="18"/>
  <c r="C297" i="18"/>
  <c r="C231" i="18"/>
  <c r="C232" i="18"/>
  <c r="C198" i="18"/>
  <c r="C189" i="18"/>
  <c r="C199" i="18"/>
  <c r="C283" i="18"/>
  <c r="C298" i="18"/>
  <c r="C281" i="18"/>
  <c r="C299" i="18"/>
  <c r="C213" i="18"/>
  <c r="C300" i="18"/>
  <c r="C233" i="18"/>
  <c r="C234" i="18"/>
  <c r="C235" i="18"/>
  <c r="C236" i="18"/>
  <c r="C237" i="18"/>
  <c r="C238" i="18"/>
  <c r="C200" i="18"/>
  <c r="C201" i="18"/>
  <c r="C301" i="18"/>
  <c r="C302" i="18"/>
  <c r="C266" i="18"/>
  <c r="C190" i="18"/>
  <c r="C214" i="18"/>
  <c r="C267" i="18"/>
  <c r="C215" i="18"/>
  <c r="C216" i="18"/>
  <c r="C282" i="18"/>
  <c r="C239" i="18"/>
  <c r="C202" i="18"/>
  <c r="C240" i="18"/>
  <c r="C284" i="18"/>
  <c r="C285" i="18"/>
  <c r="C250" i="18"/>
  <c r="C286" i="18"/>
  <c r="C251" i="18"/>
  <c r="C241" i="18"/>
  <c r="C268" i="18"/>
  <c r="C269" i="18"/>
  <c r="C191" i="18"/>
  <c r="C203" i="18"/>
  <c r="C303" i="18"/>
  <c r="C287" i="18"/>
  <c r="C288" i="18"/>
  <c r="C204" i="18"/>
  <c r="C205" i="18"/>
  <c r="C270" i="18"/>
  <c r="C271" i="18"/>
  <c r="C272" i="18"/>
  <c r="C206" i="18"/>
  <c r="C192" i="18"/>
  <c r="C207" i="18"/>
  <c r="C242" i="18"/>
  <c r="C193" i="18"/>
  <c r="C217" i="18"/>
  <c r="C243" i="18"/>
  <c r="C273" i="18"/>
  <c r="C274" i="18"/>
  <c r="C218" i="18"/>
  <c r="C219" i="18"/>
  <c r="C220" i="18"/>
  <c r="C275" i="18"/>
  <c r="C276" i="18"/>
  <c r="C304" i="18"/>
  <c r="C277" i="18"/>
  <c r="C305" i="18"/>
  <c r="C278" i="18"/>
  <c r="C306" i="18"/>
  <c r="C244" i="18"/>
  <c r="C279" i="18"/>
  <c r="C307" i="18"/>
  <c r="C289" i="18"/>
  <c r="C245" i="18"/>
  <c r="C246" i="18"/>
  <c r="C247" i="18"/>
  <c r="C248" i="18"/>
  <c r="C280" i="18"/>
  <c r="C290" i="18"/>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144" i="10"/>
  <c r="E145" i="10"/>
  <c r="F145" i="10"/>
  <c r="G145" i="10"/>
  <c r="H145" i="10"/>
  <c r="E146" i="10"/>
  <c r="F146" i="10"/>
  <c r="G146" i="10"/>
  <c r="H146" i="10"/>
  <c r="E147" i="10"/>
  <c r="F147" i="10"/>
  <c r="G147" i="10"/>
  <c r="H147" i="10"/>
  <c r="E148" i="10"/>
  <c r="F148" i="10"/>
  <c r="G148" i="10"/>
  <c r="H148" i="10"/>
  <c r="E149" i="10"/>
  <c r="F149" i="10"/>
  <c r="G149" i="10"/>
  <c r="H149" i="10"/>
  <c r="E150" i="10"/>
  <c r="F150" i="10"/>
  <c r="G150" i="10"/>
  <c r="H150" i="10"/>
  <c r="E151" i="10"/>
  <c r="F151" i="10"/>
  <c r="G151" i="10"/>
  <c r="H151" i="10"/>
  <c r="E152" i="10"/>
  <c r="F152" i="10"/>
  <c r="G152" i="10"/>
  <c r="H152" i="10"/>
  <c r="E153" i="10"/>
  <c r="F153" i="10"/>
  <c r="G153" i="10"/>
  <c r="H153" i="10"/>
  <c r="E154" i="10"/>
  <c r="F154" i="10"/>
  <c r="G154" i="10"/>
  <c r="H154" i="10"/>
  <c r="E155" i="10"/>
  <c r="F155" i="10"/>
  <c r="G155" i="10"/>
  <c r="H155" i="10"/>
  <c r="E156" i="10"/>
  <c r="F156" i="10"/>
  <c r="G156" i="10"/>
  <c r="H156" i="10"/>
  <c r="E157" i="10"/>
  <c r="F157" i="10"/>
  <c r="G157" i="10"/>
  <c r="H157" i="10"/>
  <c r="E158" i="10"/>
  <c r="F158" i="10"/>
  <c r="G158" i="10"/>
  <c r="H158" i="10"/>
  <c r="E159" i="10"/>
  <c r="F159" i="10"/>
  <c r="G159" i="10"/>
  <c r="H159" i="10"/>
  <c r="E160" i="10"/>
  <c r="F160" i="10"/>
  <c r="G160" i="10"/>
  <c r="H160" i="10"/>
  <c r="E161" i="10"/>
  <c r="F161" i="10"/>
  <c r="G161" i="10"/>
  <c r="H161" i="10"/>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E168" i="10"/>
  <c r="F168" i="10"/>
  <c r="G168" i="10"/>
  <c r="H168" i="10"/>
  <c r="E169" i="10"/>
  <c r="F169" i="10"/>
  <c r="G169" i="10"/>
  <c r="H169" i="10"/>
  <c r="E170" i="10"/>
  <c r="F170" i="10"/>
  <c r="G170" i="10"/>
  <c r="H170" i="10"/>
  <c r="E171" i="10"/>
  <c r="F171" i="10"/>
  <c r="G171" i="10"/>
  <c r="H171" i="10"/>
  <c r="E172" i="10"/>
  <c r="F172" i="10"/>
  <c r="G172" i="10"/>
  <c r="H172" i="10"/>
  <c r="E173" i="10"/>
  <c r="F173" i="10"/>
  <c r="G173" i="10"/>
  <c r="H173" i="10"/>
  <c r="E174" i="10"/>
  <c r="F174" i="10"/>
  <c r="G174" i="10"/>
  <c r="H174" i="10"/>
  <c r="E175" i="10"/>
  <c r="F175" i="10"/>
  <c r="G175" i="10"/>
  <c r="H175" i="10"/>
  <c r="E176" i="10"/>
  <c r="F176" i="10"/>
  <c r="G176" i="10"/>
  <c r="H176" i="10"/>
  <c r="E177" i="10"/>
  <c r="F177" i="10"/>
  <c r="G177" i="10"/>
  <c r="H177" i="10"/>
  <c r="E178" i="10"/>
  <c r="F178" i="10"/>
  <c r="G178" i="10"/>
  <c r="H178" i="10"/>
  <c r="E179" i="10"/>
  <c r="F179" i="10"/>
  <c r="G179" i="10"/>
  <c r="H179" i="10"/>
  <c r="E180" i="10"/>
  <c r="F180" i="10"/>
  <c r="G180" i="10"/>
  <c r="H180" i="10"/>
  <c r="E181" i="10"/>
  <c r="F181" i="10"/>
  <c r="G181" i="10"/>
  <c r="H181" i="10"/>
  <c r="E182" i="10"/>
  <c r="F182" i="10"/>
  <c r="G182" i="10"/>
  <c r="H182" i="10"/>
  <c r="E183" i="10"/>
  <c r="F183" i="10"/>
  <c r="G183" i="10"/>
  <c r="H183" i="10"/>
  <c r="E184" i="10"/>
  <c r="F184" i="10"/>
  <c r="G184" i="10"/>
  <c r="H184" i="10"/>
  <c r="E185" i="10"/>
  <c r="F185" i="10"/>
  <c r="G185" i="10"/>
  <c r="H185" i="10"/>
  <c r="E186" i="10"/>
  <c r="F186" i="10"/>
  <c r="G186" i="10"/>
  <c r="H186" i="10"/>
  <c r="E187" i="10"/>
  <c r="F187" i="10"/>
  <c r="G187" i="10"/>
  <c r="H187" i="10"/>
  <c r="E188" i="10"/>
  <c r="F188" i="10"/>
  <c r="G188" i="10"/>
  <c r="H188" i="10"/>
  <c r="E189" i="10"/>
  <c r="F189" i="10"/>
  <c r="G189" i="10"/>
  <c r="H189" i="10"/>
  <c r="E190" i="10"/>
  <c r="F190" i="10"/>
  <c r="G190" i="10"/>
  <c r="H190" i="10"/>
  <c r="E191" i="10"/>
  <c r="F191" i="10"/>
  <c r="G191" i="10"/>
  <c r="H191" i="10"/>
  <c r="E192" i="10"/>
  <c r="F192" i="10"/>
  <c r="G192" i="10"/>
  <c r="H192" i="10"/>
  <c r="E193" i="10"/>
  <c r="F193" i="10"/>
  <c r="G193" i="10"/>
  <c r="H193" i="10"/>
  <c r="E194" i="10"/>
  <c r="F194" i="10"/>
  <c r="G194" i="10"/>
  <c r="H194" i="10"/>
  <c r="E195" i="10"/>
  <c r="F195" i="10"/>
  <c r="G195" i="10"/>
  <c r="H195" i="10"/>
  <c r="E196" i="10"/>
  <c r="F196" i="10"/>
  <c r="G196" i="10"/>
  <c r="H196" i="10"/>
  <c r="E197" i="10"/>
  <c r="F197" i="10"/>
  <c r="G197" i="10"/>
  <c r="H197" i="10"/>
  <c r="E198" i="10"/>
  <c r="F198" i="10"/>
  <c r="G198" i="10"/>
  <c r="H198" i="10"/>
  <c r="E199" i="10"/>
  <c r="F199" i="10"/>
  <c r="G199" i="10"/>
  <c r="H199" i="10"/>
  <c r="E200" i="10"/>
  <c r="F200" i="10"/>
  <c r="G200" i="10"/>
  <c r="H200" i="10"/>
  <c r="E201" i="10"/>
  <c r="F201" i="10"/>
  <c r="G201" i="10"/>
  <c r="H201" i="10"/>
  <c r="E202" i="10"/>
  <c r="F202" i="10"/>
  <c r="G202" i="10"/>
  <c r="H202" i="10"/>
  <c r="E203" i="10"/>
  <c r="F203" i="10"/>
  <c r="G203" i="10"/>
  <c r="H203" i="10"/>
  <c r="E204" i="10"/>
  <c r="F204" i="10"/>
  <c r="G204" i="10"/>
  <c r="H204" i="10"/>
  <c r="E205" i="10"/>
  <c r="F205" i="10"/>
  <c r="G205" i="10"/>
  <c r="H205" i="10"/>
  <c r="E206" i="10"/>
  <c r="F206" i="10"/>
  <c r="G206" i="10"/>
  <c r="H206" i="10"/>
  <c r="E207" i="10"/>
  <c r="F207" i="10"/>
  <c r="G207" i="10"/>
  <c r="H207" i="10"/>
  <c r="E208" i="10"/>
  <c r="F208" i="10"/>
  <c r="G208" i="10"/>
  <c r="H208" i="10"/>
  <c r="E209" i="10"/>
  <c r="F209" i="10"/>
  <c r="G209" i="10"/>
  <c r="H209" i="10"/>
  <c r="E210" i="10"/>
  <c r="F210" i="10"/>
  <c r="G210" i="10"/>
  <c r="H210" i="10"/>
  <c r="E211" i="10"/>
  <c r="F211" i="10"/>
  <c r="G211" i="10"/>
  <c r="H211" i="10"/>
  <c r="E212" i="10"/>
  <c r="F212" i="10"/>
  <c r="G212" i="10"/>
  <c r="H212" i="10"/>
  <c r="E213" i="10"/>
  <c r="F213" i="10"/>
  <c r="G213" i="10"/>
  <c r="H213" i="10"/>
  <c r="E214" i="10"/>
  <c r="F214" i="10"/>
  <c r="G214" i="10"/>
  <c r="H214" i="10"/>
  <c r="E215" i="10"/>
  <c r="F215" i="10"/>
  <c r="G215" i="10"/>
  <c r="H215" i="10"/>
  <c r="E216" i="10"/>
  <c r="F216" i="10"/>
  <c r="G216" i="10"/>
  <c r="H216" i="10"/>
  <c r="E217" i="10"/>
  <c r="F217" i="10"/>
  <c r="G217" i="10"/>
  <c r="H217" i="10"/>
  <c r="E218" i="10"/>
  <c r="F218" i="10"/>
  <c r="G218" i="10"/>
  <c r="H218" i="10"/>
  <c r="E219" i="10"/>
  <c r="F219" i="10"/>
  <c r="G219" i="10"/>
  <c r="H219" i="10"/>
  <c r="E220" i="10"/>
  <c r="F220" i="10"/>
  <c r="G220" i="10"/>
  <c r="H220" i="10"/>
  <c r="E221" i="10"/>
  <c r="F221" i="10"/>
  <c r="G221" i="10"/>
  <c r="H221" i="10"/>
  <c r="E222" i="10"/>
  <c r="F222" i="10"/>
  <c r="G222" i="10"/>
  <c r="H222" i="10"/>
  <c r="E223" i="10"/>
  <c r="F223" i="10"/>
  <c r="G223" i="10"/>
  <c r="H223" i="10"/>
  <c r="E224" i="10"/>
  <c r="F224" i="10"/>
  <c r="G224" i="10"/>
  <c r="H224" i="10"/>
  <c r="E225" i="10"/>
  <c r="F225" i="10"/>
  <c r="G225" i="10"/>
  <c r="H225" i="10"/>
  <c r="E226" i="10"/>
  <c r="F226" i="10"/>
  <c r="G226" i="10"/>
  <c r="H226" i="10"/>
  <c r="E227" i="10"/>
  <c r="F227" i="10"/>
  <c r="G227" i="10"/>
  <c r="H227" i="10"/>
  <c r="E228" i="10"/>
  <c r="F228" i="10"/>
  <c r="G228" i="10"/>
  <c r="H228" i="10"/>
  <c r="E229" i="10"/>
  <c r="F229" i="10"/>
  <c r="G229" i="10"/>
  <c r="H229" i="10"/>
  <c r="E230" i="10"/>
  <c r="F230" i="10"/>
  <c r="G230" i="10"/>
  <c r="H230" i="10"/>
  <c r="E231" i="10"/>
  <c r="F231" i="10"/>
  <c r="G231" i="10"/>
  <c r="H231" i="10"/>
  <c r="E232" i="10"/>
  <c r="F232" i="10"/>
  <c r="G232" i="10"/>
  <c r="H232" i="10"/>
  <c r="E233" i="10"/>
  <c r="F233" i="10"/>
  <c r="G233" i="10"/>
  <c r="H233" i="10"/>
  <c r="E234" i="10"/>
  <c r="F234" i="10"/>
  <c r="G234" i="10"/>
  <c r="H234" i="10"/>
  <c r="E235" i="10"/>
  <c r="F235" i="10"/>
  <c r="G235" i="10"/>
  <c r="H235" i="10"/>
  <c r="E236" i="10"/>
  <c r="F236" i="10"/>
  <c r="G236" i="10"/>
  <c r="H236" i="10"/>
  <c r="E237" i="10"/>
  <c r="F237" i="10"/>
  <c r="G237" i="10"/>
  <c r="H237" i="10"/>
  <c r="E238" i="10"/>
  <c r="F238" i="10"/>
  <c r="G238" i="10"/>
  <c r="H238" i="10"/>
  <c r="E239" i="10"/>
  <c r="F239" i="10"/>
  <c r="G239" i="10"/>
  <c r="H239" i="10"/>
  <c r="E240" i="10"/>
  <c r="F240" i="10"/>
  <c r="G240" i="10"/>
  <c r="H240" i="10"/>
  <c r="E241" i="10"/>
  <c r="F241" i="10"/>
  <c r="G241" i="10"/>
  <c r="H241" i="10"/>
  <c r="E242" i="10"/>
  <c r="F242" i="10"/>
  <c r="G242" i="10"/>
  <c r="H242" i="10"/>
  <c r="E243" i="10"/>
  <c r="F243" i="10"/>
  <c r="G243" i="10"/>
  <c r="H243" i="10"/>
  <c r="E244" i="10"/>
  <c r="F244" i="10"/>
  <c r="G244" i="10"/>
  <c r="H244" i="10"/>
  <c r="E245" i="10"/>
  <c r="F245" i="10"/>
  <c r="G245" i="10"/>
  <c r="H245" i="10"/>
  <c r="E246" i="10"/>
  <c r="F246" i="10"/>
  <c r="G246" i="10"/>
  <c r="H246" i="10"/>
  <c r="E247" i="10"/>
  <c r="F247" i="10"/>
  <c r="G247" i="10"/>
  <c r="H247" i="10"/>
  <c r="E248" i="10"/>
  <c r="F248" i="10"/>
  <c r="G248" i="10"/>
  <c r="H248" i="10"/>
  <c r="E249" i="10"/>
  <c r="F249" i="10"/>
  <c r="G249" i="10"/>
  <c r="H249" i="10"/>
  <c r="E250" i="10"/>
  <c r="F250" i="10"/>
  <c r="G250" i="10"/>
  <c r="H250" i="10"/>
  <c r="E251" i="10"/>
  <c r="F251" i="10"/>
  <c r="G251" i="10"/>
  <c r="H251" i="10"/>
  <c r="E252" i="10"/>
  <c r="F252" i="10"/>
  <c r="G252" i="10"/>
  <c r="H252" i="10"/>
  <c r="E253" i="10"/>
  <c r="F253" i="10"/>
  <c r="G253" i="10"/>
  <c r="H253" i="10"/>
  <c r="E254" i="10"/>
  <c r="F254" i="10"/>
  <c r="G254" i="10"/>
  <c r="H254" i="10"/>
  <c r="E255" i="10"/>
  <c r="F255" i="10"/>
  <c r="G255" i="10"/>
  <c r="H255" i="10"/>
  <c r="E256" i="10"/>
  <c r="F256" i="10"/>
  <c r="G256" i="10"/>
  <c r="H256" i="10"/>
  <c r="E257" i="10"/>
  <c r="F257" i="10"/>
  <c r="G257" i="10"/>
  <c r="H257" i="10"/>
  <c r="E258" i="10"/>
  <c r="F258" i="10"/>
  <c r="G258" i="10"/>
  <c r="H258" i="10"/>
  <c r="E259" i="10"/>
  <c r="F259" i="10"/>
  <c r="G259" i="10"/>
  <c r="H259" i="10"/>
  <c r="E260" i="10"/>
  <c r="F260" i="10"/>
  <c r="G260" i="10"/>
  <c r="H260" i="10"/>
  <c r="E261" i="10"/>
  <c r="F261" i="10"/>
  <c r="G261" i="10"/>
  <c r="H261" i="10"/>
  <c r="E262" i="10"/>
  <c r="F262" i="10"/>
  <c r="G262" i="10"/>
  <c r="H262" i="10"/>
  <c r="E263" i="10"/>
  <c r="F263" i="10"/>
  <c r="G263" i="10"/>
  <c r="H263" i="10"/>
  <c r="F144" i="10"/>
  <c r="G144" i="10"/>
  <c r="H144" i="10"/>
  <c r="E144" i="10"/>
  <c r="B273" i="10"/>
  <c r="C273" i="10"/>
  <c r="B274" i="10"/>
  <c r="C274" i="10"/>
  <c r="B275" i="10"/>
  <c r="C275" i="10"/>
  <c r="B276" i="10"/>
  <c r="C276" i="10"/>
  <c r="B277" i="10"/>
  <c r="C277" i="10"/>
  <c r="B278" i="10"/>
  <c r="C278" i="10"/>
  <c r="B279" i="10"/>
  <c r="C279" i="10"/>
  <c r="B280" i="10"/>
  <c r="C280" i="10"/>
  <c r="B281" i="10"/>
  <c r="C281" i="10"/>
  <c r="B282" i="10"/>
  <c r="C282" i="10"/>
  <c r="B283" i="10"/>
  <c r="C283" i="10"/>
  <c r="B284" i="10"/>
  <c r="C284" i="10"/>
  <c r="B285" i="10"/>
  <c r="C285" i="10"/>
  <c r="B286" i="10"/>
  <c r="C286" i="10"/>
  <c r="B287" i="10"/>
  <c r="C287" i="10"/>
  <c r="B288" i="10"/>
  <c r="C288" i="10"/>
  <c r="B289" i="10"/>
  <c r="C289" i="10"/>
  <c r="B290" i="10"/>
  <c r="C290" i="10"/>
  <c r="B291" i="10"/>
  <c r="C291" i="10"/>
  <c r="B292" i="10"/>
  <c r="C292" i="10"/>
  <c r="B293" i="10"/>
  <c r="C293" i="10"/>
  <c r="B294" i="10"/>
  <c r="C294" i="10"/>
  <c r="B295" i="10"/>
  <c r="C295" i="10"/>
  <c r="B296" i="10"/>
  <c r="C296" i="10"/>
  <c r="B297" i="10"/>
  <c r="C297" i="10"/>
  <c r="B298" i="10"/>
  <c r="C298" i="10"/>
  <c r="B299" i="10"/>
  <c r="C299" i="10"/>
  <c r="B300" i="10"/>
  <c r="C300" i="10"/>
  <c r="B301" i="10"/>
  <c r="C301" i="10"/>
  <c r="B302" i="10"/>
  <c r="C302" i="10"/>
  <c r="B303" i="10"/>
  <c r="C303" i="10"/>
  <c r="B304" i="10"/>
  <c r="C304" i="10"/>
  <c r="B305" i="10"/>
  <c r="C305" i="10"/>
  <c r="B306" i="10"/>
  <c r="C306" i="10"/>
  <c r="B307" i="10"/>
  <c r="C307" i="10"/>
  <c r="B308" i="10"/>
  <c r="C308" i="10"/>
  <c r="B309" i="10"/>
  <c r="C309" i="10"/>
  <c r="B310" i="10"/>
  <c r="C310" i="10"/>
  <c r="B311" i="10"/>
  <c r="C311" i="10"/>
  <c r="B312" i="10"/>
  <c r="C312" i="10"/>
  <c r="B313" i="10"/>
  <c r="C313" i="10"/>
  <c r="B314" i="10"/>
  <c r="C314" i="10"/>
  <c r="B315" i="10"/>
  <c r="C315" i="10"/>
  <c r="B316" i="10"/>
  <c r="C316" i="10"/>
  <c r="B317" i="10"/>
  <c r="C317" i="10"/>
  <c r="B318" i="10"/>
  <c r="C318" i="10"/>
  <c r="B319" i="10"/>
  <c r="C319" i="10"/>
  <c r="B320" i="10"/>
  <c r="C320" i="10"/>
  <c r="B321" i="10"/>
  <c r="C321" i="10"/>
  <c r="B322" i="10"/>
  <c r="C322" i="10"/>
  <c r="B323" i="10"/>
  <c r="C323" i="10"/>
  <c r="B324" i="10"/>
  <c r="C324" i="10"/>
  <c r="B325" i="10"/>
  <c r="C325" i="10"/>
  <c r="B326" i="10"/>
  <c r="C326" i="10"/>
  <c r="B327" i="10"/>
  <c r="C327" i="10"/>
  <c r="B328" i="10"/>
  <c r="C328" i="10"/>
  <c r="B329" i="10"/>
  <c r="C329" i="10"/>
  <c r="B330" i="10"/>
  <c r="C330" i="10"/>
  <c r="B331" i="10"/>
  <c r="C331" i="10"/>
  <c r="B332" i="10"/>
  <c r="C332" i="10"/>
  <c r="B333" i="10"/>
  <c r="C333" i="10"/>
  <c r="B334" i="10"/>
  <c r="C334" i="10"/>
  <c r="B335" i="10"/>
  <c r="C335" i="10"/>
  <c r="B336" i="10"/>
  <c r="C336" i="10"/>
  <c r="B337" i="10"/>
  <c r="C337" i="10"/>
  <c r="B338" i="10"/>
  <c r="C338" i="10"/>
  <c r="B339" i="10"/>
  <c r="C339" i="10"/>
  <c r="B340" i="10"/>
  <c r="C340" i="10"/>
  <c r="B341" i="10"/>
  <c r="C341" i="10"/>
  <c r="B342" i="10"/>
  <c r="C342" i="10"/>
  <c r="B343" i="10"/>
  <c r="C343" i="10"/>
  <c r="B344" i="10"/>
  <c r="C344" i="10"/>
  <c r="B345" i="10"/>
  <c r="C345" i="10"/>
  <c r="B346" i="10"/>
  <c r="C346" i="10"/>
  <c r="B347" i="10"/>
  <c r="C347" i="10"/>
  <c r="B348" i="10"/>
  <c r="C348" i="10"/>
  <c r="B349" i="10"/>
  <c r="C349" i="10"/>
  <c r="B350" i="10"/>
  <c r="C350" i="10"/>
  <c r="B351" i="10"/>
  <c r="C351" i="10"/>
  <c r="B352" i="10"/>
  <c r="C352" i="10"/>
  <c r="B353" i="10"/>
  <c r="C353" i="10"/>
  <c r="B354" i="10"/>
  <c r="C354" i="10"/>
  <c r="B355" i="10"/>
  <c r="C355" i="10"/>
  <c r="B356" i="10"/>
  <c r="C356" i="10"/>
  <c r="B357" i="10"/>
  <c r="C357" i="10"/>
  <c r="B358" i="10"/>
  <c r="C358" i="10"/>
  <c r="B359" i="10"/>
  <c r="C359" i="10"/>
  <c r="B360" i="10"/>
  <c r="C360" i="10"/>
  <c r="B361" i="10"/>
  <c r="C361" i="10"/>
  <c r="B362" i="10"/>
  <c r="C362" i="10"/>
  <c r="B363" i="10"/>
  <c r="C363" i="10"/>
  <c r="B364" i="10"/>
  <c r="C364" i="10"/>
  <c r="B365" i="10"/>
  <c r="C365" i="10"/>
  <c r="B366" i="10"/>
  <c r="C366" i="10"/>
  <c r="B367" i="10"/>
  <c r="C367" i="10"/>
  <c r="B368" i="10"/>
  <c r="C368" i="10"/>
  <c r="B369" i="10"/>
  <c r="C369" i="10"/>
  <c r="B370" i="10"/>
  <c r="C370" i="10"/>
  <c r="B371" i="10"/>
  <c r="C371" i="10"/>
  <c r="B372" i="10"/>
  <c r="C372" i="10"/>
  <c r="B373" i="10"/>
  <c r="C373" i="10"/>
  <c r="B374" i="10"/>
  <c r="C374" i="10"/>
  <c r="B375" i="10"/>
  <c r="C375" i="10"/>
  <c r="B376" i="10"/>
  <c r="C376" i="10"/>
  <c r="B377" i="10"/>
  <c r="C377" i="10"/>
  <c r="B378" i="10"/>
  <c r="C378" i="10"/>
  <c r="B379" i="10"/>
  <c r="C379" i="10"/>
  <c r="B380" i="10"/>
  <c r="C380" i="10"/>
  <c r="B381" i="10"/>
  <c r="C381" i="10"/>
  <c r="B382" i="10"/>
  <c r="C382" i="10"/>
  <c r="B383" i="10"/>
  <c r="C383" i="10"/>
  <c r="B384" i="10"/>
  <c r="C384" i="10"/>
  <c r="B385" i="10"/>
  <c r="C385" i="10"/>
  <c r="B386" i="10"/>
  <c r="C386" i="10"/>
  <c r="B387" i="10"/>
  <c r="C387"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C272" i="10"/>
  <c r="B272"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144" i="10"/>
  <c r="B291" i="18"/>
  <c r="B252" i="18"/>
  <c r="B253" i="18"/>
  <c r="B254" i="18"/>
  <c r="B255" i="18"/>
  <c r="B292" i="18"/>
  <c r="B208" i="18"/>
  <c r="B249" i="18"/>
  <c r="B293" i="18"/>
  <c r="B221" i="18"/>
  <c r="B222" i="18"/>
  <c r="B294" i="18"/>
  <c r="B256" i="18"/>
  <c r="B195" i="18"/>
  <c r="B188" i="18"/>
  <c r="B209" i="18"/>
  <c r="B210" i="18"/>
  <c r="B211" i="18"/>
  <c r="B212" i="18"/>
  <c r="B194" i="18"/>
  <c r="B223" i="18"/>
  <c r="B224" i="18"/>
  <c r="B295" i="18"/>
  <c r="B296" i="18"/>
  <c r="B257" i="18"/>
  <c r="B196" i="18"/>
  <c r="B197" i="18"/>
  <c r="B225" i="18"/>
  <c r="B226" i="18"/>
  <c r="B227" i="18"/>
  <c r="B228" i="18"/>
  <c r="B258" i="18"/>
  <c r="B259" i="18"/>
  <c r="B260" i="18"/>
  <c r="B229" i="18"/>
  <c r="B261" i="18"/>
  <c r="B262" i="18"/>
  <c r="B230" i="18"/>
  <c r="B263" i="18"/>
  <c r="B264" i="18"/>
  <c r="B265" i="18"/>
  <c r="B297" i="18"/>
  <c r="B231" i="18"/>
  <c r="B232" i="18"/>
  <c r="B198" i="18"/>
  <c r="B189" i="18"/>
  <c r="B199" i="18"/>
  <c r="B283" i="18"/>
  <c r="B298" i="18"/>
  <c r="B281" i="18"/>
  <c r="B299" i="18"/>
  <c r="B213" i="18"/>
  <c r="B300" i="18"/>
  <c r="B233" i="18"/>
  <c r="B234" i="18"/>
  <c r="B235" i="18"/>
  <c r="B236" i="18"/>
  <c r="B237" i="18"/>
  <c r="B238" i="18"/>
  <c r="B200" i="18"/>
  <c r="B201" i="18"/>
  <c r="B301" i="18"/>
  <c r="B302" i="18"/>
  <c r="B266" i="18"/>
  <c r="B190" i="18"/>
  <c r="B214" i="18"/>
  <c r="B267" i="18"/>
  <c r="B215" i="18"/>
  <c r="B216" i="18"/>
  <c r="B282" i="18"/>
  <c r="B239" i="18"/>
  <c r="B202" i="18"/>
  <c r="B240" i="18"/>
  <c r="B284" i="18"/>
  <c r="B285" i="18"/>
  <c r="B250" i="18"/>
  <c r="B286" i="18"/>
  <c r="B251" i="18"/>
  <c r="B241" i="18"/>
  <c r="B268" i="18"/>
  <c r="B269" i="18"/>
  <c r="B191" i="18"/>
  <c r="B203" i="18"/>
  <c r="B303" i="18"/>
  <c r="B287" i="18"/>
  <c r="B288" i="18"/>
  <c r="B204" i="18"/>
  <c r="B205" i="18"/>
  <c r="B270" i="18"/>
  <c r="B271" i="18"/>
  <c r="B272" i="18"/>
  <c r="B206" i="18"/>
  <c r="B192" i="18"/>
  <c r="B207" i="18"/>
  <c r="B242" i="18"/>
  <c r="B193" i="18"/>
  <c r="B217" i="18"/>
  <c r="B243" i="18"/>
  <c r="B273" i="18"/>
  <c r="B274" i="18"/>
  <c r="B218" i="18"/>
  <c r="B219" i="18"/>
  <c r="B220" i="18"/>
  <c r="B275" i="18"/>
  <c r="B276" i="18"/>
  <c r="B304" i="18"/>
  <c r="B277" i="18"/>
  <c r="B305" i="18"/>
  <c r="B278" i="18"/>
  <c r="B306" i="18"/>
  <c r="B244" i="18"/>
  <c r="B279" i="18"/>
  <c r="B307" i="18"/>
  <c r="B289" i="18"/>
  <c r="B245" i="18"/>
  <c r="B246" i="18"/>
  <c r="B247" i="18"/>
  <c r="B248" i="18"/>
  <c r="B280" i="18"/>
  <c r="B290" i="18"/>
  <c r="G9" i="18"/>
  <c r="G10" i="18"/>
  <c r="G11" i="18"/>
  <c r="G12" i="18"/>
  <c r="G13" i="18"/>
  <c r="G14" i="18"/>
  <c r="G15" i="18"/>
  <c r="G16" i="18"/>
  <c r="G17" i="18"/>
  <c r="G18" i="18"/>
  <c r="G19" i="18"/>
  <c r="G8" i="18"/>
  <c r="E291" i="18"/>
  <c r="F291" i="18"/>
  <c r="H291" i="18"/>
  <c r="I291" i="18"/>
  <c r="K291" i="18"/>
  <c r="L291" i="18"/>
  <c r="E252" i="18"/>
  <c r="F252" i="18"/>
  <c r="H252" i="18"/>
  <c r="I252" i="18"/>
  <c r="K252" i="18"/>
  <c r="L252" i="18"/>
  <c r="E253" i="18"/>
  <c r="F253" i="18"/>
  <c r="H253" i="18"/>
  <c r="I253" i="18"/>
  <c r="K253" i="18"/>
  <c r="L253" i="18"/>
  <c r="E254" i="18"/>
  <c r="F254" i="18"/>
  <c r="H254" i="18"/>
  <c r="I254" i="18"/>
  <c r="J254" i="18"/>
  <c r="K254" i="18"/>
  <c r="L254" i="18"/>
  <c r="E255" i="18"/>
  <c r="F255" i="18"/>
  <c r="H255" i="18"/>
  <c r="I255" i="18"/>
  <c r="K255" i="18"/>
  <c r="L255" i="18"/>
  <c r="E292" i="18"/>
  <c r="F292" i="18"/>
  <c r="H292" i="18"/>
  <c r="I292" i="18"/>
  <c r="J292" i="18"/>
  <c r="K292" i="18"/>
  <c r="L292" i="18"/>
  <c r="E208" i="18"/>
  <c r="F208" i="18"/>
  <c r="G208" i="18"/>
  <c r="H208" i="18"/>
  <c r="I208" i="18"/>
  <c r="J208" i="18"/>
  <c r="K208" i="18"/>
  <c r="L208" i="18"/>
  <c r="E249" i="18"/>
  <c r="F249" i="18"/>
  <c r="H249" i="18"/>
  <c r="I249" i="18"/>
  <c r="K249" i="18"/>
  <c r="L249" i="18"/>
  <c r="E293" i="18"/>
  <c r="F293" i="18"/>
  <c r="H293" i="18"/>
  <c r="I293" i="18"/>
  <c r="J293" i="18"/>
  <c r="K293" i="18"/>
  <c r="L293" i="18"/>
  <c r="E221" i="18"/>
  <c r="F221" i="18"/>
  <c r="H221" i="18"/>
  <c r="I221" i="18"/>
  <c r="K221" i="18"/>
  <c r="L221" i="18"/>
  <c r="E222" i="18"/>
  <c r="F222" i="18"/>
  <c r="H222" i="18"/>
  <c r="I222" i="18"/>
  <c r="K222" i="18"/>
  <c r="L222" i="18"/>
  <c r="E294" i="18"/>
  <c r="F294" i="18"/>
  <c r="H294" i="18"/>
  <c r="I294" i="18"/>
  <c r="J294" i="18"/>
  <c r="K294" i="18"/>
  <c r="L294" i="18"/>
  <c r="E256" i="18"/>
  <c r="F256" i="18"/>
  <c r="H256" i="18"/>
  <c r="I256" i="18"/>
  <c r="K256" i="18"/>
  <c r="L256" i="18"/>
  <c r="E195" i="18"/>
  <c r="F195" i="18"/>
  <c r="H195" i="18"/>
  <c r="I195" i="18"/>
  <c r="K195" i="18"/>
  <c r="L195" i="18"/>
  <c r="E188" i="18"/>
  <c r="F188" i="18"/>
  <c r="H188" i="18"/>
  <c r="I188" i="18"/>
  <c r="K188" i="18"/>
  <c r="L188" i="18"/>
  <c r="E209" i="18"/>
  <c r="F209" i="18"/>
  <c r="H209" i="18"/>
  <c r="I209" i="18"/>
  <c r="K209" i="18"/>
  <c r="L209" i="18"/>
  <c r="E210" i="18"/>
  <c r="F210" i="18"/>
  <c r="H210" i="18"/>
  <c r="I210" i="18"/>
  <c r="K210" i="18"/>
  <c r="L210" i="18"/>
  <c r="E211" i="18"/>
  <c r="F211" i="18"/>
  <c r="H211" i="18"/>
  <c r="I211" i="18"/>
  <c r="K211" i="18"/>
  <c r="L211" i="18"/>
  <c r="E212" i="18"/>
  <c r="F212" i="18"/>
  <c r="G212" i="18"/>
  <c r="H212" i="18"/>
  <c r="I212" i="18"/>
  <c r="K212" i="18"/>
  <c r="L212" i="18"/>
  <c r="E194" i="18"/>
  <c r="F194" i="18"/>
  <c r="H194" i="18"/>
  <c r="I194" i="18"/>
  <c r="K194" i="18"/>
  <c r="L194" i="18"/>
  <c r="E223" i="18"/>
  <c r="F223" i="18"/>
  <c r="G223" i="18"/>
  <c r="H223" i="18"/>
  <c r="I223" i="18"/>
  <c r="J223" i="18"/>
  <c r="K223" i="18"/>
  <c r="L223" i="18"/>
  <c r="E224" i="18"/>
  <c r="F224" i="18"/>
  <c r="G224" i="18"/>
  <c r="H224" i="18"/>
  <c r="I224" i="18"/>
  <c r="J224" i="18"/>
  <c r="K224" i="18"/>
  <c r="L224" i="18"/>
  <c r="E295" i="18"/>
  <c r="F295" i="18"/>
  <c r="H295" i="18"/>
  <c r="I295" i="18"/>
  <c r="J295" i="18"/>
  <c r="K295" i="18"/>
  <c r="L295" i="18"/>
  <c r="E296" i="18"/>
  <c r="F296" i="18"/>
  <c r="H296" i="18"/>
  <c r="I296" i="18"/>
  <c r="J296" i="18"/>
  <c r="K296" i="18"/>
  <c r="L296" i="18"/>
  <c r="E257" i="18"/>
  <c r="F257" i="18"/>
  <c r="H257" i="18"/>
  <c r="I257" i="18"/>
  <c r="J257" i="18"/>
  <c r="K257" i="18"/>
  <c r="L257" i="18"/>
  <c r="E196" i="18"/>
  <c r="F196" i="18"/>
  <c r="G196" i="18"/>
  <c r="H196" i="18"/>
  <c r="I196" i="18"/>
  <c r="J196" i="18"/>
  <c r="K196" i="18"/>
  <c r="L196" i="18"/>
  <c r="E197" i="18"/>
  <c r="F197" i="18"/>
  <c r="G197" i="18"/>
  <c r="H197" i="18"/>
  <c r="I197" i="18"/>
  <c r="K197" i="18"/>
  <c r="L197" i="18"/>
  <c r="E225" i="18"/>
  <c r="F225" i="18"/>
  <c r="H225" i="18"/>
  <c r="I225" i="18"/>
  <c r="K225" i="18"/>
  <c r="L225" i="18"/>
  <c r="E226" i="18"/>
  <c r="F226" i="18"/>
  <c r="G226" i="18"/>
  <c r="H226" i="18"/>
  <c r="I226" i="18"/>
  <c r="J226" i="18"/>
  <c r="K226" i="18"/>
  <c r="L226" i="18"/>
  <c r="E227" i="18"/>
  <c r="F227" i="18"/>
  <c r="G227" i="18"/>
  <c r="H227" i="18"/>
  <c r="I227" i="18"/>
  <c r="J227" i="18"/>
  <c r="K227" i="18"/>
  <c r="L227" i="18"/>
  <c r="E228" i="18"/>
  <c r="F228" i="18"/>
  <c r="G228" i="18"/>
  <c r="H228" i="18"/>
  <c r="I228" i="18"/>
  <c r="J228" i="18"/>
  <c r="K228" i="18"/>
  <c r="L228" i="18"/>
  <c r="E258" i="18"/>
  <c r="F258" i="18"/>
  <c r="H258" i="18"/>
  <c r="I258" i="18"/>
  <c r="J258" i="18"/>
  <c r="K258" i="18"/>
  <c r="L258" i="18"/>
  <c r="E259" i="18"/>
  <c r="F259" i="18"/>
  <c r="H259" i="18"/>
  <c r="I259" i="18"/>
  <c r="J259" i="18"/>
  <c r="K259" i="18"/>
  <c r="L259" i="18"/>
  <c r="E260" i="18"/>
  <c r="F260" i="18"/>
  <c r="H260" i="18"/>
  <c r="I260" i="18"/>
  <c r="K260" i="18"/>
  <c r="L260" i="18"/>
  <c r="E229" i="18"/>
  <c r="F229" i="18"/>
  <c r="H229" i="18"/>
  <c r="I229" i="18"/>
  <c r="K229" i="18"/>
  <c r="L229" i="18"/>
  <c r="E261" i="18"/>
  <c r="F261" i="18"/>
  <c r="H261" i="18"/>
  <c r="I261" i="18"/>
  <c r="J261" i="18"/>
  <c r="K261" i="18"/>
  <c r="L261" i="18"/>
  <c r="E262" i="18"/>
  <c r="F262" i="18"/>
  <c r="H262" i="18"/>
  <c r="I262" i="18"/>
  <c r="J262" i="18"/>
  <c r="K262" i="18"/>
  <c r="L262" i="18"/>
  <c r="E230" i="18"/>
  <c r="F230" i="18"/>
  <c r="H230" i="18"/>
  <c r="I230" i="18"/>
  <c r="K230" i="18"/>
  <c r="L230" i="18"/>
  <c r="E263" i="18"/>
  <c r="F263" i="18"/>
  <c r="H263" i="18"/>
  <c r="I263" i="18"/>
  <c r="J263" i="18"/>
  <c r="K263" i="18"/>
  <c r="L263" i="18"/>
  <c r="E264" i="18"/>
  <c r="F264" i="18"/>
  <c r="H264" i="18"/>
  <c r="I264" i="18"/>
  <c r="J264" i="18"/>
  <c r="K264" i="18"/>
  <c r="L264" i="18"/>
  <c r="E265" i="18"/>
  <c r="F265" i="18"/>
  <c r="H265" i="18"/>
  <c r="I265" i="18"/>
  <c r="J265" i="18"/>
  <c r="K265" i="18"/>
  <c r="L265" i="18"/>
  <c r="E297" i="18"/>
  <c r="F297" i="18"/>
  <c r="H297" i="18"/>
  <c r="I297" i="18"/>
  <c r="J297" i="18"/>
  <c r="K297" i="18"/>
  <c r="L297" i="18"/>
  <c r="E231" i="18"/>
  <c r="F231" i="18"/>
  <c r="H231" i="18"/>
  <c r="I231" i="18"/>
  <c r="K231" i="18"/>
  <c r="L231" i="18"/>
  <c r="E232" i="18"/>
  <c r="F232" i="18"/>
  <c r="H232" i="18"/>
  <c r="I232" i="18"/>
  <c r="K232" i="18"/>
  <c r="L232" i="18"/>
  <c r="E198" i="18"/>
  <c r="F198" i="18"/>
  <c r="G198" i="18"/>
  <c r="H198" i="18"/>
  <c r="I198" i="18"/>
  <c r="J198" i="18"/>
  <c r="K198" i="18"/>
  <c r="L198" i="18"/>
  <c r="E189" i="18"/>
  <c r="F189" i="18"/>
  <c r="H189" i="18"/>
  <c r="I189" i="18"/>
  <c r="K189" i="18"/>
  <c r="L189" i="18"/>
  <c r="E199" i="18"/>
  <c r="F199" i="18"/>
  <c r="G199" i="18"/>
  <c r="H199" i="18"/>
  <c r="I199" i="18"/>
  <c r="K199" i="18"/>
  <c r="L199" i="18"/>
  <c r="E283" i="18"/>
  <c r="F283" i="18"/>
  <c r="H283" i="18"/>
  <c r="I283" i="18"/>
  <c r="K283" i="18"/>
  <c r="L283" i="18"/>
  <c r="E298" i="18"/>
  <c r="F298" i="18"/>
  <c r="H298" i="18"/>
  <c r="I298" i="18"/>
  <c r="J298" i="18"/>
  <c r="K298" i="18"/>
  <c r="L298" i="18"/>
  <c r="E281" i="18"/>
  <c r="F281" i="18"/>
  <c r="H281" i="18"/>
  <c r="I281" i="18"/>
  <c r="J281" i="18"/>
  <c r="K281" i="18"/>
  <c r="L281" i="18"/>
  <c r="E299" i="18"/>
  <c r="F299" i="18"/>
  <c r="H299" i="18"/>
  <c r="I299" i="18"/>
  <c r="K299" i="18"/>
  <c r="L299" i="18"/>
  <c r="E213" i="18"/>
  <c r="F213" i="18"/>
  <c r="H213" i="18"/>
  <c r="I213" i="18"/>
  <c r="K213" i="18"/>
  <c r="L213" i="18"/>
  <c r="E300" i="18"/>
  <c r="F300" i="18"/>
  <c r="H300" i="18"/>
  <c r="I300" i="18"/>
  <c r="J300" i="18"/>
  <c r="K300" i="18"/>
  <c r="L300" i="18"/>
  <c r="E233" i="18"/>
  <c r="F233" i="18"/>
  <c r="H233" i="18"/>
  <c r="I233" i="18"/>
  <c r="K233" i="18"/>
  <c r="L233" i="18"/>
  <c r="E234" i="18"/>
  <c r="F234" i="18"/>
  <c r="H234" i="18"/>
  <c r="I234" i="18"/>
  <c r="K234" i="18"/>
  <c r="L234" i="18"/>
  <c r="E235" i="18"/>
  <c r="F235" i="18"/>
  <c r="G235" i="18"/>
  <c r="H235" i="18"/>
  <c r="I235" i="18"/>
  <c r="J235" i="18"/>
  <c r="K235" i="18"/>
  <c r="L235" i="18"/>
  <c r="E236" i="18"/>
  <c r="F236" i="18"/>
  <c r="G236" i="18"/>
  <c r="H236" i="18"/>
  <c r="I236" i="18"/>
  <c r="J236" i="18"/>
  <c r="K236" i="18"/>
  <c r="L236" i="18"/>
  <c r="E237" i="18"/>
  <c r="F237" i="18"/>
  <c r="H237" i="18"/>
  <c r="I237" i="18"/>
  <c r="K237" i="18"/>
  <c r="L237" i="18"/>
  <c r="E238" i="18"/>
  <c r="F238" i="18"/>
  <c r="H238" i="18"/>
  <c r="I238" i="18"/>
  <c r="K238" i="18"/>
  <c r="L238" i="18"/>
  <c r="E200" i="18"/>
  <c r="F200" i="18"/>
  <c r="G200" i="18"/>
  <c r="H200" i="18"/>
  <c r="I200" i="18"/>
  <c r="J200" i="18"/>
  <c r="K200" i="18"/>
  <c r="L200" i="18"/>
  <c r="E201" i="18"/>
  <c r="F201" i="18"/>
  <c r="G201" i="18"/>
  <c r="H201" i="18"/>
  <c r="I201" i="18"/>
  <c r="K201" i="18"/>
  <c r="L201" i="18"/>
  <c r="E301" i="18"/>
  <c r="F301" i="18"/>
  <c r="H301" i="18"/>
  <c r="I301" i="18"/>
  <c r="J301" i="18"/>
  <c r="K301" i="18"/>
  <c r="L301" i="18"/>
  <c r="E302" i="18"/>
  <c r="F302" i="18"/>
  <c r="H302" i="18"/>
  <c r="I302" i="18"/>
  <c r="K302" i="18"/>
  <c r="L302" i="18"/>
  <c r="E266" i="18"/>
  <c r="F266" i="18"/>
  <c r="H266" i="18"/>
  <c r="I266" i="18"/>
  <c r="K266" i="18"/>
  <c r="L266" i="18"/>
  <c r="E190" i="18"/>
  <c r="F190" i="18"/>
  <c r="H190" i="18"/>
  <c r="I190" i="18"/>
  <c r="K190" i="18"/>
  <c r="L190" i="18"/>
  <c r="E214" i="18"/>
  <c r="F214" i="18"/>
  <c r="H214" i="18"/>
  <c r="I214" i="18"/>
  <c r="K214" i="18"/>
  <c r="L214" i="18"/>
  <c r="E267" i="18"/>
  <c r="F267" i="18"/>
  <c r="H267" i="18"/>
  <c r="I267" i="18"/>
  <c r="J267" i="18"/>
  <c r="K267" i="18"/>
  <c r="L267" i="18"/>
  <c r="E215" i="18"/>
  <c r="F215" i="18"/>
  <c r="H215" i="18"/>
  <c r="I215" i="18"/>
  <c r="J215" i="18"/>
  <c r="K215" i="18"/>
  <c r="L215" i="18"/>
  <c r="E216" i="18"/>
  <c r="F216" i="18"/>
  <c r="H216" i="18"/>
  <c r="I216" i="18"/>
  <c r="J216" i="18"/>
  <c r="K216" i="18"/>
  <c r="L216" i="18"/>
  <c r="E282" i="18"/>
  <c r="F282" i="18"/>
  <c r="G282" i="18"/>
  <c r="H282" i="18"/>
  <c r="I282" i="18"/>
  <c r="J282" i="18"/>
  <c r="K282" i="18"/>
  <c r="L282" i="18"/>
  <c r="E239" i="18"/>
  <c r="F239" i="18"/>
  <c r="G239" i="18"/>
  <c r="H239" i="18"/>
  <c r="I239" i="18"/>
  <c r="J239" i="18"/>
  <c r="K239" i="18"/>
  <c r="L239" i="18"/>
  <c r="E202" i="18"/>
  <c r="F202" i="18"/>
  <c r="G202" i="18"/>
  <c r="H202" i="18"/>
  <c r="I202" i="18"/>
  <c r="J202" i="18"/>
  <c r="K202" i="18"/>
  <c r="L202" i="18"/>
  <c r="E240" i="18"/>
  <c r="F240" i="18"/>
  <c r="G240" i="18"/>
  <c r="H240" i="18"/>
  <c r="I240" i="18"/>
  <c r="J240" i="18"/>
  <c r="K240" i="18"/>
  <c r="L240" i="18"/>
  <c r="E284" i="18"/>
  <c r="F284" i="18"/>
  <c r="H284" i="18"/>
  <c r="I284" i="18"/>
  <c r="K284" i="18"/>
  <c r="L284" i="18"/>
  <c r="E285" i="18"/>
  <c r="F285" i="18"/>
  <c r="H285" i="18"/>
  <c r="I285" i="18"/>
  <c r="K285" i="18"/>
  <c r="L285" i="18"/>
  <c r="E250" i="18"/>
  <c r="F250" i="18"/>
  <c r="H250" i="18"/>
  <c r="I250" i="18"/>
  <c r="K250" i="18"/>
  <c r="L250" i="18"/>
  <c r="E286" i="18"/>
  <c r="F286" i="18"/>
  <c r="H286" i="18"/>
  <c r="I286" i="18"/>
  <c r="K286" i="18"/>
  <c r="L286" i="18"/>
  <c r="E251" i="18"/>
  <c r="F251" i="18"/>
  <c r="G251" i="18"/>
  <c r="H251" i="18"/>
  <c r="I251" i="18"/>
  <c r="J251" i="18"/>
  <c r="K251" i="18"/>
  <c r="L251" i="18"/>
  <c r="E241" i="18"/>
  <c r="F241" i="18"/>
  <c r="H241" i="18"/>
  <c r="I241" i="18"/>
  <c r="K241" i="18"/>
  <c r="L241" i="18"/>
  <c r="E268" i="18"/>
  <c r="F268" i="18"/>
  <c r="H268" i="18"/>
  <c r="I268" i="18"/>
  <c r="K268" i="18"/>
  <c r="L268" i="18"/>
  <c r="E269" i="18"/>
  <c r="F269" i="18"/>
  <c r="H269" i="18"/>
  <c r="I269" i="18"/>
  <c r="K269" i="18"/>
  <c r="L269" i="18"/>
  <c r="E191" i="18"/>
  <c r="F191" i="18"/>
  <c r="G191" i="18"/>
  <c r="H191" i="18"/>
  <c r="I191" i="18"/>
  <c r="K191" i="18"/>
  <c r="L191" i="18"/>
  <c r="E203" i="18"/>
  <c r="F203" i="18"/>
  <c r="G203" i="18"/>
  <c r="H203" i="18"/>
  <c r="I203" i="18"/>
  <c r="K203" i="18"/>
  <c r="L203" i="18"/>
  <c r="E303" i="18"/>
  <c r="F303" i="18"/>
  <c r="H303" i="18"/>
  <c r="I303" i="18"/>
  <c r="K303" i="18"/>
  <c r="L303" i="18"/>
  <c r="E287" i="18"/>
  <c r="F287" i="18"/>
  <c r="H287" i="18"/>
  <c r="I287" i="18"/>
  <c r="K287" i="18"/>
  <c r="L287" i="18"/>
  <c r="E288" i="18"/>
  <c r="F288" i="18"/>
  <c r="G288" i="18"/>
  <c r="H288" i="18"/>
  <c r="I288" i="18"/>
  <c r="J288" i="18"/>
  <c r="K288" i="18"/>
  <c r="L288" i="18"/>
  <c r="E204" i="18"/>
  <c r="F204" i="18"/>
  <c r="G204" i="18"/>
  <c r="H204" i="18"/>
  <c r="I204" i="18"/>
  <c r="K204" i="18"/>
  <c r="L204" i="18"/>
  <c r="E205" i="18"/>
  <c r="F205" i="18"/>
  <c r="H205" i="18"/>
  <c r="I205" i="18"/>
  <c r="K205" i="18"/>
  <c r="L205" i="18"/>
  <c r="E270" i="18"/>
  <c r="F270" i="18"/>
  <c r="H270" i="18"/>
  <c r="I270" i="18"/>
  <c r="J270" i="18"/>
  <c r="K270" i="18"/>
  <c r="L270" i="18"/>
  <c r="E271" i="18"/>
  <c r="F271" i="18"/>
  <c r="H271" i="18"/>
  <c r="I271" i="18"/>
  <c r="J271" i="18"/>
  <c r="K271" i="18"/>
  <c r="L271" i="18"/>
  <c r="E272" i="18"/>
  <c r="F272" i="18"/>
  <c r="H272" i="18"/>
  <c r="I272" i="18"/>
  <c r="K272" i="18"/>
  <c r="L272" i="18"/>
  <c r="E206" i="18"/>
  <c r="F206" i="18"/>
  <c r="G206" i="18"/>
  <c r="H206" i="18"/>
  <c r="I206" i="18"/>
  <c r="K206" i="18"/>
  <c r="L206" i="18"/>
  <c r="E192" i="18"/>
  <c r="F192" i="18"/>
  <c r="H192" i="18"/>
  <c r="I192" i="18"/>
  <c r="K192" i="18"/>
  <c r="L192" i="18"/>
  <c r="E207" i="18"/>
  <c r="F207" i="18"/>
  <c r="H207" i="18"/>
  <c r="I207" i="18"/>
  <c r="K207" i="18"/>
  <c r="L207" i="18"/>
  <c r="E242" i="18"/>
  <c r="F242" i="18"/>
  <c r="H242" i="18"/>
  <c r="I242" i="18"/>
  <c r="K242" i="18"/>
  <c r="L242" i="18"/>
  <c r="E193" i="18"/>
  <c r="F193" i="18"/>
  <c r="H193" i="18"/>
  <c r="I193" i="18"/>
  <c r="K193" i="18"/>
  <c r="L193" i="18"/>
  <c r="E217" i="18"/>
  <c r="F217" i="18"/>
  <c r="H217" i="18"/>
  <c r="I217" i="18"/>
  <c r="K217" i="18"/>
  <c r="L217" i="18"/>
  <c r="E243" i="18"/>
  <c r="F243" i="18"/>
  <c r="H243" i="18"/>
  <c r="I243" i="18"/>
  <c r="K243" i="18"/>
  <c r="L243" i="18"/>
  <c r="E273" i="18"/>
  <c r="F273" i="18"/>
  <c r="H273" i="18"/>
  <c r="I273" i="18"/>
  <c r="J273" i="18"/>
  <c r="K273" i="18"/>
  <c r="L273" i="18"/>
  <c r="E274" i="18"/>
  <c r="F274" i="18"/>
  <c r="H274" i="18"/>
  <c r="I274" i="18"/>
  <c r="J274" i="18"/>
  <c r="K274" i="18"/>
  <c r="L274" i="18"/>
  <c r="E218" i="18"/>
  <c r="F218" i="18"/>
  <c r="H218" i="18"/>
  <c r="I218" i="18"/>
  <c r="K218" i="18"/>
  <c r="L218" i="18"/>
  <c r="E219" i="18"/>
  <c r="F219" i="18"/>
  <c r="H219" i="18"/>
  <c r="I219" i="18"/>
  <c r="K219" i="18"/>
  <c r="L219" i="18"/>
  <c r="E220" i="18"/>
  <c r="F220" i="18"/>
  <c r="H220" i="18"/>
  <c r="I220" i="18"/>
  <c r="K220" i="18"/>
  <c r="L220" i="18"/>
  <c r="E275" i="18"/>
  <c r="F275" i="18"/>
  <c r="H275" i="18"/>
  <c r="I275" i="18"/>
  <c r="K275" i="18"/>
  <c r="L275" i="18"/>
  <c r="E276" i="18"/>
  <c r="F276" i="18"/>
  <c r="H276" i="18"/>
  <c r="I276" i="18"/>
  <c r="K276" i="18"/>
  <c r="L276" i="18"/>
  <c r="E304" i="18"/>
  <c r="F304" i="18"/>
  <c r="H304" i="18"/>
  <c r="I304" i="18"/>
  <c r="K304" i="18"/>
  <c r="L304" i="18"/>
  <c r="E277" i="18"/>
  <c r="F277" i="18"/>
  <c r="H277" i="18"/>
  <c r="I277" i="18"/>
  <c r="J277" i="18"/>
  <c r="K277" i="18"/>
  <c r="L277" i="18"/>
  <c r="E305" i="18"/>
  <c r="F305" i="18"/>
  <c r="H305" i="18"/>
  <c r="I305" i="18"/>
  <c r="J305" i="18"/>
  <c r="K305" i="18"/>
  <c r="L305" i="18"/>
  <c r="E278" i="18"/>
  <c r="F278" i="18"/>
  <c r="H278" i="18"/>
  <c r="I278" i="18"/>
  <c r="K278" i="18"/>
  <c r="L278" i="18"/>
  <c r="E306" i="18"/>
  <c r="F306" i="18"/>
  <c r="G306" i="18"/>
  <c r="H306" i="18"/>
  <c r="I306" i="18"/>
  <c r="J306" i="18"/>
  <c r="K306" i="18"/>
  <c r="L306" i="18"/>
  <c r="E244" i="18"/>
  <c r="F244" i="18"/>
  <c r="H244" i="18"/>
  <c r="I244" i="18"/>
  <c r="K244" i="18"/>
  <c r="L244" i="18"/>
  <c r="E279" i="18"/>
  <c r="F279" i="18"/>
  <c r="H279" i="18"/>
  <c r="I279" i="18"/>
  <c r="K279" i="18"/>
  <c r="L279" i="18"/>
  <c r="E307" i="18"/>
  <c r="F307" i="18"/>
  <c r="H307" i="18"/>
  <c r="I307" i="18"/>
  <c r="K307" i="18"/>
  <c r="L307" i="18"/>
  <c r="E289" i="18"/>
  <c r="F289" i="18"/>
  <c r="H289" i="18"/>
  <c r="I289" i="18"/>
  <c r="J289" i="18"/>
  <c r="K289" i="18"/>
  <c r="L289" i="18"/>
  <c r="E245" i="18"/>
  <c r="F245" i="18"/>
  <c r="G245" i="18"/>
  <c r="H245" i="18"/>
  <c r="I245" i="18"/>
  <c r="J245" i="18"/>
  <c r="K245" i="18"/>
  <c r="L245" i="18"/>
  <c r="E246" i="18"/>
  <c r="F246" i="18"/>
  <c r="H246" i="18"/>
  <c r="I246" i="18"/>
  <c r="K246" i="18"/>
  <c r="L246" i="18"/>
  <c r="E247" i="18"/>
  <c r="F247" i="18"/>
  <c r="H247" i="18"/>
  <c r="I247" i="18"/>
  <c r="K247" i="18"/>
  <c r="L247" i="18"/>
  <c r="E248" i="18"/>
  <c r="F248" i="18"/>
  <c r="H248" i="18"/>
  <c r="I248" i="18"/>
  <c r="K248" i="18"/>
  <c r="L248" i="18"/>
  <c r="E280" i="18"/>
  <c r="F280" i="18"/>
  <c r="H280" i="18"/>
  <c r="I280" i="18"/>
  <c r="J280" i="18"/>
  <c r="K280" i="18"/>
  <c r="L280" i="18"/>
  <c r="L290" i="18"/>
  <c r="K290" i="18"/>
  <c r="I290" i="18"/>
  <c r="J290" i="18"/>
  <c r="F290" i="18"/>
  <c r="H290" i="18"/>
  <c r="E290" i="18"/>
  <c r="AG352" i="26" a="1"/>
  <c r="AG352" i="26"/>
  <c r="AE352" i="26" a="1"/>
  <c r="AE352" i="26"/>
  <c r="AD352" i="26" a="1"/>
  <c r="AD352" i="26"/>
  <c r="AB352" i="26" a="1"/>
  <c r="AB352" i="26"/>
  <c r="AA352" i="26" a="1"/>
  <c r="AA352" i="26"/>
  <c r="Z352" i="26" a="1"/>
  <c r="Z352" i="26"/>
  <c r="X352" i="26" a="1"/>
  <c r="X352" i="26"/>
  <c r="V352" i="26" a="1"/>
  <c r="V352" i="26"/>
  <c r="T352" i="26" a="1"/>
  <c r="T352" i="26"/>
  <c r="S352" i="26" a="1"/>
  <c r="S352" i="26"/>
  <c r="R352" i="26" a="1"/>
  <c r="R352" i="26"/>
  <c r="Q352" i="26" a="1"/>
  <c r="Q352" i="26"/>
  <c r="O352" i="26" a="1"/>
  <c r="O352" i="26"/>
  <c r="N352" i="26" a="1"/>
  <c r="N352" i="26"/>
  <c r="L352" i="26" a="1"/>
  <c r="L352" i="26"/>
  <c r="J352" i="26" a="1"/>
  <c r="J352" i="26"/>
  <c r="I352" i="26" a="1"/>
  <c r="I352" i="26"/>
  <c r="H352" i="26" a="1"/>
  <c r="H352" i="26"/>
  <c r="G352" i="26" a="1"/>
  <c r="G352" i="26"/>
  <c r="F352" i="26" a="1"/>
  <c r="F352" i="26"/>
  <c r="C352" i="26"/>
  <c r="B352" i="26"/>
  <c r="A352" i="26"/>
  <c r="AG351" i="26" a="1"/>
  <c r="AG351" i="26"/>
  <c r="AE351" i="26" a="1"/>
  <c r="AE351" i="26"/>
  <c r="AD351" i="26" a="1"/>
  <c r="AD351" i="26"/>
  <c r="AB351" i="26" a="1"/>
  <c r="AB351" i="26"/>
  <c r="AA351" i="26" a="1"/>
  <c r="AA351" i="26"/>
  <c r="Z351" i="26" a="1"/>
  <c r="Z351" i="26"/>
  <c r="X351" i="26" a="1"/>
  <c r="X351" i="26"/>
  <c r="V351" i="26" a="1"/>
  <c r="V351" i="26"/>
  <c r="T351" i="26" a="1"/>
  <c r="T351" i="26"/>
  <c r="S351" i="26" a="1"/>
  <c r="S351" i="26"/>
  <c r="R351" i="26" a="1"/>
  <c r="R351" i="26"/>
  <c r="Q351" i="26" a="1"/>
  <c r="Q351" i="26"/>
  <c r="O351" i="26" a="1"/>
  <c r="O351" i="26"/>
  <c r="N351" i="26" a="1"/>
  <c r="N351" i="26"/>
  <c r="L351" i="26" a="1"/>
  <c r="L351" i="26"/>
  <c r="J351" i="26" a="1"/>
  <c r="J351" i="26"/>
  <c r="I351" i="26" a="1"/>
  <c r="I351" i="26"/>
  <c r="H351" i="26" a="1"/>
  <c r="H351" i="26"/>
  <c r="G351" i="26" a="1"/>
  <c r="G351" i="26"/>
  <c r="F351" i="26" a="1"/>
  <c r="F351" i="26"/>
  <c r="C351" i="26"/>
  <c r="B351" i="26"/>
  <c r="A351" i="26"/>
  <c r="AG350" i="26" a="1"/>
  <c r="AG350" i="26"/>
  <c r="AE350" i="26" a="1"/>
  <c r="AE350" i="26"/>
  <c r="AD350" i="26" a="1"/>
  <c r="AD350" i="26"/>
  <c r="AB350" i="26" a="1"/>
  <c r="AB350" i="26"/>
  <c r="AA350" i="26" a="1"/>
  <c r="AA350" i="26"/>
  <c r="Z350" i="26" a="1"/>
  <c r="Z350" i="26"/>
  <c r="X350" i="26" a="1"/>
  <c r="X350" i="26"/>
  <c r="V350" i="26" a="1"/>
  <c r="V350" i="26"/>
  <c r="T350" i="26" a="1"/>
  <c r="T350" i="26"/>
  <c r="S350" i="26" a="1"/>
  <c r="S350" i="26"/>
  <c r="R350" i="26" a="1"/>
  <c r="R350" i="26"/>
  <c r="Q350" i="26" a="1"/>
  <c r="Q350" i="26"/>
  <c r="O350" i="26" a="1"/>
  <c r="O350" i="26"/>
  <c r="N350" i="26" a="1"/>
  <c r="N350" i="26"/>
  <c r="L350" i="26" a="1"/>
  <c r="L350" i="26"/>
  <c r="J350" i="26" a="1"/>
  <c r="J350" i="26"/>
  <c r="I350" i="26" a="1"/>
  <c r="I350" i="26"/>
  <c r="H350" i="26" a="1"/>
  <c r="H350" i="26"/>
  <c r="G350" i="26" a="1"/>
  <c r="G350" i="26"/>
  <c r="F350" i="26" a="1"/>
  <c r="F350" i="26"/>
  <c r="C350" i="26"/>
  <c r="B350" i="26"/>
  <c r="A350" i="26"/>
  <c r="AG349" i="26" a="1"/>
  <c r="AG349" i="26"/>
  <c r="AE349" i="26" a="1"/>
  <c r="AE349" i="26"/>
  <c r="AD349" i="26" a="1"/>
  <c r="AD349" i="26"/>
  <c r="AB349" i="26" a="1"/>
  <c r="AB349" i="26"/>
  <c r="AA349" i="26" a="1"/>
  <c r="AA349" i="26"/>
  <c r="Z349" i="26" a="1"/>
  <c r="Z349" i="26"/>
  <c r="X349" i="26" a="1"/>
  <c r="X349" i="26"/>
  <c r="V349" i="26" a="1"/>
  <c r="V349" i="26"/>
  <c r="T349" i="26" a="1"/>
  <c r="T349" i="26"/>
  <c r="S349" i="26" a="1"/>
  <c r="S349" i="26"/>
  <c r="R349" i="26" a="1"/>
  <c r="R349" i="26"/>
  <c r="Q349" i="26" a="1"/>
  <c r="Q349" i="26"/>
  <c r="O349" i="26" a="1"/>
  <c r="O349" i="26"/>
  <c r="N349" i="26" a="1"/>
  <c r="N349" i="26"/>
  <c r="L349" i="26" a="1"/>
  <c r="L349" i="26"/>
  <c r="J349" i="26" a="1"/>
  <c r="J349" i="26"/>
  <c r="I349" i="26" a="1"/>
  <c r="I349" i="26"/>
  <c r="H349" i="26" a="1"/>
  <c r="H349" i="26"/>
  <c r="G349" i="26" a="1"/>
  <c r="G349" i="26"/>
  <c r="F349" i="26" a="1"/>
  <c r="F349" i="26"/>
  <c r="C349" i="26"/>
  <c r="B349" i="26"/>
  <c r="A349" i="26"/>
  <c r="AG348" i="26" a="1"/>
  <c r="AG348" i="26"/>
  <c r="AE348" i="26" a="1"/>
  <c r="AE348" i="26"/>
  <c r="AD348" i="26" a="1"/>
  <c r="AD348" i="26"/>
  <c r="AB348" i="26" a="1"/>
  <c r="AB348" i="26"/>
  <c r="AA348" i="26" a="1"/>
  <c r="AA348" i="26"/>
  <c r="Z348" i="26" a="1"/>
  <c r="Z348" i="26"/>
  <c r="X348" i="26" a="1"/>
  <c r="X348" i="26"/>
  <c r="V348" i="26" a="1"/>
  <c r="V348" i="26"/>
  <c r="T348" i="26" a="1"/>
  <c r="T348" i="26"/>
  <c r="S348" i="26" a="1"/>
  <c r="S348" i="26"/>
  <c r="R348" i="26" a="1"/>
  <c r="R348" i="26"/>
  <c r="Q348" i="26" a="1"/>
  <c r="Q348" i="26"/>
  <c r="O348" i="26" a="1"/>
  <c r="O348" i="26"/>
  <c r="N348" i="26" a="1"/>
  <c r="N348" i="26"/>
  <c r="L348" i="26" a="1"/>
  <c r="L348" i="26"/>
  <c r="J348" i="26" a="1"/>
  <c r="J348" i="26"/>
  <c r="I348" i="26" a="1"/>
  <c r="I348" i="26"/>
  <c r="H348" i="26" a="1"/>
  <c r="H348" i="26"/>
  <c r="G348" i="26" a="1"/>
  <c r="G348" i="26"/>
  <c r="F348" i="26" a="1"/>
  <c r="F348" i="26"/>
  <c r="C348" i="26"/>
  <c r="B348" i="26"/>
  <c r="A348" i="26"/>
  <c r="AG347" i="26" a="1"/>
  <c r="AG347" i="26"/>
  <c r="AE347" i="26" a="1"/>
  <c r="AE347" i="26"/>
  <c r="AD347" i="26" a="1"/>
  <c r="AD347" i="26"/>
  <c r="AB347" i="26" a="1"/>
  <c r="AB347" i="26"/>
  <c r="AA347" i="26" a="1"/>
  <c r="AA347" i="26"/>
  <c r="Z347" i="26" a="1"/>
  <c r="Z347" i="26"/>
  <c r="X347" i="26" a="1"/>
  <c r="X347" i="26"/>
  <c r="V347" i="26" a="1"/>
  <c r="V347" i="26"/>
  <c r="T347" i="26" a="1"/>
  <c r="T347" i="26"/>
  <c r="S347" i="26" a="1"/>
  <c r="S347" i="26"/>
  <c r="R347" i="26" a="1"/>
  <c r="R347" i="26"/>
  <c r="Q347" i="26" a="1"/>
  <c r="Q347" i="26"/>
  <c r="O347" i="26" a="1"/>
  <c r="O347" i="26"/>
  <c r="N347" i="26" a="1"/>
  <c r="N347" i="26"/>
  <c r="L347" i="26" a="1"/>
  <c r="L347" i="26"/>
  <c r="J347" i="26" a="1"/>
  <c r="J347" i="26"/>
  <c r="I347" i="26" a="1"/>
  <c r="I347" i="26"/>
  <c r="H347" i="26" a="1"/>
  <c r="H347" i="26"/>
  <c r="G347" i="26" a="1"/>
  <c r="G347" i="26"/>
  <c r="F347" i="26" a="1"/>
  <c r="F347" i="26"/>
  <c r="C347" i="26"/>
  <c r="B347" i="26"/>
  <c r="A347" i="26"/>
  <c r="AG346" i="26" a="1"/>
  <c r="AG346" i="26"/>
  <c r="AE346" i="26" a="1"/>
  <c r="AE346" i="26"/>
  <c r="AD346" i="26" a="1"/>
  <c r="AD346" i="26"/>
  <c r="AB346" i="26" a="1"/>
  <c r="AB346" i="26"/>
  <c r="AA346" i="26" a="1"/>
  <c r="AA346" i="26"/>
  <c r="Z346" i="26" a="1"/>
  <c r="Z346" i="26"/>
  <c r="X346" i="26" a="1"/>
  <c r="X346" i="26"/>
  <c r="V346" i="26" a="1"/>
  <c r="V346" i="26"/>
  <c r="T346" i="26" a="1"/>
  <c r="T346" i="26"/>
  <c r="S346" i="26" a="1"/>
  <c r="S346" i="26"/>
  <c r="R346" i="26" a="1"/>
  <c r="R346" i="26"/>
  <c r="Q346" i="26" a="1"/>
  <c r="Q346" i="26"/>
  <c r="O346" i="26" a="1"/>
  <c r="O346" i="26"/>
  <c r="N346" i="26" a="1"/>
  <c r="N346" i="26"/>
  <c r="L346" i="26" a="1"/>
  <c r="L346" i="26"/>
  <c r="J346" i="26" a="1"/>
  <c r="J346" i="26"/>
  <c r="I346" i="26" a="1"/>
  <c r="I346" i="26"/>
  <c r="H346" i="26" a="1"/>
  <c r="H346" i="26"/>
  <c r="G346" i="26" a="1"/>
  <c r="G346" i="26"/>
  <c r="F346" i="26" a="1"/>
  <c r="F346" i="26"/>
  <c r="C346" i="26"/>
  <c r="B346" i="26"/>
  <c r="A346" i="26"/>
  <c r="AG345" i="26" a="1"/>
  <c r="AG345" i="26"/>
  <c r="AE345" i="26" a="1"/>
  <c r="AE345" i="26"/>
  <c r="AD345" i="26" a="1"/>
  <c r="AD345" i="26"/>
  <c r="AB345" i="26" a="1"/>
  <c r="AB345" i="26"/>
  <c r="AA345" i="26" a="1"/>
  <c r="AA345" i="26"/>
  <c r="Z345" i="26" a="1"/>
  <c r="Z345" i="26"/>
  <c r="X345" i="26" a="1"/>
  <c r="X345" i="26"/>
  <c r="V345" i="26" a="1"/>
  <c r="V345" i="26"/>
  <c r="T345" i="26" a="1"/>
  <c r="T345" i="26"/>
  <c r="S345" i="26" a="1"/>
  <c r="S345" i="26"/>
  <c r="R345" i="26" a="1"/>
  <c r="R345" i="26"/>
  <c r="Q345" i="26" a="1"/>
  <c r="Q345" i="26"/>
  <c r="O345" i="26" a="1"/>
  <c r="O345" i="26"/>
  <c r="N345" i="26" a="1"/>
  <c r="N345" i="26"/>
  <c r="L345" i="26" a="1"/>
  <c r="L345" i="26"/>
  <c r="J345" i="26" a="1"/>
  <c r="J345" i="26"/>
  <c r="I345" i="26" a="1"/>
  <c r="I345" i="26"/>
  <c r="H345" i="26" a="1"/>
  <c r="H345" i="26"/>
  <c r="G345" i="26" a="1"/>
  <c r="G345" i="26"/>
  <c r="F345" i="26" a="1"/>
  <c r="F345" i="26"/>
  <c r="C345" i="26"/>
  <c r="B345" i="26"/>
  <c r="A345" i="26"/>
  <c r="AG344" i="26" a="1"/>
  <c r="AG344" i="26"/>
  <c r="AE344" i="26" a="1"/>
  <c r="AE344" i="26"/>
  <c r="AD344" i="26" a="1"/>
  <c r="AD344" i="26"/>
  <c r="AB344" i="26" a="1"/>
  <c r="AB344" i="26"/>
  <c r="AA344" i="26" a="1"/>
  <c r="AA344" i="26"/>
  <c r="Z344" i="26" a="1"/>
  <c r="Z344" i="26"/>
  <c r="X344" i="26" a="1"/>
  <c r="X344" i="26"/>
  <c r="V344" i="26" a="1"/>
  <c r="V344" i="26"/>
  <c r="T344" i="26" a="1"/>
  <c r="T344" i="26"/>
  <c r="S344" i="26" a="1"/>
  <c r="S344" i="26"/>
  <c r="R344" i="26" a="1"/>
  <c r="R344" i="26"/>
  <c r="Q344" i="26" a="1"/>
  <c r="Q344" i="26"/>
  <c r="O344" i="26" a="1"/>
  <c r="O344" i="26"/>
  <c r="N344" i="26" a="1"/>
  <c r="N344" i="26"/>
  <c r="L344" i="26" a="1"/>
  <c r="L344" i="26"/>
  <c r="J344" i="26" a="1"/>
  <c r="J344" i="26"/>
  <c r="I344" i="26" a="1"/>
  <c r="I344" i="26"/>
  <c r="H344" i="26" a="1"/>
  <c r="H344" i="26"/>
  <c r="G344" i="26" a="1"/>
  <c r="G344" i="26"/>
  <c r="F344" i="26" a="1"/>
  <c r="F344" i="26"/>
  <c r="C344" i="26"/>
  <c r="B344" i="26"/>
  <c r="A344" i="26"/>
  <c r="AG343" i="26" a="1"/>
  <c r="AG343" i="26"/>
  <c r="AE343" i="26" a="1"/>
  <c r="AE343" i="26"/>
  <c r="AD343" i="26" a="1"/>
  <c r="AD343" i="26"/>
  <c r="AB343" i="26" a="1"/>
  <c r="AB343" i="26"/>
  <c r="AA343" i="26" a="1"/>
  <c r="AA343" i="26"/>
  <c r="Z343" i="26" a="1"/>
  <c r="Z343" i="26"/>
  <c r="X343" i="26" a="1"/>
  <c r="X343" i="26"/>
  <c r="V343" i="26" a="1"/>
  <c r="V343" i="26"/>
  <c r="T343" i="26" a="1"/>
  <c r="T343" i="26"/>
  <c r="S343" i="26" a="1"/>
  <c r="S343" i="26"/>
  <c r="R343" i="26" a="1"/>
  <c r="R343" i="26"/>
  <c r="Q343" i="26" a="1"/>
  <c r="Q343" i="26"/>
  <c r="O343" i="26" a="1"/>
  <c r="O343" i="26"/>
  <c r="N343" i="26" a="1"/>
  <c r="N343" i="26"/>
  <c r="L343" i="26" a="1"/>
  <c r="L343" i="26"/>
  <c r="J343" i="26" a="1"/>
  <c r="J343" i="26"/>
  <c r="I343" i="26" a="1"/>
  <c r="I343" i="26"/>
  <c r="H343" i="26" a="1"/>
  <c r="H343" i="26"/>
  <c r="G343" i="26" a="1"/>
  <c r="G343" i="26"/>
  <c r="F343" i="26" a="1"/>
  <c r="F343" i="26"/>
  <c r="C343" i="26"/>
  <c r="B343" i="26"/>
  <c r="A343" i="26"/>
  <c r="AG342" i="26" a="1"/>
  <c r="AG342" i="26"/>
  <c r="AE342" i="26" a="1"/>
  <c r="AE342" i="26"/>
  <c r="AD342" i="26" a="1"/>
  <c r="AD342" i="26"/>
  <c r="AB342" i="26" a="1"/>
  <c r="AB342" i="26"/>
  <c r="AA342" i="26" a="1"/>
  <c r="AA342" i="26"/>
  <c r="Z342" i="26" a="1"/>
  <c r="Z342" i="26"/>
  <c r="X342" i="26" a="1"/>
  <c r="X342" i="26"/>
  <c r="V342" i="26" a="1"/>
  <c r="V342" i="26"/>
  <c r="T342" i="26" a="1"/>
  <c r="T342" i="26"/>
  <c r="S342" i="26" a="1"/>
  <c r="S342" i="26"/>
  <c r="R342" i="26" a="1"/>
  <c r="R342" i="26"/>
  <c r="Q342" i="26" a="1"/>
  <c r="Q342" i="26"/>
  <c r="O342" i="26" a="1"/>
  <c r="O342" i="26"/>
  <c r="N342" i="26" a="1"/>
  <c r="N342" i="26"/>
  <c r="L342" i="26" a="1"/>
  <c r="L342" i="26"/>
  <c r="J342" i="26" a="1"/>
  <c r="J342" i="26"/>
  <c r="I342" i="26" a="1"/>
  <c r="I342" i="26"/>
  <c r="H342" i="26" a="1"/>
  <c r="H342" i="26"/>
  <c r="G342" i="26" a="1"/>
  <c r="G342" i="26"/>
  <c r="F342" i="26" a="1"/>
  <c r="F342" i="26"/>
  <c r="C342" i="26"/>
  <c r="B342" i="26"/>
  <c r="A342" i="26"/>
  <c r="AG341" i="26" a="1"/>
  <c r="AG341" i="26"/>
  <c r="AE341" i="26" a="1"/>
  <c r="AE341" i="26"/>
  <c r="AD341" i="26" a="1"/>
  <c r="AD341" i="26"/>
  <c r="AB341" i="26" a="1"/>
  <c r="AB341" i="26"/>
  <c r="AA341" i="26" a="1"/>
  <c r="AA341" i="26"/>
  <c r="Z341" i="26" a="1"/>
  <c r="Z341" i="26"/>
  <c r="X341" i="26" a="1"/>
  <c r="X341" i="26"/>
  <c r="V341" i="26" a="1"/>
  <c r="V341" i="26"/>
  <c r="T341" i="26" a="1"/>
  <c r="T341" i="26"/>
  <c r="S341" i="26" a="1"/>
  <c r="S341" i="26"/>
  <c r="R341" i="26" a="1"/>
  <c r="R341" i="26"/>
  <c r="Q341" i="26" a="1"/>
  <c r="Q341" i="26"/>
  <c r="O341" i="26" a="1"/>
  <c r="O341" i="26"/>
  <c r="N341" i="26" a="1"/>
  <c r="N341" i="26"/>
  <c r="L341" i="26" a="1"/>
  <c r="L341" i="26"/>
  <c r="J341" i="26" a="1"/>
  <c r="J341" i="26"/>
  <c r="I341" i="26" a="1"/>
  <c r="I341" i="26"/>
  <c r="H341" i="26" a="1"/>
  <c r="H341" i="26"/>
  <c r="G341" i="26" a="1"/>
  <c r="G341" i="26"/>
  <c r="F341" i="26" a="1"/>
  <c r="F341" i="26"/>
  <c r="C341" i="26"/>
  <c r="B341" i="26"/>
  <c r="A341" i="26"/>
  <c r="AG340" i="26" a="1"/>
  <c r="AG340" i="26"/>
  <c r="AE340" i="26" a="1"/>
  <c r="AE340" i="26"/>
  <c r="AD340" i="26" a="1"/>
  <c r="AD340" i="26"/>
  <c r="AB340" i="26" a="1"/>
  <c r="AB340" i="26"/>
  <c r="AA340" i="26" a="1"/>
  <c r="AA340" i="26"/>
  <c r="Z340" i="26" a="1"/>
  <c r="Z340" i="26"/>
  <c r="X340" i="26" a="1"/>
  <c r="X340" i="26"/>
  <c r="V340" i="26" a="1"/>
  <c r="V340" i="26"/>
  <c r="T340" i="26" a="1"/>
  <c r="T340" i="26"/>
  <c r="S340" i="26" a="1"/>
  <c r="S340" i="26"/>
  <c r="R340" i="26" a="1"/>
  <c r="R340" i="26"/>
  <c r="Q340" i="26" a="1"/>
  <c r="Q340" i="26"/>
  <c r="O340" i="26" a="1"/>
  <c r="O340" i="26"/>
  <c r="N340" i="26" a="1"/>
  <c r="N340" i="26"/>
  <c r="L340" i="26" a="1"/>
  <c r="L340" i="26"/>
  <c r="J340" i="26" a="1"/>
  <c r="J340" i="26"/>
  <c r="I340" i="26" a="1"/>
  <c r="I340" i="26"/>
  <c r="H340" i="26" a="1"/>
  <c r="H340" i="26"/>
  <c r="G340" i="26" a="1"/>
  <c r="G340" i="26"/>
  <c r="F340" i="26" a="1"/>
  <c r="F340" i="26"/>
  <c r="C340" i="26"/>
  <c r="B340" i="26"/>
  <c r="A340" i="26"/>
  <c r="AG339" i="26" a="1"/>
  <c r="AG339" i="26"/>
  <c r="AE339" i="26" a="1"/>
  <c r="AE339" i="26"/>
  <c r="AD339" i="26" a="1"/>
  <c r="AD339" i="26"/>
  <c r="AB339" i="26" a="1"/>
  <c r="AB339" i="26"/>
  <c r="AA339" i="26" a="1"/>
  <c r="AA339" i="26"/>
  <c r="Z339" i="26" a="1"/>
  <c r="Z339" i="26"/>
  <c r="X339" i="26" a="1"/>
  <c r="X339" i="26"/>
  <c r="V339" i="26" a="1"/>
  <c r="V339" i="26"/>
  <c r="T339" i="26" a="1"/>
  <c r="T339" i="26"/>
  <c r="S339" i="26" a="1"/>
  <c r="S339" i="26"/>
  <c r="R339" i="26" a="1"/>
  <c r="R339" i="26"/>
  <c r="Q339" i="26" a="1"/>
  <c r="Q339" i="26"/>
  <c r="O339" i="26" a="1"/>
  <c r="O339" i="26"/>
  <c r="N339" i="26" a="1"/>
  <c r="N339" i="26"/>
  <c r="L339" i="26" a="1"/>
  <c r="L339" i="26"/>
  <c r="J339" i="26" a="1"/>
  <c r="J339" i="26"/>
  <c r="I339" i="26" a="1"/>
  <c r="I339" i="26"/>
  <c r="H339" i="26" a="1"/>
  <c r="H339" i="26"/>
  <c r="G339" i="26" a="1"/>
  <c r="G339" i="26"/>
  <c r="F339" i="26" a="1"/>
  <c r="F339" i="26"/>
  <c r="C339" i="26"/>
  <c r="B339" i="26"/>
  <c r="A339" i="26"/>
  <c r="AG338" i="26" a="1"/>
  <c r="AG338" i="26"/>
  <c r="AE338" i="26" a="1"/>
  <c r="AE338" i="26"/>
  <c r="AD338" i="26" a="1"/>
  <c r="AD338" i="26"/>
  <c r="AB338" i="26" a="1"/>
  <c r="AB338" i="26"/>
  <c r="AA338" i="26" a="1"/>
  <c r="AA338" i="26"/>
  <c r="Z338" i="26" a="1"/>
  <c r="Z338" i="26"/>
  <c r="X338" i="26" a="1"/>
  <c r="X338" i="26"/>
  <c r="V338" i="26" a="1"/>
  <c r="V338" i="26"/>
  <c r="T338" i="26" a="1"/>
  <c r="T338" i="26"/>
  <c r="S338" i="26" a="1"/>
  <c r="S338" i="26"/>
  <c r="R338" i="26" a="1"/>
  <c r="R338" i="26"/>
  <c r="Q338" i="26" a="1"/>
  <c r="Q338" i="26"/>
  <c r="O338" i="26" a="1"/>
  <c r="O338" i="26"/>
  <c r="N338" i="26" a="1"/>
  <c r="N338" i="26"/>
  <c r="L338" i="26" a="1"/>
  <c r="L338" i="26"/>
  <c r="J338" i="26" a="1"/>
  <c r="J338" i="26"/>
  <c r="I338" i="26" a="1"/>
  <c r="I338" i="26"/>
  <c r="H338" i="26" a="1"/>
  <c r="H338" i="26"/>
  <c r="G338" i="26" a="1"/>
  <c r="G338" i="26"/>
  <c r="F338" i="26" a="1"/>
  <c r="F338" i="26"/>
  <c r="C338" i="26"/>
  <c r="B338" i="26"/>
  <c r="A338" i="26"/>
  <c r="AG337" i="26" a="1"/>
  <c r="AG337" i="26"/>
  <c r="AE337" i="26" a="1"/>
  <c r="AE337" i="26"/>
  <c r="AD337" i="26" a="1"/>
  <c r="AD337" i="26"/>
  <c r="AB337" i="26" a="1"/>
  <c r="AB337" i="26"/>
  <c r="AA337" i="26" a="1"/>
  <c r="AA337" i="26"/>
  <c r="Z337" i="26" a="1"/>
  <c r="Z337" i="26"/>
  <c r="X337" i="26" a="1"/>
  <c r="X337" i="26"/>
  <c r="V337" i="26" a="1"/>
  <c r="V337" i="26"/>
  <c r="T337" i="26" a="1"/>
  <c r="T337" i="26"/>
  <c r="S337" i="26" a="1"/>
  <c r="S337" i="26"/>
  <c r="R337" i="26" a="1"/>
  <c r="R337" i="26"/>
  <c r="Q337" i="26" a="1"/>
  <c r="Q337" i="26"/>
  <c r="O337" i="26" a="1"/>
  <c r="O337" i="26"/>
  <c r="N337" i="26" a="1"/>
  <c r="N337" i="26"/>
  <c r="L337" i="26" a="1"/>
  <c r="L337" i="26"/>
  <c r="J337" i="26" a="1"/>
  <c r="J337" i="26"/>
  <c r="I337" i="26" a="1"/>
  <c r="I337" i="26"/>
  <c r="H337" i="26" a="1"/>
  <c r="H337" i="26"/>
  <c r="G337" i="26" a="1"/>
  <c r="G337" i="26"/>
  <c r="F337" i="26" a="1"/>
  <c r="F337" i="26"/>
  <c r="C337" i="26"/>
  <c r="B337" i="26"/>
  <c r="A337" i="26"/>
  <c r="AG336" i="26" a="1"/>
  <c r="AG336" i="26"/>
  <c r="AE336" i="26" a="1"/>
  <c r="AE336" i="26"/>
  <c r="AD336" i="26" a="1"/>
  <c r="AD336" i="26"/>
  <c r="AB336" i="26" a="1"/>
  <c r="AB336" i="26"/>
  <c r="AA336" i="26" a="1"/>
  <c r="AA336" i="26"/>
  <c r="Z336" i="26" a="1"/>
  <c r="Z336" i="26"/>
  <c r="X336" i="26" a="1"/>
  <c r="X336" i="26"/>
  <c r="V336" i="26" a="1"/>
  <c r="V336" i="26"/>
  <c r="T336" i="26" a="1"/>
  <c r="T336" i="26"/>
  <c r="S336" i="26" a="1"/>
  <c r="S336" i="26"/>
  <c r="R336" i="26" a="1"/>
  <c r="R336" i="26"/>
  <c r="Q336" i="26" a="1"/>
  <c r="Q336" i="26"/>
  <c r="O336" i="26" a="1"/>
  <c r="O336" i="26"/>
  <c r="N336" i="26" a="1"/>
  <c r="N336" i="26"/>
  <c r="L336" i="26" a="1"/>
  <c r="L336" i="26"/>
  <c r="J336" i="26" a="1"/>
  <c r="J336" i="26"/>
  <c r="I336" i="26" a="1"/>
  <c r="I336" i="26"/>
  <c r="H336" i="26" a="1"/>
  <c r="H336" i="26"/>
  <c r="G336" i="26" a="1"/>
  <c r="G336" i="26"/>
  <c r="F336" i="26" a="1"/>
  <c r="F336" i="26"/>
  <c r="C336" i="26"/>
  <c r="B336" i="26"/>
  <c r="A336" i="26"/>
  <c r="AG335" i="26" a="1"/>
  <c r="AG335" i="26"/>
  <c r="AE335" i="26" a="1"/>
  <c r="AE335" i="26"/>
  <c r="AD335" i="26" a="1"/>
  <c r="AD335" i="26"/>
  <c r="AB335" i="26" a="1"/>
  <c r="AB335" i="26"/>
  <c r="AA335" i="26" a="1"/>
  <c r="AA335" i="26"/>
  <c r="Z335" i="26" a="1"/>
  <c r="Z335" i="26"/>
  <c r="X335" i="26" a="1"/>
  <c r="X335" i="26"/>
  <c r="V335" i="26" a="1"/>
  <c r="V335" i="26"/>
  <c r="T335" i="26" a="1"/>
  <c r="T335" i="26"/>
  <c r="S335" i="26" a="1"/>
  <c r="S335" i="26"/>
  <c r="R335" i="26" a="1"/>
  <c r="R335" i="26"/>
  <c r="Q335" i="26" a="1"/>
  <c r="Q335" i="26"/>
  <c r="O335" i="26" a="1"/>
  <c r="O335" i="26"/>
  <c r="N335" i="26" a="1"/>
  <c r="N335" i="26"/>
  <c r="L335" i="26" a="1"/>
  <c r="L335" i="26"/>
  <c r="J335" i="26" a="1"/>
  <c r="J335" i="26"/>
  <c r="I335" i="26" a="1"/>
  <c r="I335" i="26"/>
  <c r="H335" i="26" a="1"/>
  <c r="H335" i="26"/>
  <c r="G335" i="26" a="1"/>
  <c r="G335" i="26"/>
  <c r="F335" i="26" a="1"/>
  <c r="F335" i="26"/>
  <c r="C335" i="26"/>
  <c r="B335" i="26"/>
  <c r="A335" i="26"/>
  <c r="AG334" i="26" a="1"/>
  <c r="AG334" i="26"/>
  <c r="AE334" i="26" a="1"/>
  <c r="AE334" i="26"/>
  <c r="AD334" i="26" a="1"/>
  <c r="AD334" i="26"/>
  <c r="AB334" i="26" a="1"/>
  <c r="AB334" i="26"/>
  <c r="AA334" i="26" a="1"/>
  <c r="AA334" i="26"/>
  <c r="Z334" i="26" a="1"/>
  <c r="Z334" i="26"/>
  <c r="X334" i="26" a="1"/>
  <c r="X334" i="26"/>
  <c r="V334" i="26" a="1"/>
  <c r="V334" i="26"/>
  <c r="T334" i="26" a="1"/>
  <c r="T334" i="26"/>
  <c r="S334" i="26" a="1"/>
  <c r="S334" i="26"/>
  <c r="R334" i="26" a="1"/>
  <c r="R334" i="26"/>
  <c r="Q334" i="26" a="1"/>
  <c r="Q334" i="26"/>
  <c r="O334" i="26" a="1"/>
  <c r="O334" i="26"/>
  <c r="N334" i="26" a="1"/>
  <c r="N334" i="26"/>
  <c r="L334" i="26" a="1"/>
  <c r="L334" i="26"/>
  <c r="J334" i="26" a="1"/>
  <c r="J334" i="26"/>
  <c r="I334" i="26" a="1"/>
  <c r="I334" i="26"/>
  <c r="H334" i="26" a="1"/>
  <c r="H334" i="26"/>
  <c r="G334" i="26" a="1"/>
  <c r="G334" i="26"/>
  <c r="F334" i="26" a="1"/>
  <c r="F334" i="26"/>
  <c r="C334" i="26"/>
  <c r="B334" i="26"/>
  <c r="A334" i="26"/>
  <c r="AG333" i="26" a="1"/>
  <c r="AG333" i="26"/>
  <c r="AE333" i="26" a="1"/>
  <c r="AE333" i="26"/>
  <c r="AD333" i="26" a="1"/>
  <c r="AD333" i="26"/>
  <c r="AB333" i="26" a="1"/>
  <c r="AB333" i="26"/>
  <c r="AA333" i="26" a="1"/>
  <c r="AA333" i="26"/>
  <c r="Z333" i="26" a="1"/>
  <c r="Z333" i="26"/>
  <c r="X333" i="26" a="1"/>
  <c r="X333" i="26"/>
  <c r="V333" i="26" a="1"/>
  <c r="V333" i="26"/>
  <c r="T333" i="26" a="1"/>
  <c r="T333" i="26"/>
  <c r="S333" i="26" a="1"/>
  <c r="S333" i="26"/>
  <c r="R333" i="26" a="1"/>
  <c r="R333" i="26"/>
  <c r="Q333" i="26" a="1"/>
  <c r="Q333" i="26"/>
  <c r="O333" i="26" a="1"/>
  <c r="O333" i="26"/>
  <c r="N333" i="26" a="1"/>
  <c r="N333" i="26"/>
  <c r="L333" i="26" a="1"/>
  <c r="L333" i="26"/>
  <c r="J333" i="26" a="1"/>
  <c r="J333" i="26"/>
  <c r="I333" i="26" a="1"/>
  <c r="I333" i="26"/>
  <c r="H333" i="26" a="1"/>
  <c r="H333" i="26"/>
  <c r="G333" i="26" a="1"/>
  <c r="G333" i="26"/>
  <c r="F333" i="26" a="1"/>
  <c r="F333" i="26"/>
  <c r="C333" i="26"/>
  <c r="B333" i="26"/>
  <c r="A333" i="26"/>
  <c r="AG332" i="26" a="1"/>
  <c r="AG332" i="26"/>
  <c r="AE332" i="26" a="1"/>
  <c r="AE332" i="26"/>
  <c r="AD332" i="26" a="1"/>
  <c r="AD332" i="26"/>
  <c r="AB332" i="26" a="1"/>
  <c r="AB332" i="26"/>
  <c r="AA332" i="26" a="1"/>
  <c r="AA332" i="26"/>
  <c r="Z332" i="26" a="1"/>
  <c r="Z332" i="26"/>
  <c r="X332" i="26" a="1"/>
  <c r="X332" i="26"/>
  <c r="V332" i="26" a="1"/>
  <c r="V332" i="26"/>
  <c r="T332" i="26" a="1"/>
  <c r="T332" i="26"/>
  <c r="S332" i="26" a="1"/>
  <c r="S332" i="26"/>
  <c r="R332" i="26" a="1"/>
  <c r="R332" i="26"/>
  <c r="Q332" i="26" a="1"/>
  <c r="Q332" i="26"/>
  <c r="O332" i="26" a="1"/>
  <c r="O332" i="26"/>
  <c r="N332" i="26" a="1"/>
  <c r="N332" i="26"/>
  <c r="L332" i="26" a="1"/>
  <c r="L332" i="26"/>
  <c r="J332" i="26" a="1"/>
  <c r="J332" i="26"/>
  <c r="I332" i="26" a="1"/>
  <c r="I332" i="26"/>
  <c r="H332" i="26" a="1"/>
  <c r="H332" i="26"/>
  <c r="G332" i="26" a="1"/>
  <c r="G332" i="26"/>
  <c r="F332" i="26" a="1"/>
  <c r="F332" i="26"/>
  <c r="C332" i="26"/>
  <c r="B332" i="26"/>
  <c r="A332" i="26"/>
  <c r="AG331" i="26" a="1"/>
  <c r="AG331" i="26"/>
  <c r="AE331" i="26" a="1"/>
  <c r="AE331" i="26"/>
  <c r="AD331" i="26" a="1"/>
  <c r="AD331" i="26"/>
  <c r="AB331" i="26" a="1"/>
  <c r="AB331" i="26"/>
  <c r="AA331" i="26" a="1"/>
  <c r="AA331" i="26"/>
  <c r="Z331" i="26" a="1"/>
  <c r="Z331" i="26"/>
  <c r="X331" i="26" a="1"/>
  <c r="X331" i="26"/>
  <c r="V331" i="26" a="1"/>
  <c r="V331" i="26"/>
  <c r="T331" i="26" a="1"/>
  <c r="T331" i="26"/>
  <c r="S331" i="26" a="1"/>
  <c r="S331" i="26"/>
  <c r="R331" i="26" a="1"/>
  <c r="R331" i="26"/>
  <c r="Q331" i="26" a="1"/>
  <c r="Q331" i="26"/>
  <c r="O331" i="26" a="1"/>
  <c r="O331" i="26"/>
  <c r="N331" i="26" a="1"/>
  <c r="N331" i="26"/>
  <c r="L331" i="26" a="1"/>
  <c r="L331" i="26"/>
  <c r="J331" i="26" a="1"/>
  <c r="J331" i="26"/>
  <c r="I331" i="26" a="1"/>
  <c r="I331" i="26"/>
  <c r="H331" i="26" a="1"/>
  <c r="H331" i="26"/>
  <c r="G331" i="26" a="1"/>
  <c r="G331" i="26"/>
  <c r="F331" i="26" a="1"/>
  <c r="F331" i="26"/>
  <c r="C331" i="26"/>
  <c r="B331" i="26"/>
  <c r="A331" i="26"/>
  <c r="AG330" i="26" a="1"/>
  <c r="AG330" i="26"/>
  <c r="AE330" i="26" a="1"/>
  <c r="AE330" i="26"/>
  <c r="AD330" i="26" a="1"/>
  <c r="AD330" i="26"/>
  <c r="AB330" i="26" a="1"/>
  <c r="AB330" i="26"/>
  <c r="AA330" i="26" a="1"/>
  <c r="AA330" i="26"/>
  <c r="Z330" i="26" a="1"/>
  <c r="Z330" i="26"/>
  <c r="X330" i="26" a="1"/>
  <c r="X330" i="26"/>
  <c r="V330" i="26" a="1"/>
  <c r="V330" i="26"/>
  <c r="T330" i="26" a="1"/>
  <c r="T330" i="26"/>
  <c r="S330" i="26" a="1"/>
  <c r="S330" i="26"/>
  <c r="R330" i="26" a="1"/>
  <c r="R330" i="26"/>
  <c r="Q330" i="26" a="1"/>
  <c r="Q330" i="26"/>
  <c r="O330" i="26" a="1"/>
  <c r="O330" i="26"/>
  <c r="N330" i="26" a="1"/>
  <c r="N330" i="26"/>
  <c r="L330" i="26" a="1"/>
  <c r="L330" i="26"/>
  <c r="J330" i="26" a="1"/>
  <c r="J330" i="26"/>
  <c r="I330" i="26" a="1"/>
  <c r="I330" i="26"/>
  <c r="H330" i="26" a="1"/>
  <c r="H330" i="26"/>
  <c r="G330" i="26" a="1"/>
  <c r="G330" i="26"/>
  <c r="F330" i="26" a="1"/>
  <c r="F330" i="26"/>
  <c r="C330" i="26"/>
  <c r="B330" i="26"/>
  <c r="A330" i="26"/>
  <c r="AG329" i="26" a="1"/>
  <c r="AG329" i="26"/>
  <c r="AE329" i="26" a="1"/>
  <c r="AE329" i="26"/>
  <c r="AD329" i="26" a="1"/>
  <c r="AD329" i="26"/>
  <c r="AB329" i="26" a="1"/>
  <c r="AB329" i="26"/>
  <c r="AA329" i="26" a="1"/>
  <c r="AA329" i="26"/>
  <c r="Z329" i="26" a="1"/>
  <c r="Z329" i="26"/>
  <c r="X329" i="26" a="1"/>
  <c r="X329" i="26"/>
  <c r="V329" i="26" a="1"/>
  <c r="V329" i="26"/>
  <c r="T329" i="26" a="1"/>
  <c r="T329" i="26"/>
  <c r="S329" i="26" a="1"/>
  <c r="S329" i="26"/>
  <c r="R329" i="26" a="1"/>
  <c r="R329" i="26"/>
  <c r="Q329" i="26" a="1"/>
  <c r="Q329" i="26"/>
  <c r="O329" i="26" a="1"/>
  <c r="O329" i="26"/>
  <c r="N329" i="26" a="1"/>
  <c r="N329" i="26"/>
  <c r="L329" i="26" a="1"/>
  <c r="L329" i="26"/>
  <c r="J329" i="26" a="1"/>
  <c r="J329" i="26"/>
  <c r="I329" i="26" a="1"/>
  <c r="I329" i="26"/>
  <c r="H329" i="26" a="1"/>
  <c r="H329" i="26"/>
  <c r="G329" i="26" a="1"/>
  <c r="G329" i="26"/>
  <c r="F329" i="26" a="1"/>
  <c r="F329" i="26"/>
  <c r="C329" i="26"/>
  <c r="B329" i="26"/>
  <c r="A329" i="26"/>
  <c r="AG328" i="26" a="1"/>
  <c r="AG328" i="26"/>
  <c r="AE328" i="26" a="1"/>
  <c r="AE328" i="26"/>
  <c r="AD328" i="26" a="1"/>
  <c r="AD328" i="26"/>
  <c r="AB328" i="26" a="1"/>
  <c r="AB328" i="26"/>
  <c r="AA328" i="26" a="1"/>
  <c r="AA328" i="26"/>
  <c r="Z328" i="26" a="1"/>
  <c r="Z328" i="26"/>
  <c r="X328" i="26" a="1"/>
  <c r="X328" i="26"/>
  <c r="V328" i="26" a="1"/>
  <c r="V328" i="26"/>
  <c r="T328" i="26" a="1"/>
  <c r="T328" i="26"/>
  <c r="S328" i="26" a="1"/>
  <c r="S328" i="26"/>
  <c r="R328" i="26" a="1"/>
  <c r="R328" i="26"/>
  <c r="Q328" i="26" a="1"/>
  <c r="Q328" i="26"/>
  <c r="O328" i="26" a="1"/>
  <c r="O328" i="26"/>
  <c r="N328" i="26" a="1"/>
  <c r="N328" i="26"/>
  <c r="L328" i="26" a="1"/>
  <c r="L328" i="26"/>
  <c r="J328" i="26" a="1"/>
  <c r="J328" i="26"/>
  <c r="I328" i="26" a="1"/>
  <c r="I328" i="26"/>
  <c r="H328" i="26" a="1"/>
  <c r="H328" i="26"/>
  <c r="G328" i="26" a="1"/>
  <c r="G328" i="26"/>
  <c r="F328" i="26" a="1"/>
  <c r="F328" i="26"/>
  <c r="C328" i="26"/>
  <c r="B328" i="26"/>
  <c r="A328" i="26"/>
  <c r="AG327" i="26" a="1"/>
  <c r="AG327" i="26"/>
  <c r="AE327" i="26" a="1"/>
  <c r="AE327" i="26"/>
  <c r="AD327" i="26" a="1"/>
  <c r="AD327" i="26"/>
  <c r="AB327" i="26" a="1"/>
  <c r="AB327" i="26"/>
  <c r="AA327" i="26" a="1"/>
  <c r="AA327" i="26"/>
  <c r="Z327" i="26" a="1"/>
  <c r="Z327" i="26"/>
  <c r="X327" i="26" a="1"/>
  <c r="X327" i="26"/>
  <c r="V327" i="26" a="1"/>
  <c r="V327" i="26"/>
  <c r="T327" i="26" a="1"/>
  <c r="T327" i="26"/>
  <c r="S327" i="26" a="1"/>
  <c r="S327" i="26"/>
  <c r="R327" i="26" a="1"/>
  <c r="R327" i="26"/>
  <c r="Q327" i="26" a="1"/>
  <c r="Q327" i="26"/>
  <c r="O327" i="26" a="1"/>
  <c r="O327" i="26"/>
  <c r="N327" i="26" a="1"/>
  <c r="N327" i="26"/>
  <c r="L327" i="26" a="1"/>
  <c r="L327" i="26"/>
  <c r="J327" i="26" a="1"/>
  <c r="J327" i="26"/>
  <c r="I327" i="26" a="1"/>
  <c r="I327" i="26"/>
  <c r="H327" i="26" a="1"/>
  <c r="H327" i="26"/>
  <c r="G327" i="26" a="1"/>
  <c r="G327" i="26"/>
  <c r="F327" i="26" a="1"/>
  <c r="F327" i="26"/>
  <c r="C327" i="26"/>
  <c r="B327" i="26"/>
  <c r="A327" i="26"/>
  <c r="AG326" i="26" a="1"/>
  <c r="AG326" i="26"/>
  <c r="AE326" i="26" a="1"/>
  <c r="AE326" i="26"/>
  <c r="AD326" i="26" a="1"/>
  <c r="AD326" i="26"/>
  <c r="AB326" i="26" a="1"/>
  <c r="AB326" i="26"/>
  <c r="AA326" i="26" a="1"/>
  <c r="AA326" i="26"/>
  <c r="Z326" i="26" a="1"/>
  <c r="Z326" i="26"/>
  <c r="X326" i="26" a="1"/>
  <c r="X326" i="26"/>
  <c r="V326" i="26" a="1"/>
  <c r="V326" i="26"/>
  <c r="T326" i="26" a="1"/>
  <c r="T326" i="26"/>
  <c r="S326" i="26" a="1"/>
  <c r="S326" i="26"/>
  <c r="R326" i="26" a="1"/>
  <c r="R326" i="26"/>
  <c r="Q326" i="26" a="1"/>
  <c r="Q326" i="26"/>
  <c r="O326" i="26" a="1"/>
  <c r="O326" i="26"/>
  <c r="N326" i="26" a="1"/>
  <c r="N326" i="26"/>
  <c r="L326" i="26" a="1"/>
  <c r="L326" i="26"/>
  <c r="J326" i="26" a="1"/>
  <c r="J326" i="26"/>
  <c r="I326" i="26" a="1"/>
  <c r="I326" i="26"/>
  <c r="H326" i="26" a="1"/>
  <c r="H326" i="26"/>
  <c r="G326" i="26" a="1"/>
  <c r="G326" i="26"/>
  <c r="F326" i="26" a="1"/>
  <c r="F326" i="26"/>
  <c r="C326" i="26"/>
  <c r="B326" i="26"/>
  <c r="A326" i="26"/>
  <c r="AG325" i="26" a="1"/>
  <c r="AG325" i="26"/>
  <c r="AE325" i="26" a="1"/>
  <c r="AE325" i="26"/>
  <c r="AD325" i="26" a="1"/>
  <c r="AD325" i="26"/>
  <c r="AB325" i="26" a="1"/>
  <c r="AB325" i="26"/>
  <c r="AA325" i="26" a="1"/>
  <c r="AA325" i="26"/>
  <c r="Z325" i="26" a="1"/>
  <c r="Z325" i="26"/>
  <c r="X325" i="26" a="1"/>
  <c r="X325" i="26"/>
  <c r="V325" i="26" a="1"/>
  <c r="V325" i="26"/>
  <c r="T325" i="26" a="1"/>
  <c r="T325" i="26"/>
  <c r="S325" i="26" a="1"/>
  <c r="S325" i="26"/>
  <c r="R325" i="26" a="1"/>
  <c r="R325" i="26"/>
  <c r="Q325" i="26" a="1"/>
  <c r="Q325" i="26"/>
  <c r="O325" i="26" a="1"/>
  <c r="O325" i="26"/>
  <c r="N325" i="26" a="1"/>
  <c r="N325" i="26"/>
  <c r="L325" i="26" a="1"/>
  <c r="L325" i="26"/>
  <c r="J325" i="26" a="1"/>
  <c r="J325" i="26"/>
  <c r="I325" i="26" a="1"/>
  <c r="I325" i="26"/>
  <c r="H325" i="26" a="1"/>
  <c r="H325" i="26"/>
  <c r="G325" i="26" a="1"/>
  <c r="G325" i="26"/>
  <c r="F325" i="26" a="1"/>
  <c r="F325" i="26"/>
  <c r="C325" i="26"/>
  <c r="B325" i="26"/>
  <c r="A325" i="26"/>
  <c r="AG324" i="26" a="1"/>
  <c r="AG324" i="26"/>
  <c r="AE324" i="26" a="1"/>
  <c r="AE324" i="26"/>
  <c r="AD324" i="26" a="1"/>
  <c r="AD324" i="26"/>
  <c r="AB324" i="26" a="1"/>
  <c r="AB324" i="26"/>
  <c r="AA324" i="26" a="1"/>
  <c r="AA324" i="26"/>
  <c r="Z324" i="26" a="1"/>
  <c r="Z324" i="26"/>
  <c r="X324" i="26" a="1"/>
  <c r="X324" i="26"/>
  <c r="V324" i="26" a="1"/>
  <c r="V324" i="26"/>
  <c r="T324" i="26" a="1"/>
  <c r="T324" i="26"/>
  <c r="S324" i="26" a="1"/>
  <c r="S324" i="26"/>
  <c r="R324" i="26" a="1"/>
  <c r="R324" i="26"/>
  <c r="Q324" i="26" a="1"/>
  <c r="Q324" i="26"/>
  <c r="O324" i="26" a="1"/>
  <c r="O324" i="26"/>
  <c r="N324" i="26" a="1"/>
  <c r="N324" i="26"/>
  <c r="L324" i="26" a="1"/>
  <c r="L324" i="26"/>
  <c r="J324" i="26" a="1"/>
  <c r="J324" i="26"/>
  <c r="I324" i="26" a="1"/>
  <c r="I324" i="26"/>
  <c r="H324" i="26" a="1"/>
  <c r="H324" i="26"/>
  <c r="G324" i="26" a="1"/>
  <c r="G324" i="26"/>
  <c r="F324" i="26" a="1"/>
  <c r="F324" i="26"/>
  <c r="C324" i="26"/>
  <c r="B324" i="26"/>
  <c r="A324" i="26"/>
  <c r="AG323" i="26" a="1"/>
  <c r="AG323" i="26"/>
  <c r="AE323" i="26" a="1"/>
  <c r="AE323" i="26"/>
  <c r="AD323" i="26" a="1"/>
  <c r="AD323" i="26"/>
  <c r="AB323" i="26" a="1"/>
  <c r="AB323" i="26"/>
  <c r="AA323" i="26" a="1"/>
  <c r="AA323" i="26"/>
  <c r="Z323" i="26" a="1"/>
  <c r="Z323" i="26"/>
  <c r="X323" i="26" a="1"/>
  <c r="X323" i="26"/>
  <c r="V323" i="26" a="1"/>
  <c r="V323" i="26"/>
  <c r="T323" i="26" a="1"/>
  <c r="T323" i="26"/>
  <c r="S323" i="26" a="1"/>
  <c r="S323" i="26"/>
  <c r="R323" i="26" a="1"/>
  <c r="R323" i="26"/>
  <c r="Q323" i="26" a="1"/>
  <c r="Q323" i="26"/>
  <c r="O323" i="26" a="1"/>
  <c r="O323" i="26"/>
  <c r="N323" i="26" a="1"/>
  <c r="N323" i="26"/>
  <c r="L323" i="26" a="1"/>
  <c r="L323" i="26"/>
  <c r="J323" i="26" a="1"/>
  <c r="J323" i="26"/>
  <c r="I323" i="26" a="1"/>
  <c r="I323" i="26"/>
  <c r="H323" i="26" a="1"/>
  <c r="H323" i="26"/>
  <c r="G323" i="26" a="1"/>
  <c r="G323" i="26"/>
  <c r="F323" i="26" a="1"/>
  <c r="F323" i="26"/>
  <c r="C323" i="26"/>
  <c r="B323" i="26"/>
  <c r="A323" i="26"/>
  <c r="AG322" i="26" a="1"/>
  <c r="AG322" i="26"/>
  <c r="AE322" i="26" a="1"/>
  <c r="AE322" i="26"/>
  <c r="AD322" i="26" a="1"/>
  <c r="AD322" i="26"/>
  <c r="AB322" i="26" a="1"/>
  <c r="AB322" i="26"/>
  <c r="AA322" i="26" a="1"/>
  <c r="AA322" i="26"/>
  <c r="Z322" i="26" a="1"/>
  <c r="Z322" i="26"/>
  <c r="X322" i="26" a="1"/>
  <c r="X322" i="26"/>
  <c r="V322" i="26" a="1"/>
  <c r="V322" i="26"/>
  <c r="T322" i="26" a="1"/>
  <c r="T322" i="26"/>
  <c r="S322" i="26" a="1"/>
  <c r="S322" i="26"/>
  <c r="R322" i="26" a="1"/>
  <c r="R322" i="26"/>
  <c r="Q322" i="26" a="1"/>
  <c r="Q322" i="26"/>
  <c r="O322" i="26" a="1"/>
  <c r="O322" i="26"/>
  <c r="N322" i="26" a="1"/>
  <c r="N322" i="26"/>
  <c r="L322" i="26" a="1"/>
  <c r="L322" i="26"/>
  <c r="J322" i="26" a="1"/>
  <c r="J322" i="26"/>
  <c r="I322" i="26" a="1"/>
  <c r="I322" i="26"/>
  <c r="H322" i="26" a="1"/>
  <c r="H322" i="26"/>
  <c r="G322" i="26" a="1"/>
  <c r="G322" i="26"/>
  <c r="F322" i="26" a="1"/>
  <c r="F322" i="26"/>
  <c r="C322" i="26"/>
  <c r="B322" i="26"/>
  <c r="A322" i="26"/>
  <c r="AG321" i="26" a="1"/>
  <c r="AG321" i="26"/>
  <c r="AE321" i="26" a="1"/>
  <c r="AE321" i="26"/>
  <c r="AD321" i="26" a="1"/>
  <c r="AD321" i="26"/>
  <c r="AB321" i="26" a="1"/>
  <c r="AB321" i="26"/>
  <c r="AA321" i="26" a="1"/>
  <c r="AA321" i="26"/>
  <c r="Z321" i="26" a="1"/>
  <c r="Z321" i="26"/>
  <c r="X321" i="26" a="1"/>
  <c r="X321" i="26"/>
  <c r="V321" i="26" a="1"/>
  <c r="V321" i="26"/>
  <c r="T321" i="26" a="1"/>
  <c r="T321" i="26"/>
  <c r="S321" i="26" a="1"/>
  <c r="S321" i="26"/>
  <c r="R321" i="26" a="1"/>
  <c r="R321" i="26"/>
  <c r="Q321" i="26" a="1"/>
  <c r="Q321" i="26"/>
  <c r="O321" i="26" a="1"/>
  <c r="O321" i="26"/>
  <c r="N321" i="26" a="1"/>
  <c r="N321" i="26"/>
  <c r="L321" i="26" a="1"/>
  <c r="L321" i="26"/>
  <c r="J321" i="26" a="1"/>
  <c r="J321" i="26"/>
  <c r="I321" i="26" a="1"/>
  <c r="I321" i="26"/>
  <c r="H321" i="26" a="1"/>
  <c r="H321" i="26"/>
  <c r="G321" i="26" a="1"/>
  <c r="G321" i="26"/>
  <c r="F321" i="26" a="1"/>
  <c r="F321" i="26"/>
  <c r="C321" i="26"/>
  <c r="B321" i="26"/>
  <c r="A321" i="26"/>
  <c r="AG320" i="26" a="1"/>
  <c r="AG320" i="26"/>
  <c r="AE320" i="26" a="1"/>
  <c r="AE320" i="26"/>
  <c r="AD320" i="26" a="1"/>
  <c r="AD320" i="26"/>
  <c r="AB320" i="26" a="1"/>
  <c r="AB320" i="26"/>
  <c r="AA320" i="26" a="1"/>
  <c r="AA320" i="26"/>
  <c r="Z320" i="26" a="1"/>
  <c r="Z320" i="26"/>
  <c r="X320" i="26" a="1"/>
  <c r="X320" i="26"/>
  <c r="V320" i="26" a="1"/>
  <c r="V320" i="26"/>
  <c r="T320" i="26" a="1"/>
  <c r="T320" i="26"/>
  <c r="S320" i="26" a="1"/>
  <c r="S320" i="26"/>
  <c r="R320" i="26" a="1"/>
  <c r="R320" i="26"/>
  <c r="Q320" i="26" a="1"/>
  <c r="Q320" i="26"/>
  <c r="O320" i="26" a="1"/>
  <c r="O320" i="26"/>
  <c r="N320" i="26" a="1"/>
  <c r="N320" i="26"/>
  <c r="L320" i="26" a="1"/>
  <c r="L320" i="26"/>
  <c r="J320" i="26" a="1"/>
  <c r="J320" i="26"/>
  <c r="I320" i="26" a="1"/>
  <c r="I320" i="26"/>
  <c r="H320" i="26" a="1"/>
  <c r="H320" i="26"/>
  <c r="G320" i="26" a="1"/>
  <c r="G320" i="26"/>
  <c r="F320" i="26" a="1"/>
  <c r="F320" i="26"/>
  <c r="C320" i="26"/>
  <c r="B320" i="26"/>
  <c r="A320" i="26"/>
  <c r="AG319" i="26" a="1"/>
  <c r="AG319" i="26"/>
  <c r="AE319" i="26" a="1"/>
  <c r="AE319" i="26"/>
  <c r="AD319" i="26" a="1"/>
  <c r="AD319" i="26"/>
  <c r="AB319" i="26" a="1"/>
  <c r="AB319" i="26"/>
  <c r="AA319" i="26" a="1"/>
  <c r="AA319" i="26"/>
  <c r="Z319" i="26" a="1"/>
  <c r="Z319" i="26"/>
  <c r="X319" i="26" a="1"/>
  <c r="X319" i="26"/>
  <c r="V319" i="26" a="1"/>
  <c r="V319" i="26"/>
  <c r="T319" i="26" a="1"/>
  <c r="T319" i="26"/>
  <c r="S319" i="26" a="1"/>
  <c r="S319" i="26"/>
  <c r="R319" i="26" a="1"/>
  <c r="R319" i="26"/>
  <c r="Q319" i="26" a="1"/>
  <c r="Q319" i="26"/>
  <c r="O319" i="26" a="1"/>
  <c r="O319" i="26"/>
  <c r="N319" i="26" a="1"/>
  <c r="N319" i="26"/>
  <c r="L319" i="26" a="1"/>
  <c r="L319" i="26"/>
  <c r="J319" i="26" a="1"/>
  <c r="J319" i="26"/>
  <c r="I319" i="26" a="1"/>
  <c r="I319" i="26"/>
  <c r="H319" i="26" a="1"/>
  <c r="H319" i="26"/>
  <c r="G319" i="26" a="1"/>
  <c r="G319" i="26"/>
  <c r="F319" i="26" a="1"/>
  <c r="F319" i="26"/>
  <c r="C319" i="26"/>
  <c r="B319" i="26"/>
  <c r="A319" i="26"/>
  <c r="AG318" i="26" a="1"/>
  <c r="AG318" i="26"/>
  <c r="AE318" i="26" a="1"/>
  <c r="AE318" i="26"/>
  <c r="AD318" i="26" a="1"/>
  <c r="AD318" i="26"/>
  <c r="AB318" i="26" a="1"/>
  <c r="AB318" i="26"/>
  <c r="AA318" i="26" a="1"/>
  <c r="AA318" i="26"/>
  <c r="Z318" i="26" a="1"/>
  <c r="Z318" i="26"/>
  <c r="X318" i="26" a="1"/>
  <c r="X318" i="26"/>
  <c r="V318" i="26" a="1"/>
  <c r="V318" i="26"/>
  <c r="T318" i="26" a="1"/>
  <c r="T318" i="26"/>
  <c r="S318" i="26" a="1"/>
  <c r="S318" i="26"/>
  <c r="R318" i="26" a="1"/>
  <c r="R318" i="26"/>
  <c r="Q318" i="26" a="1"/>
  <c r="Q318" i="26"/>
  <c r="O318" i="26" a="1"/>
  <c r="O318" i="26"/>
  <c r="N318" i="26" a="1"/>
  <c r="N318" i="26"/>
  <c r="L318" i="26" a="1"/>
  <c r="L318" i="26"/>
  <c r="J318" i="26" a="1"/>
  <c r="J318" i="26"/>
  <c r="I318" i="26" a="1"/>
  <c r="I318" i="26"/>
  <c r="H318" i="26" a="1"/>
  <c r="H318" i="26"/>
  <c r="G318" i="26" a="1"/>
  <c r="G318" i="26"/>
  <c r="F318" i="26" a="1"/>
  <c r="F318" i="26"/>
  <c r="C318" i="26"/>
  <c r="B318" i="26"/>
  <c r="A318" i="26"/>
  <c r="AG317" i="26" a="1"/>
  <c r="AG317" i="26"/>
  <c r="AE317" i="26" a="1"/>
  <c r="AE317" i="26"/>
  <c r="AD317" i="26" a="1"/>
  <c r="AD317" i="26"/>
  <c r="AB317" i="26" a="1"/>
  <c r="AB317" i="26"/>
  <c r="AA317" i="26" a="1"/>
  <c r="AA317" i="26"/>
  <c r="Z317" i="26" a="1"/>
  <c r="Z317" i="26"/>
  <c r="X317" i="26" a="1"/>
  <c r="X317" i="26"/>
  <c r="V317" i="26" a="1"/>
  <c r="V317" i="26"/>
  <c r="T317" i="26" a="1"/>
  <c r="T317" i="26"/>
  <c r="S317" i="26" a="1"/>
  <c r="S317" i="26"/>
  <c r="R317" i="26" a="1"/>
  <c r="R317" i="26"/>
  <c r="Q317" i="26" a="1"/>
  <c r="Q317" i="26"/>
  <c r="O317" i="26" a="1"/>
  <c r="O317" i="26"/>
  <c r="N317" i="26" a="1"/>
  <c r="N317" i="26"/>
  <c r="L317" i="26" a="1"/>
  <c r="L317" i="26"/>
  <c r="J317" i="26" a="1"/>
  <c r="J317" i="26"/>
  <c r="I317" i="26" a="1"/>
  <c r="I317" i="26"/>
  <c r="H317" i="26" a="1"/>
  <c r="H317" i="26"/>
  <c r="G317" i="26" a="1"/>
  <c r="G317" i="26"/>
  <c r="F317" i="26" a="1"/>
  <c r="F317" i="26"/>
  <c r="C317" i="26"/>
  <c r="B317" i="26"/>
  <c r="A317" i="26"/>
  <c r="AG316" i="26" a="1"/>
  <c r="AG316" i="26"/>
  <c r="AE316" i="26" a="1"/>
  <c r="AE316" i="26"/>
  <c r="AD316" i="26" a="1"/>
  <c r="AD316" i="26"/>
  <c r="AB316" i="26" a="1"/>
  <c r="AB316" i="26"/>
  <c r="AA316" i="26" a="1"/>
  <c r="AA316" i="26"/>
  <c r="Z316" i="26" a="1"/>
  <c r="Z316" i="26"/>
  <c r="X316" i="26" a="1"/>
  <c r="X316" i="26"/>
  <c r="V316" i="26" a="1"/>
  <c r="V316" i="26"/>
  <c r="T316" i="26" a="1"/>
  <c r="T316" i="26"/>
  <c r="S316" i="26" a="1"/>
  <c r="S316" i="26"/>
  <c r="R316" i="26" a="1"/>
  <c r="R316" i="26"/>
  <c r="Q316" i="26" a="1"/>
  <c r="Q316" i="26"/>
  <c r="O316" i="26" a="1"/>
  <c r="O316" i="26"/>
  <c r="N316" i="26" a="1"/>
  <c r="N316" i="26"/>
  <c r="L316" i="26" a="1"/>
  <c r="L316" i="26"/>
  <c r="J316" i="26" a="1"/>
  <c r="J316" i="26"/>
  <c r="I316" i="26" a="1"/>
  <c r="I316" i="26"/>
  <c r="H316" i="26" a="1"/>
  <c r="H316" i="26"/>
  <c r="G316" i="26" a="1"/>
  <c r="G316" i="26"/>
  <c r="F316" i="26" a="1"/>
  <c r="F316" i="26"/>
  <c r="C316" i="26"/>
  <c r="B316" i="26"/>
  <c r="A316" i="26"/>
  <c r="AG315" i="26" a="1"/>
  <c r="AG315" i="26"/>
  <c r="AE315" i="26" a="1"/>
  <c r="AE315" i="26"/>
  <c r="AD315" i="26" a="1"/>
  <c r="AD315" i="26"/>
  <c r="AB315" i="26" a="1"/>
  <c r="AB315" i="26"/>
  <c r="AA315" i="26" a="1"/>
  <c r="AA315" i="26"/>
  <c r="Z315" i="26" a="1"/>
  <c r="Z315" i="26"/>
  <c r="X315" i="26" a="1"/>
  <c r="X315" i="26"/>
  <c r="V315" i="26" a="1"/>
  <c r="V315" i="26"/>
  <c r="T315" i="26" a="1"/>
  <c r="T315" i="26"/>
  <c r="S315" i="26" a="1"/>
  <c r="S315" i="26"/>
  <c r="R315" i="26" a="1"/>
  <c r="R315" i="26"/>
  <c r="Q315" i="26" a="1"/>
  <c r="Q315" i="26"/>
  <c r="O315" i="26" a="1"/>
  <c r="O315" i="26"/>
  <c r="N315" i="26" a="1"/>
  <c r="N315" i="26"/>
  <c r="L315" i="26" a="1"/>
  <c r="L315" i="26"/>
  <c r="J315" i="26" a="1"/>
  <c r="J315" i="26"/>
  <c r="I315" i="26" a="1"/>
  <c r="I315" i="26"/>
  <c r="H315" i="26" a="1"/>
  <c r="H315" i="26"/>
  <c r="G315" i="26" a="1"/>
  <c r="G315" i="26"/>
  <c r="F315" i="26" a="1"/>
  <c r="F315" i="26"/>
  <c r="C315" i="26"/>
  <c r="B315" i="26"/>
  <c r="A315" i="26"/>
  <c r="AG314" i="26" a="1"/>
  <c r="AG314" i="26"/>
  <c r="AE314" i="26" a="1"/>
  <c r="AE314" i="26"/>
  <c r="AD314" i="26" a="1"/>
  <c r="AD314" i="26"/>
  <c r="AB314" i="26" a="1"/>
  <c r="AB314" i="26"/>
  <c r="AA314" i="26" a="1"/>
  <c r="AA314" i="26"/>
  <c r="Z314" i="26" a="1"/>
  <c r="Z314" i="26"/>
  <c r="X314" i="26" a="1"/>
  <c r="X314" i="26"/>
  <c r="V314" i="26" a="1"/>
  <c r="V314" i="26"/>
  <c r="T314" i="26" a="1"/>
  <c r="T314" i="26"/>
  <c r="S314" i="26" a="1"/>
  <c r="S314" i="26"/>
  <c r="R314" i="26" a="1"/>
  <c r="R314" i="26"/>
  <c r="Q314" i="26" a="1"/>
  <c r="Q314" i="26"/>
  <c r="O314" i="26" a="1"/>
  <c r="O314" i="26"/>
  <c r="N314" i="26" a="1"/>
  <c r="N314" i="26"/>
  <c r="L314" i="26" a="1"/>
  <c r="L314" i="26"/>
  <c r="J314" i="26" a="1"/>
  <c r="J314" i="26"/>
  <c r="I314" i="26" a="1"/>
  <c r="I314" i="26"/>
  <c r="H314" i="26" a="1"/>
  <c r="H314" i="26"/>
  <c r="G314" i="26" a="1"/>
  <c r="G314" i="26"/>
  <c r="F314" i="26" a="1"/>
  <c r="F314" i="26"/>
  <c r="C314" i="26"/>
  <c r="B314" i="26"/>
  <c r="A314" i="26"/>
  <c r="AG313" i="26" a="1"/>
  <c r="AG313" i="26"/>
  <c r="AE313" i="26" a="1"/>
  <c r="AE313" i="26"/>
  <c r="AD313" i="26" a="1"/>
  <c r="AD313" i="26"/>
  <c r="AB313" i="26" a="1"/>
  <c r="AB313" i="26"/>
  <c r="AA313" i="26" a="1"/>
  <c r="AA313" i="26"/>
  <c r="Z313" i="26" a="1"/>
  <c r="Z313" i="26"/>
  <c r="X313" i="26" a="1"/>
  <c r="X313" i="26"/>
  <c r="V313" i="26" a="1"/>
  <c r="V313" i="26"/>
  <c r="T313" i="26" a="1"/>
  <c r="T313" i="26"/>
  <c r="S313" i="26" a="1"/>
  <c r="S313" i="26"/>
  <c r="R313" i="26" a="1"/>
  <c r="R313" i="26"/>
  <c r="Q313" i="26" a="1"/>
  <c r="Q313" i="26"/>
  <c r="O313" i="26" a="1"/>
  <c r="O313" i="26"/>
  <c r="N313" i="26" a="1"/>
  <c r="N313" i="26"/>
  <c r="L313" i="26" a="1"/>
  <c r="L313" i="26"/>
  <c r="J313" i="26" a="1"/>
  <c r="J313" i="26"/>
  <c r="I313" i="26" a="1"/>
  <c r="I313" i="26"/>
  <c r="H313" i="26" a="1"/>
  <c r="H313" i="26"/>
  <c r="G313" i="26" a="1"/>
  <c r="G313" i="26"/>
  <c r="F313" i="26" a="1"/>
  <c r="F313" i="26"/>
  <c r="C313" i="26"/>
  <c r="B313" i="26"/>
  <c r="A313" i="26"/>
  <c r="AG312" i="26" a="1"/>
  <c r="AG312" i="26"/>
  <c r="AE312" i="26" a="1"/>
  <c r="AE312" i="26"/>
  <c r="AD312" i="26" a="1"/>
  <c r="AD312" i="26"/>
  <c r="AB312" i="26" a="1"/>
  <c r="AB312" i="26"/>
  <c r="AA312" i="26" a="1"/>
  <c r="AA312" i="26"/>
  <c r="Z312" i="26" a="1"/>
  <c r="Z312" i="26"/>
  <c r="X312" i="26" a="1"/>
  <c r="X312" i="26"/>
  <c r="V312" i="26" a="1"/>
  <c r="V312" i="26"/>
  <c r="T312" i="26" a="1"/>
  <c r="T312" i="26"/>
  <c r="S312" i="26" a="1"/>
  <c r="S312" i="26"/>
  <c r="R312" i="26" a="1"/>
  <c r="R312" i="26"/>
  <c r="Q312" i="26" a="1"/>
  <c r="Q312" i="26"/>
  <c r="O312" i="26" a="1"/>
  <c r="O312" i="26"/>
  <c r="N312" i="26" a="1"/>
  <c r="N312" i="26"/>
  <c r="L312" i="26" a="1"/>
  <c r="L312" i="26"/>
  <c r="J312" i="26" a="1"/>
  <c r="J312" i="26"/>
  <c r="I312" i="26" a="1"/>
  <c r="I312" i="26"/>
  <c r="H312" i="26" a="1"/>
  <c r="H312" i="26"/>
  <c r="G312" i="26" a="1"/>
  <c r="G312" i="26"/>
  <c r="F312" i="26" a="1"/>
  <c r="F312" i="26"/>
  <c r="C312" i="26"/>
  <c r="B312" i="26"/>
  <c r="A312" i="26"/>
  <c r="AG311" i="26" a="1"/>
  <c r="AG311" i="26"/>
  <c r="AE311" i="26" a="1"/>
  <c r="AE311" i="26"/>
  <c r="AD311" i="26" a="1"/>
  <c r="AD311" i="26"/>
  <c r="AB311" i="26" a="1"/>
  <c r="AB311" i="26"/>
  <c r="AA311" i="26" a="1"/>
  <c r="AA311" i="26"/>
  <c r="Z311" i="26" a="1"/>
  <c r="Z311" i="26"/>
  <c r="X311" i="26" a="1"/>
  <c r="X311" i="26"/>
  <c r="V311" i="26" a="1"/>
  <c r="V311" i="26"/>
  <c r="T311" i="26" a="1"/>
  <c r="T311" i="26"/>
  <c r="S311" i="26" a="1"/>
  <c r="S311" i="26"/>
  <c r="R311" i="26" a="1"/>
  <c r="R311" i="26"/>
  <c r="Q311" i="26" a="1"/>
  <c r="Q311" i="26"/>
  <c r="O311" i="26" a="1"/>
  <c r="O311" i="26"/>
  <c r="N311" i="26" a="1"/>
  <c r="N311" i="26"/>
  <c r="L311" i="26" a="1"/>
  <c r="L311" i="26"/>
  <c r="J311" i="26" a="1"/>
  <c r="J311" i="26"/>
  <c r="I311" i="26" a="1"/>
  <c r="I311" i="26"/>
  <c r="H311" i="26" a="1"/>
  <c r="H311" i="26"/>
  <c r="G311" i="26" a="1"/>
  <c r="G311" i="26"/>
  <c r="F311" i="26" a="1"/>
  <c r="F311" i="26"/>
  <c r="C311" i="26"/>
  <c r="B311" i="26"/>
  <c r="A311" i="26"/>
  <c r="AG310" i="26" a="1"/>
  <c r="AG310" i="26"/>
  <c r="AE310" i="26" a="1"/>
  <c r="AE310" i="26"/>
  <c r="AD310" i="26" a="1"/>
  <c r="AD310" i="26"/>
  <c r="AB310" i="26" a="1"/>
  <c r="AB310" i="26"/>
  <c r="AA310" i="26" a="1"/>
  <c r="AA310" i="26"/>
  <c r="Z310" i="26" a="1"/>
  <c r="Z310" i="26"/>
  <c r="X310" i="26" a="1"/>
  <c r="X310" i="26"/>
  <c r="V310" i="26" a="1"/>
  <c r="V310" i="26"/>
  <c r="T310" i="26" a="1"/>
  <c r="T310" i="26"/>
  <c r="S310" i="26" a="1"/>
  <c r="S310" i="26"/>
  <c r="R310" i="26" a="1"/>
  <c r="R310" i="26"/>
  <c r="Q310" i="26" a="1"/>
  <c r="Q310" i="26"/>
  <c r="O310" i="26" a="1"/>
  <c r="O310" i="26"/>
  <c r="N310" i="26" a="1"/>
  <c r="N310" i="26"/>
  <c r="L310" i="26" a="1"/>
  <c r="L310" i="26"/>
  <c r="J310" i="26" a="1"/>
  <c r="J310" i="26"/>
  <c r="I310" i="26" a="1"/>
  <c r="I310" i="26"/>
  <c r="H310" i="26" a="1"/>
  <c r="H310" i="26"/>
  <c r="G310" i="26" a="1"/>
  <c r="G310" i="26"/>
  <c r="F310" i="26" a="1"/>
  <c r="F310" i="26"/>
  <c r="C310" i="26"/>
  <c r="B310" i="26"/>
  <c r="A310" i="26"/>
  <c r="AG309" i="26" a="1"/>
  <c r="AG309" i="26"/>
  <c r="AE309" i="26" a="1"/>
  <c r="AE309" i="26"/>
  <c r="AD309" i="26" a="1"/>
  <c r="AD309" i="26"/>
  <c r="AB309" i="26" a="1"/>
  <c r="AB309" i="26"/>
  <c r="AA309" i="26" a="1"/>
  <c r="AA309" i="26"/>
  <c r="Z309" i="26" a="1"/>
  <c r="Z309" i="26"/>
  <c r="X309" i="26" a="1"/>
  <c r="X309" i="26"/>
  <c r="V309" i="26" a="1"/>
  <c r="V309" i="26"/>
  <c r="T309" i="26" a="1"/>
  <c r="T309" i="26"/>
  <c r="S309" i="26" a="1"/>
  <c r="S309" i="26"/>
  <c r="R309" i="26" a="1"/>
  <c r="R309" i="26"/>
  <c r="Q309" i="26" a="1"/>
  <c r="Q309" i="26"/>
  <c r="O309" i="26" a="1"/>
  <c r="O309" i="26"/>
  <c r="N309" i="26" a="1"/>
  <c r="N309" i="26"/>
  <c r="L309" i="26" a="1"/>
  <c r="L309" i="26"/>
  <c r="J309" i="26" a="1"/>
  <c r="J309" i="26"/>
  <c r="I309" i="26" a="1"/>
  <c r="I309" i="26"/>
  <c r="H309" i="26" a="1"/>
  <c r="H309" i="26"/>
  <c r="G309" i="26" a="1"/>
  <c r="G309" i="26"/>
  <c r="F309" i="26" a="1"/>
  <c r="F309" i="26"/>
  <c r="C309" i="26"/>
  <c r="B309" i="26"/>
  <c r="A309" i="26"/>
  <c r="AG308" i="26" a="1"/>
  <c r="AG308" i="26"/>
  <c r="AE308" i="26" a="1"/>
  <c r="AE308" i="26"/>
  <c r="AD308" i="26" a="1"/>
  <c r="AD308" i="26"/>
  <c r="AB308" i="26" a="1"/>
  <c r="AB308" i="26"/>
  <c r="AA308" i="26" a="1"/>
  <c r="AA308" i="26"/>
  <c r="Z308" i="26" a="1"/>
  <c r="Z308" i="26"/>
  <c r="X308" i="26" a="1"/>
  <c r="X308" i="26"/>
  <c r="V308" i="26" a="1"/>
  <c r="V308" i="26"/>
  <c r="T308" i="26" a="1"/>
  <c r="T308" i="26"/>
  <c r="S308" i="26" a="1"/>
  <c r="S308" i="26"/>
  <c r="R308" i="26" a="1"/>
  <c r="R308" i="26"/>
  <c r="Q308" i="26" a="1"/>
  <c r="Q308" i="26"/>
  <c r="O308" i="26" a="1"/>
  <c r="O308" i="26"/>
  <c r="N308" i="26" a="1"/>
  <c r="N308" i="26"/>
  <c r="L308" i="26" a="1"/>
  <c r="L308" i="26"/>
  <c r="J308" i="26" a="1"/>
  <c r="J308" i="26"/>
  <c r="I308" i="26" a="1"/>
  <c r="I308" i="26"/>
  <c r="H308" i="26" a="1"/>
  <c r="H308" i="26"/>
  <c r="G308" i="26" a="1"/>
  <c r="G308" i="26"/>
  <c r="F308" i="26" a="1"/>
  <c r="F308" i="26"/>
  <c r="C308" i="26"/>
  <c r="B308" i="26"/>
  <c r="A308" i="26"/>
  <c r="AG307" i="26" a="1"/>
  <c r="AG307" i="26"/>
  <c r="AE307" i="26" a="1"/>
  <c r="AE307" i="26"/>
  <c r="AD307" i="26" a="1"/>
  <c r="AD307" i="26"/>
  <c r="AB307" i="26" a="1"/>
  <c r="AB307" i="26"/>
  <c r="AA307" i="26" a="1"/>
  <c r="AA307" i="26"/>
  <c r="Z307" i="26" a="1"/>
  <c r="Z307" i="26"/>
  <c r="X307" i="26" a="1"/>
  <c r="X307" i="26"/>
  <c r="V307" i="26" a="1"/>
  <c r="V307" i="26"/>
  <c r="T307" i="26" a="1"/>
  <c r="T307" i="26"/>
  <c r="S307" i="26" a="1"/>
  <c r="S307" i="26"/>
  <c r="R307" i="26" a="1"/>
  <c r="R307" i="26"/>
  <c r="Q307" i="26" a="1"/>
  <c r="Q307" i="26"/>
  <c r="O307" i="26" a="1"/>
  <c r="O307" i="26"/>
  <c r="N307" i="26" a="1"/>
  <c r="N307" i="26"/>
  <c r="L307" i="26" a="1"/>
  <c r="L307" i="26"/>
  <c r="J307" i="26" a="1"/>
  <c r="J307" i="26"/>
  <c r="I307" i="26" a="1"/>
  <c r="I307" i="26"/>
  <c r="H307" i="26" a="1"/>
  <c r="H307" i="26"/>
  <c r="G307" i="26" a="1"/>
  <c r="G307" i="26"/>
  <c r="F307" i="26" a="1"/>
  <c r="F307" i="26"/>
  <c r="C307" i="26"/>
  <c r="B307" i="26"/>
  <c r="A307" i="26"/>
  <c r="AG306" i="26" a="1"/>
  <c r="AG306" i="26"/>
  <c r="AE306" i="26" a="1"/>
  <c r="AE306" i="26"/>
  <c r="AD306" i="26" a="1"/>
  <c r="AD306" i="26"/>
  <c r="AB306" i="26" a="1"/>
  <c r="AB306" i="26"/>
  <c r="AA306" i="26" a="1"/>
  <c r="AA306" i="26"/>
  <c r="Z306" i="26" a="1"/>
  <c r="Z306" i="26"/>
  <c r="X306" i="26" a="1"/>
  <c r="X306" i="26"/>
  <c r="V306" i="26" a="1"/>
  <c r="V306" i="26"/>
  <c r="T306" i="26" a="1"/>
  <c r="T306" i="26"/>
  <c r="S306" i="26" a="1"/>
  <c r="S306" i="26"/>
  <c r="R306" i="26" a="1"/>
  <c r="R306" i="26"/>
  <c r="Q306" i="26" a="1"/>
  <c r="Q306" i="26"/>
  <c r="O306" i="26" a="1"/>
  <c r="O306" i="26"/>
  <c r="N306" i="26" a="1"/>
  <c r="N306" i="26"/>
  <c r="L306" i="26" a="1"/>
  <c r="L306" i="26"/>
  <c r="J306" i="26" a="1"/>
  <c r="J306" i="26"/>
  <c r="I306" i="26" a="1"/>
  <c r="I306" i="26"/>
  <c r="H306" i="26" a="1"/>
  <c r="H306" i="26"/>
  <c r="G306" i="26" a="1"/>
  <c r="G306" i="26"/>
  <c r="F306" i="26" a="1"/>
  <c r="F306" i="26"/>
  <c r="C306" i="26"/>
  <c r="B306" i="26"/>
  <c r="A306" i="26"/>
  <c r="AG305" i="26" a="1"/>
  <c r="AG305" i="26"/>
  <c r="AE305" i="26" a="1"/>
  <c r="AE305" i="26"/>
  <c r="AD305" i="26" a="1"/>
  <c r="AD305" i="26"/>
  <c r="AB305" i="26" a="1"/>
  <c r="AB305" i="26"/>
  <c r="AA305" i="26" a="1"/>
  <c r="AA305" i="26"/>
  <c r="Z305" i="26" a="1"/>
  <c r="Z305" i="26"/>
  <c r="X305" i="26" a="1"/>
  <c r="X305" i="26"/>
  <c r="V305" i="26" a="1"/>
  <c r="V305" i="26"/>
  <c r="T305" i="26" a="1"/>
  <c r="T305" i="26"/>
  <c r="S305" i="26" a="1"/>
  <c r="S305" i="26"/>
  <c r="R305" i="26" a="1"/>
  <c r="R305" i="26"/>
  <c r="Q305" i="26" a="1"/>
  <c r="Q305" i="26"/>
  <c r="O305" i="26" a="1"/>
  <c r="O305" i="26"/>
  <c r="N305" i="26" a="1"/>
  <c r="N305" i="26"/>
  <c r="L305" i="26" a="1"/>
  <c r="L305" i="26"/>
  <c r="J305" i="26" a="1"/>
  <c r="J305" i="26"/>
  <c r="I305" i="26" a="1"/>
  <c r="I305" i="26"/>
  <c r="H305" i="26" a="1"/>
  <c r="H305" i="26"/>
  <c r="G305" i="26" a="1"/>
  <c r="G305" i="26"/>
  <c r="F305" i="26" a="1"/>
  <c r="F305" i="26"/>
  <c r="C305" i="26"/>
  <c r="B305" i="26"/>
  <c r="A305" i="26"/>
  <c r="AG304" i="26" a="1"/>
  <c r="AG304" i="26"/>
  <c r="AE304" i="26" a="1"/>
  <c r="AE304" i="26"/>
  <c r="AD304" i="26" a="1"/>
  <c r="AD304" i="26"/>
  <c r="AB304" i="26" a="1"/>
  <c r="AB304" i="26"/>
  <c r="AA304" i="26" a="1"/>
  <c r="AA304" i="26"/>
  <c r="Z304" i="26" a="1"/>
  <c r="Z304" i="26"/>
  <c r="X304" i="26" a="1"/>
  <c r="X304" i="26"/>
  <c r="V304" i="26" a="1"/>
  <c r="V304" i="26"/>
  <c r="T304" i="26" a="1"/>
  <c r="T304" i="26"/>
  <c r="S304" i="26" a="1"/>
  <c r="S304" i="26"/>
  <c r="R304" i="26" a="1"/>
  <c r="R304" i="26"/>
  <c r="Q304" i="26" a="1"/>
  <c r="Q304" i="26"/>
  <c r="O304" i="26" a="1"/>
  <c r="O304" i="26"/>
  <c r="N304" i="26" a="1"/>
  <c r="N304" i="26"/>
  <c r="L304" i="26" a="1"/>
  <c r="L304" i="26"/>
  <c r="J304" i="26" a="1"/>
  <c r="J304" i="26"/>
  <c r="I304" i="26" a="1"/>
  <c r="I304" i="26"/>
  <c r="H304" i="26" a="1"/>
  <c r="H304" i="26"/>
  <c r="G304" i="26" a="1"/>
  <c r="G304" i="26"/>
  <c r="F304" i="26" a="1"/>
  <c r="F304" i="26"/>
  <c r="C304" i="26"/>
  <c r="B304" i="26"/>
  <c r="A304" i="26"/>
  <c r="AG303" i="26" a="1"/>
  <c r="AG303" i="26"/>
  <c r="AE303" i="26" a="1"/>
  <c r="AE303" i="26"/>
  <c r="AD303" i="26" a="1"/>
  <c r="AD303" i="26"/>
  <c r="AB303" i="26" a="1"/>
  <c r="AB303" i="26"/>
  <c r="AA303" i="26" a="1"/>
  <c r="AA303" i="26"/>
  <c r="Z303" i="26" a="1"/>
  <c r="Z303" i="26"/>
  <c r="X303" i="26" a="1"/>
  <c r="X303" i="26"/>
  <c r="V303" i="26" a="1"/>
  <c r="V303" i="26"/>
  <c r="T303" i="26" a="1"/>
  <c r="T303" i="26"/>
  <c r="S303" i="26" a="1"/>
  <c r="S303" i="26"/>
  <c r="R303" i="26" a="1"/>
  <c r="R303" i="26"/>
  <c r="Q303" i="26" a="1"/>
  <c r="Q303" i="26"/>
  <c r="O303" i="26" a="1"/>
  <c r="O303" i="26"/>
  <c r="N303" i="26" a="1"/>
  <c r="N303" i="26"/>
  <c r="L303" i="26" a="1"/>
  <c r="L303" i="26"/>
  <c r="J303" i="26" a="1"/>
  <c r="J303" i="26"/>
  <c r="I303" i="26" a="1"/>
  <c r="I303" i="26"/>
  <c r="H303" i="26" a="1"/>
  <c r="H303" i="26"/>
  <c r="G303" i="26" a="1"/>
  <c r="G303" i="26"/>
  <c r="F303" i="26" a="1"/>
  <c r="F303" i="26"/>
  <c r="C303" i="26"/>
  <c r="B303" i="26"/>
  <c r="A303" i="26"/>
  <c r="AG302" i="26" a="1"/>
  <c r="AG302" i="26"/>
  <c r="AE302" i="26" a="1"/>
  <c r="AE302" i="26"/>
  <c r="AD302" i="26" a="1"/>
  <c r="AD302" i="26"/>
  <c r="AB302" i="26" a="1"/>
  <c r="AB302" i="26"/>
  <c r="AA302" i="26" a="1"/>
  <c r="AA302" i="26"/>
  <c r="Z302" i="26" a="1"/>
  <c r="Z302" i="26"/>
  <c r="X302" i="26" a="1"/>
  <c r="X302" i="26"/>
  <c r="V302" i="26" a="1"/>
  <c r="V302" i="26"/>
  <c r="T302" i="26" a="1"/>
  <c r="T302" i="26"/>
  <c r="S302" i="26" a="1"/>
  <c r="S302" i="26"/>
  <c r="R302" i="26" a="1"/>
  <c r="R302" i="26"/>
  <c r="Q302" i="26" a="1"/>
  <c r="Q302" i="26"/>
  <c r="O302" i="26" a="1"/>
  <c r="O302" i="26"/>
  <c r="N302" i="26" a="1"/>
  <c r="N302" i="26"/>
  <c r="L302" i="26" a="1"/>
  <c r="L302" i="26"/>
  <c r="J302" i="26" a="1"/>
  <c r="J302" i="26"/>
  <c r="I302" i="26" a="1"/>
  <c r="I302" i="26"/>
  <c r="H302" i="26" a="1"/>
  <c r="H302" i="26"/>
  <c r="G302" i="26" a="1"/>
  <c r="G302" i="26"/>
  <c r="F302" i="26" a="1"/>
  <c r="F302" i="26"/>
  <c r="C302" i="26"/>
  <c r="B302" i="26"/>
  <c r="A302" i="26"/>
  <c r="AG301" i="26" a="1"/>
  <c r="AG301" i="26"/>
  <c r="AE301" i="26" a="1"/>
  <c r="AE301" i="26"/>
  <c r="AD301" i="26" a="1"/>
  <c r="AD301" i="26"/>
  <c r="AB301" i="26" a="1"/>
  <c r="AB301" i="26"/>
  <c r="AA301" i="26" a="1"/>
  <c r="AA301" i="26"/>
  <c r="Z301" i="26" a="1"/>
  <c r="Z301" i="26"/>
  <c r="X301" i="26" a="1"/>
  <c r="X301" i="26"/>
  <c r="V301" i="26" a="1"/>
  <c r="V301" i="26"/>
  <c r="T301" i="26" a="1"/>
  <c r="T301" i="26"/>
  <c r="S301" i="26" a="1"/>
  <c r="S301" i="26"/>
  <c r="R301" i="26" a="1"/>
  <c r="R301" i="26"/>
  <c r="Q301" i="26" a="1"/>
  <c r="Q301" i="26"/>
  <c r="O301" i="26" a="1"/>
  <c r="O301" i="26"/>
  <c r="N301" i="26" a="1"/>
  <c r="N301" i="26"/>
  <c r="L301" i="26" a="1"/>
  <c r="L301" i="26"/>
  <c r="J301" i="26" a="1"/>
  <c r="J301" i="26"/>
  <c r="I301" i="26" a="1"/>
  <c r="I301" i="26"/>
  <c r="H301" i="26" a="1"/>
  <c r="H301" i="26"/>
  <c r="G301" i="26" a="1"/>
  <c r="G301" i="26"/>
  <c r="F301" i="26" a="1"/>
  <c r="F301" i="26"/>
  <c r="C301" i="26"/>
  <c r="B301" i="26"/>
  <c r="A301" i="26"/>
  <c r="AG300" i="26" a="1"/>
  <c r="AG300" i="26"/>
  <c r="AE300" i="26" a="1"/>
  <c r="AE300" i="26"/>
  <c r="AD300" i="26" a="1"/>
  <c r="AD300" i="26"/>
  <c r="AB300" i="26" a="1"/>
  <c r="AB300" i="26"/>
  <c r="AA300" i="26" a="1"/>
  <c r="AA300" i="26"/>
  <c r="Z300" i="26" a="1"/>
  <c r="Z300" i="26"/>
  <c r="X300" i="26" a="1"/>
  <c r="X300" i="26"/>
  <c r="V300" i="26" a="1"/>
  <c r="V300" i="26"/>
  <c r="T300" i="26" a="1"/>
  <c r="T300" i="26"/>
  <c r="S300" i="26" a="1"/>
  <c r="S300" i="26"/>
  <c r="R300" i="26" a="1"/>
  <c r="R300" i="26"/>
  <c r="Q300" i="26" a="1"/>
  <c r="Q300" i="26"/>
  <c r="O300" i="26" a="1"/>
  <c r="O300" i="26"/>
  <c r="N300" i="26" a="1"/>
  <c r="N300" i="26"/>
  <c r="L300" i="26" a="1"/>
  <c r="L300" i="26"/>
  <c r="J300" i="26" a="1"/>
  <c r="J300" i="26"/>
  <c r="I300" i="26" a="1"/>
  <c r="I300" i="26"/>
  <c r="H300" i="26" a="1"/>
  <c r="H300" i="26"/>
  <c r="G300" i="26" a="1"/>
  <c r="G300" i="26"/>
  <c r="F300" i="26" a="1"/>
  <c r="F300" i="26"/>
  <c r="C300" i="26"/>
  <c r="B300" i="26"/>
  <c r="A300" i="26"/>
  <c r="AG299" i="26" a="1"/>
  <c r="AG299" i="26"/>
  <c r="AE299" i="26" a="1"/>
  <c r="AE299" i="26"/>
  <c r="AD299" i="26" a="1"/>
  <c r="AD299" i="26"/>
  <c r="AB299" i="26" a="1"/>
  <c r="AB299" i="26"/>
  <c r="AA299" i="26" a="1"/>
  <c r="AA299" i="26"/>
  <c r="Z299" i="26" a="1"/>
  <c r="Z299" i="26"/>
  <c r="X299" i="26" a="1"/>
  <c r="X299" i="26"/>
  <c r="V299" i="26" a="1"/>
  <c r="V299" i="26"/>
  <c r="T299" i="26" a="1"/>
  <c r="T299" i="26"/>
  <c r="S299" i="26" a="1"/>
  <c r="S299" i="26"/>
  <c r="R299" i="26" a="1"/>
  <c r="R299" i="26"/>
  <c r="Q299" i="26" a="1"/>
  <c r="Q299" i="26"/>
  <c r="O299" i="26" a="1"/>
  <c r="O299" i="26"/>
  <c r="N299" i="26" a="1"/>
  <c r="N299" i="26"/>
  <c r="L299" i="26" a="1"/>
  <c r="L299" i="26"/>
  <c r="J299" i="26" a="1"/>
  <c r="J299" i="26"/>
  <c r="I299" i="26" a="1"/>
  <c r="I299" i="26"/>
  <c r="H299" i="26" a="1"/>
  <c r="H299" i="26"/>
  <c r="G299" i="26" a="1"/>
  <c r="G299" i="26"/>
  <c r="F299" i="26" a="1"/>
  <c r="F299" i="26"/>
  <c r="C299" i="26"/>
  <c r="B299" i="26"/>
  <c r="A299" i="26"/>
  <c r="AG298" i="26" a="1"/>
  <c r="AG298" i="26"/>
  <c r="AE298" i="26" a="1"/>
  <c r="AE298" i="26"/>
  <c r="AD298" i="26" a="1"/>
  <c r="AD298" i="26"/>
  <c r="AB298" i="26" a="1"/>
  <c r="AB298" i="26"/>
  <c r="AA298" i="26" a="1"/>
  <c r="AA298" i="26"/>
  <c r="Z298" i="26" a="1"/>
  <c r="Z298" i="26"/>
  <c r="X298" i="26" a="1"/>
  <c r="X298" i="26"/>
  <c r="V298" i="26" a="1"/>
  <c r="V298" i="26"/>
  <c r="T298" i="26" a="1"/>
  <c r="T298" i="26"/>
  <c r="S298" i="26" a="1"/>
  <c r="S298" i="26"/>
  <c r="R298" i="26" a="1"/>
  <c r="R298" i="26"/>
  <c r="Q298" i="26" a="1"/>
  <c r="Q298" i="26"/>
  <c r="O298" i="26" a="1"/>
  <c r="O298" i="26"/>
  <c r="N298" i="26" a="1"/>
  <c r="N298" i="26"/>
  <c r="L298" i="26" a="1"/>
  <c r="L298" i="26"/>
  <c r="J298" i="26" a="1"/>
  <c r="J298" i="26"/>
  <c r="I298" i="26" a="1"/>
  <c r="I298" i="26"/>
  <c r="H298" i="26" a="1"/>
  <c r="H298" i="26"/>
  <c r="G298" i="26" a="1"/>
  <c r="G298" i="26"/>
  <c r="F298" i="26" a="1"/>
  <c r="F298" i="26"/>
  <c r="C298" i="26"/>
  <c r="B298" i="26"/>
  <c r="A298" i="26"/>
  <c r="AG297" i="26" a="1"/>
  <c r="AG297" i="26"/>
  <c r="AE297" i="26" a="1"/>
  <c r="AE297" i="26"/>
  <c r="AD297" i="26" a="1"/>
  <c r="AD297" i="26"/>
  <c r="AB297" i="26" a="1"/>
  <c r="AB297" i="26"/>
  <c r="AA297" i="26" a="1"/>
  <c r="AA297" i="26"/>
  <c r="Z297" i="26" a="1"/>
  <c r="Z297" i="26"/>
  <c r="X297" i="26" a="1"/>
  <c r="X297" i="26"/>
  <c r="V297" i="26" a="1"/>
  <c r="V297" i="26"/>
  <c r="T297" i="26" a="1"/>
  <c r="T297" i="26"/>
  <c r="S297" i="26" a="1"/>
  <c r="S297" i="26"/>
  <c r="R297" i="26" a="1"/>
  <c r="R297" i="26"/>
  <c r="Q297" i="26" a="1"/>
  <c r="Q297" i="26"/>
  <c r="O297" i="26" a="1"/>
  <c r="O297" i="26"/>
  <c r="N297" i="26" a="1"/>
  <c r="N297" i="26"/>
  <c r="L297" i="26" a="1"/>
  <c r="L297" i="26"/>
  <c r="J297" i="26" a="1"/>
  <c r="J297" i="26"/>
  <c r="I297" i="26" a="1"/>
  <c r="I297" i="26"/>
  <c r="H297" i="26" a="1"/>
  <c r="H297" i="26"/>
  <c r="G297" i="26" a="1"/>
  <c r="G297" i="26"/>
  <c r="F297" i="26" a="1"/>
  <c r="F297" i="26"/>
  <c r="C297" i="26"/>
  <c r="B297" i="26"/>
  <c r="A297" i="26"/>
  <c r="AG296" i="26" a="1"/>
  <c r="AG296" i="26"/>
  <c r="AE296" i="26" a="1"/>
  <c r="AE296" i="26"/>
  <c r="AD296" i="26" a="1"/>
  <c r="AD296" i="26"/>
  <c r="AB296" i="26" a="1"/>
  <c r="AB296" i="26"/>
  <c r="AA296" i="26" a="1"/>
  <c r="AA296" i="26"/>
  <c r="Z296" i="26" a="1"/>
  <c r="Z296" i="26"/>
  <c r="X296" i="26" a="1"/>
  <c r="X296" i="26"/>
  <c r="V296" i="26" a="1"/>
  <c r="V296" i="26"/>
  <c r="T296" i="26" a="1"/>
  <c r="T296" i="26"/>
  <c r="S296" i="26" a="1"/>
  <c r="S296" i="26"/>
  <c r="R296" i="26" a="1"/>
  <c r="R296" i="26"/>
  <c r="Q296" i="26" a="1"/>
  <c r="Q296" i="26"/>
  <c r="O296" i="26" a="1"/>
  <c r="O296" i="26"/>
  <c r="N296" i="26" a="1"/>
  <c r="N296" i="26"/>
  <c r="L296" i="26" a="1"/>
  <c r="L296" i="26"/>
  <c r="J296" i="26" a="1"/>
  <c r="J296" i="26"/>
  <c r="I296" i="26" a="1"/>
  <c r="I296" i="26"/>
  <c r="H296" i="26" a="1"/>
  <c r="H296" i="26"/>
  <c r="G296" i="26" a="1"/>
  <c r="G296" i="26"/>
  <c r="F296" i="26" a="1"/>
  <c r="F296" i="26"/>
  <c r="C296" i="26"/>
  <c r="B296" i="26"/>
  <c r="A296" i="26"/>
  <c r="AG295" i="26" a="1"/>
  <c r="AG295" i="26"/>
  <c r="AE295" i="26" a="1"/>
  <c r="AE295" i="26"/>
  <c r="AD295" i="26" a="1"/>
  <c r="AD295" i="26"/>
  <c r="AB295" i="26" a="1"/>
  <c r="AB295" i="26"/>
  <c r="AA295" i="26" a="1"/>
  <c r="AA295" i="26"/>
  <c r="Z295" i="26" a="1"/>
  <c r="Z295" i="26"/>
  <c r="X295" i="26" a="1"/>
  <c r="X295" i="26"/>
  <c r="V295" i="26" a="1"/>
  <c r="V295" i="26"/>
  <c r="T295" i="26" a="1"/>
  <c r="T295" i="26"/>
  <c r="S295" i="26" a="1"/>
  <c r="S295" i="26"/>
  <c r="R295" i="26" a="1"/>
  <c r="R295" i="26"/>
  <c r="Q295" i="26" a="1"/>
  <c r="Q295" i="26"/>
  <c r="O295" i="26" a="1"/>
  <c r="O295" i="26"/>
  <c r="N295" i="26" a="1"/>
  <c r="N295" i="26"/>
  <c r="L295" i="26" a="1"/>
  <c r="L295" i="26"/>
  <c r="J295" i="26" a="1"/>
  <c r="J295" i="26"/>
  <c r="I295" i="26" a="1"/>
  <c r="I295" i="26"/>
  <c r="H295" i="26" a="1"/>
  <c r="H295" i="26"/>
  <c r="G295" i="26" a="1"/>
  <c r="G295" i="26"/>
  <c r="F295" i="26" a="1"/>
  <c r="F295" i="26"/>
  <c r="C295" i="26"/>
  <c r="B295" i="26"/>
  <c r="A295" i="26"/>
  <c r="AG294" i="26" a="1"/>
  <c r="AG294" i="26"/>
  <c r="AE294" i="26" a="1"/>
  <c r="AE294" i="26"/>
  <c r="AD294" i="26" a="1"/>
  <c r="AD294" i="26"/>
  <c r="AB294" i="26" a="1"/>
  <c r="AB294" i="26"/>
  <c r="AA294" i="26" a="1"/>
  <c r="AA294" i="26"/>
  <c r="Z294" i="26" a="1"/>
  <c r="Z294" i="26"/>
  <c r="X294" i="26" a="1"/>
  <c r="X294" i="26"/>
  <c r="V294" i="26" a="1"/>
  <c r="V294" i="26"/>
  <c r="T294" i="26" a="1"/>
  <c r="T294" i="26"/>
  <c r="S294" i="26" a="1"/>
  <c r="S294" i="26"/>
  <c r="R294" i="26" a="1"/>
  <c r="R294" i="26"/>
  <c r="Q294" i="26" a="1"/>
  <c r="Q294" i="26"/>
  <c r="O294" i="26" a="1"/>
  <c r="O294" i="26"/>
  <c r="N294" i="26" a="1"/>
  <c r="N294" i="26"/>
  <c r="L294" i="26" a="1"/>
  <c r="L294" i="26"/>
  <c r="J294" i="26" a="1"/>
  <c r="J294" i="26"/>
  <c r="I294" i="26" a="1"/>
  <c r="I294" i="26"/>
  <c r="H294" i="26" a="1"/>
  <c r="H294" i="26"/>
  <c r="G294" i="26" a="1"/>
  <c r="G294" i="26"/>
  <c r="F294" i="26" a="1"/>
  <c r="F294" i="26"/>
  <c r="C294" i="26"/>
  <c r="B294" i="26"/>
  <c r="A294" i="26"/>
  <c r="AG293" i="26" a="1"/>
  <c r="AG293" i="26"/>
  <c r="AE293" i="26" a="1"/>
  <c r="AE293" i="26"/>
  <c r="AD293" i="26" a="1"/>
  <c r="AD293" i="26"/>
  <c r="AB293" i="26" a="1"/>
  <c r="AB293" i="26"/>
  <c r="AA293" i="26" a="1"/>
  <c r="AA293" i="26"/>
  <c r="Z293" i="26" a="1"/>
  <c r="Z293" i="26"/>
  <c r="X293" i="26" a="1"/>
  <c r="X293" i="26"/>
  <c r="V293" i="26" a="1"/>
  <c r="V293" i="26"/>
  <c r="T293" i="26" a="1"/>
  <c r="T293" i="26"/>
  <c r="S293" i="26" a="1"/>
  <c r="S293" i="26"/>
  <c r="R293" i="26" a="1"/>
  <c r="R293" i="26"/>
  <c r="Q293" i="26" a="1"/>
  <c r="Q293" i="26"/>
  <c r="O293" i="26" a="1"/>
  <c r="O293" i="26"/>
  <c r="N293" i="26" a="1"/>
  <c r="N293" i="26"/>
  <c r="L293" i="26" a="1"/>
  <c r="L293" i="26"/>
  <c r="J293" i="26" a="1"/>
  <c r="J293" i="26"/>
  <c r="I293" i="26" a="1"/>
  <c r="I293" i="26"/>
  <c r="H293" i="26" a="1"/>
  <c r="H293" i="26"/>
  <c r="G293" i="26" a="1"/>
  <c r="G293" i="26"/>
  <c r="F293" i="26" a="1"/>
  <c r="F293" i="26"/>
  <c r="C293" i="26"/>
  <c r="B293" i="26"/>
  <c r="A293" i="26"/>
  <c r="AG292" i="26" a="1"/>
  <c r="AG292" i="26"/>
  <c r="AE292" i="26" a="1"/>
  <c r="AE292" i="26"/>
  <c r="AD292" i="26" a="1"/>
  <c r="AD292" i="26"/>
  <c r="AB292" i="26" a="1"/>
  <c r="AB292" i="26"/>
  <c r="AA292" i="26" a="1"/>
  <c r="AA292" i="26"/>
  <c r="Z292" i="26" a="1"/>
  <c r="Z292" i="26"/>
  <c r="X292" i="26" a="1"/>
  <c r="X292" i="26"/>
  <c r="V292" i="26" a="1"/>
  <c r="V292" i="26"/>
  <c r="T292" i="26" a="1"/>
  <c r="T292" i="26"/>
  <c r="S292" i="26" a="1"/>
  <c r="S292" i="26"/>
  <c r="R292" i="26" a="1"/>
  <c r="R292" i="26"/>
  <c r="Q292" i="26" a="1"/>
  <c r="Q292" i="26"/>
  <c r="O292" i="26" a="1"/>
  <c r="O292" i="26"/>
  <c r="N292" i="26" a="1"/>
  <c r="N292" i="26"/>
  <c r="L292" i="26" a="1"/>
  <c r="L292" i="26"/>
  <c r="J292" i="26" a="1"/>
  <c r="J292" i="26"/>
  <c r="I292" i="26" a="1"/>
  <c r="I292" i="26"/>
  <c r="H292" i="26" a="1"/>
  <c r="H292" i="26"/>
  <c r="G292" i="26" a="1"/>
  <c r="G292" i="26"/>
  <c r="F292" i="26" a="1"/>
  <c r="F292" i="26"/>
  <c r="C292" i="26"/>
  <c r="B292" i="26"/>
  <c r="A292" i="26"/>
  <c r="AG291" i="26" a="1"/>
  <c r="AG291" i="26"/>
  <c r="AE291" i="26" a="1"/>
  <c r="AE291" i="26"/>
  <c r="AD291" i="26" a="1"/>
  <c r="AD291" i="26"/>
  <c r="AB291" i="26" a="1"/>
  <c r="AB291" i="26"/>
  <c r="AA291" i="26" a="1"/>
  <c r="AA291" i="26"/>
  <c r="Z291" i="26" a="1"/>
  <c r="Z291" i="26"/>
  <c r="X291" i="26" a="1"/>
  <c r="X291" i="26"/>
  <c r="V291" i="26" a="1"/>
  <c r="V291" i="26"/>
  <c r="T291" i="26" a="1"/>
  <c r="T291" i="26"/>
  <c r="S291" i="26" a="1"/>
  <c r="S291" i="26"/>
  <c r="R291" i="26" a="1"/>
  <c r="R291" i="26"/>
  <c r="Q291" i="26" a="1"/>
  <c r="Q291" i="26"/>
  <c r="O291" i="26" a="1"/>
  <c r="O291" i="26"/>
  <c r="N291" i="26" a="1"/>
  <c r="N291" i="26"/>
  <c r="L291" i="26" a="1"/>
  <c r="L291" i="26"/>
  <c r="J291" i="26" a="1"/>
  <c r="J291" i="26"/>
  <c r="I291" i="26" a="1"/>
  <c r="I291" i="26"/>
  <c r="H291" i="26" a="1"/>
  <c r="H291" i="26"/>
  <c r="G291" i="26" a="1"/>
  <c r="G291" i="26"/>
  <c r="F291" i="26" a="1"/>
  <c r="F291" i="26"/>
  <c r="C291" i="26"/>
  <c r="B291" i="26"/>
  <c r="A291" i="26"/>
  <c r="AG290" i="26" a="1"/>
  <c r="AG290" i="26"/>
  <c r="AE290" i="26" a="1"/>
  <c r="AE290" i="26"/>
  <c r="AD290" i="26" a="1"/>
  <c r="AD290" i="26"/>
  <c r="AB290" i="26" a="1"/>
  <c r="AB290" i="26"/>
  <c r="AA290" i="26" a="1"/>
  <c r="AA290" i="26"/>
  <c r="Z290" i="26" a="1"/>
  <c r="Z290" i="26"/>
  <c r="X290" i="26" a="1"/>
  <c r="X290" i="26"/>
  <c r="V290" i="26" a="1"/>
  <c r="V290" i="26"/>
  <c r="T290" i="26" a="1"/>
  <c r="T290" i="26"/>
  <c r="S290" i="26" a="1"/>
  <c r="S290" i="26"/>
  <c r="R290" i="26" a="1"/>
  <c r="R290" i="26"/>
  <c r="Q290" i="26" a="1"/>
  <c r="Q290" i="26"/>
  <c r="O290" i="26" a="1"/>
  <c r="O290" i="26"/>
  <c r="N290" i="26" a="1"/>
  <c r="N290" i="26"/>
  <c r="L290" i="26" a="1"/>
  <c r="L290" i="26"/>
  <c r="J290" i="26" a="1"/>
  <c r="J290" i="26"/>
  <c r="I290" i="26" a="1"/>
  <c r="I290" i="26"/>
  <c r="H290" i="26" a="1"/>
  <c r="H290" i="26"/>
  <c r="G290" i="26" a="1"/>
  <c r="G290" i="26"/>
  <c r="F290" i="26" a="1"/>
  <c r="F290" i="26"/>
  <c r="C290" i="26"/>
  <c r="B290" i="26"/>
  <c r="A290" i="26"/>
  <c r="AG289" i="26" a="1"/>
  <c r="AG289" i="26"/>
  <c r="AE289" i="26" a="1"/>
  <c r="AE289" i="26"/>
  <c r="AD289" i="26" a="1"/>
  <c r="AD289" i="26"/>
  <c r="AB289" i="26" a="1"/>
  <c r="AB289" i="26"/>
  <c r="AA289" i="26" a="1"/>
  <c r="AA289" i="26"/>
  <c r="Z289" i="26" a="1"/>
  <c r="Z289" i="26"/>
  <c r="X289" i="26" a="1"/>
  <c r="X289" i="26"/>
  <c r="V289" i="26" a="1"/>
  <c r="V289" i="26"/>
  <c r="T289" i="26" a="1"/>
  <c r="T289" i="26"/>
  <c r="S289" i="26" a="1"/>
  <c r="S289" i="26"/>
  <c r="R289" i="26" a="1"/>
  <c r="R289" i="26"/>
  <c r="Q289" i="26" a="1"/>
  <c r="Q289" i="26"/>
  <c r="O289" i="26" a="1"/>
  <c r="O289" i="26"/>
  <c r="N289" i="26" a="1"/>
  <c r="N289" i="26"/>
  <c r="L289" i="26" a="1"/>
  <c r="L289" i="26"/>
  <c r="J289" i="26" a="1"/>
  <c r="J289" i="26"/>
  <c r="I289" i="26" a="1"/>
  <c r="I289" i="26"/>
  <c r="H289" i="26" a="1"/>
  <c r="H289" i="26"/>
  <c r="G289" i="26" a="1"/>
  <c r="G289" i="26"/>
  <c r="F289" i="26" a="1"/>
  <c r="F289" i="26"/>
  <c r="C289" i="26"/>
  <c r="B289" i="26"/>
  <c r="A289" i="26"/>
  <c r="AG288" i="26" a="1"/>
  <c r="AG288" i="26"/>
  <c r="AE288" i="26" a="1"/>
  <c r="AE288" i="26"/>
  <c r="AD288" i="26" a="1"/>
  <c r="AD288" i="26"/>
  <c r="AB288" i="26" a="1"/>
  <c r="AB288" i="26"/>
  <c r="AA288" i="26" a="1"/>
  <c r="AA288" i="26"/>
  <c r="Z288" i="26" a="1"/>
  <c r="Z288" i="26"/>
  <c r="X288" i="26" a="1"/>
  <c r="X288" i="26"/>
  <c r="V288" i="26" a="1"/>
  <c r="V288" i="26"/>
  <c r="T288" i="26" a="1"/>
  <c r="T288" i="26"/>
  <c r="S288" i="26" a="1"/>
  <c r="S288" i="26"/>
  <c r="R288" i="26" a="1"/>
  <c r="R288" i="26"/>
  <c r="Q288" i="26" a="1"/>
  <c r="Q288" i="26"/>
  <c r="O288" i="26" a="1"/>
  <c r="O288" i="26"/>
  <c r="N288" i="26" a="1"/>
  <c r="N288" i="26"/>
  <c r="L288" i="26" a="1"/>
  <c r="L288" i="26"/>
  <c r="J288" i="26" a="1"/>
  <c r="J288" i="26"/>
  <c r="I288" i="26" a="1"/>
  <c r="I288" i="26"/>
  <c r="H288" i="26" a="1"/>
  <c r="H288" i="26"/>
  <c r="G288" i="26" a="1"/>
  <c r="G288" i="26"/>
  <c r="F288" i="26" a="1"/>
  <c r="F288" i="26"/>
  <c r="C288" i="26"/>
  <c r="B288" i="26"/>
  <c r="A288" i="26"/>
  <c r="AG287" i="26" a="1"/>
  <c r="AG287" i="26"/>
  <c r="AE287" i="26" a="1"/>
  <c r="AE287" i="26"/>
  <c r="AD287" i="26" a="1"/>
  <c r="AD287" i="26"/>
  <c r="AB287" i="26" a="1"/>
  <c r="AB287" i="26"/>
  <c r="AA287" i="26" a="1"/>
  <c r="AA287" i="26"/>
  <c r="Z287" i="26" a="1"/>
  <c r="Z287" i="26"/>
  <c r="X287" i="26" a="1"/>
  <c r="X287" i="26"/>
  <c r="V287" i="26" a="1"/>
  <c r="V287" i="26"/>
  <c r="T287" i="26" a="1"/>
  <c r="T287" i="26"/>
  <c r="S287" i="26" a="1"/>
  <c r="S287" i="26"/>
  <c r="R287" i="26" a="1"/>
  <c r="R287" i="26"/>
  <c r="Q287" i="26" a="1"/>
  <c r="Q287" i="26"/>
  <c r="O287" i="26" a="1"/>
  <c r="O287" i="26"/>
  <c r="N287" i="26" a="1"/>
  <c r="N287" i="26"/>
  <c r="L287" i="26" a="1"/>
  <c r="L287" i="26"/>
  <c r="J287" i="26" a="1"/>
  <c r="J287" i="26"/>
  <c r="I287" i="26" a="1"/>
  <c r="I287" i="26"/>
  <c r="H287" i="26" a="1"/>
  <c r="H287" i="26"/>
  <c r="G287" i="26" a="1"/>
  <c r="G287" i="26"/>
  <c r="F287" i="26" a="1"/>
  <c r="F287" i="26"/>
  <c r="C287" i="26"/>
  <c r="B287" i="26"/>
  <c r="A287" i="26"/>
  <c r="AG286" i="26" a="1"/>
  <c r="AG286" i="26"/>
  <c r="AE286" i="26" a="1"/>
  <c r="AE286" i="26"/>
  <c r="AD286" i="26" a="1"/>
  <c r="AD286" i="26"/>
  <c r="AB286" i="26" a="1"/>
  <c r="AB286" i="26"/>
  <c r="AA286" i="26" a="1"/>
  <c r="AA286" i="26"/>
  <c r="Z286" i="26" a="1"/>
  <c r="Z286" i="26"/>
  <c r="X286" i="26" a="1"/>
  <c r="X286" i="26"/>
  <c r="V286" i="26" a="1"/>
  <c r="V286" i="26"/>
  <c r="T286" i="26" a="1"/>
  <c r="T286" i="26"/>
  <c r="S286" i="26" a="1"/>
  <c r="S286" i="26"/>
  <c r="R286" i="26" a="1"/>
  <c r="R286" i="26"/>
  <c r="Q286" i="26" a="1"/>
  <c r="Q286" i="26"/>
  <c r="O286" i="26" a="1"/>
  <c r="O286" i="26"/>
  <c r="N286" i="26" a="1"/>
  <c r="N286" i="26"/>
  <c r="L286" i="26" a="1"/>
  <c r="L286" i="26"/>
  <c r="J286" i="26" a="1"/>
  <c r="J286" i="26"/>
  <c r="I286" i="26" a="1"/>
  <c r="I286" i="26"/>
  <c r="H286" i="26" a="1"/>
  <c r="H286" i="26"/>
  <c r="G286" i="26" a="1"/>
  <c r="G286" i="26"/>
  <c r="F286" i="26" a="1"/>
  <c r="F286" i="26"/>
  <c r="C286" i="26"/>
  <c r="B286" i="26"/>
  <c r="A286" i="26"/>
  <c r="AG285" i="26" a="1"/>
  <c r="AG285" i="26"/>
  <c r="AE285" i="26" a="1"/>
  <c r="AE285" i="26"/>
  <c r="AD285" i="26" a="1"/>
  <c r="AD285" i="26"/>
  <c r="AB285" i="26" a="1"/>
  <c r="AB285" i="26"/>
  <c r="AA285" i="26" a="1"/>
  <c r="AA285" i="26"/>
  <c r="Z285" i="26" a="1"/>
  <c r="Z285" i="26"/>
  <c r="X285" i="26" a="1"/>
  <c r="X285" i="26"/>
  <c r="V285" i="26" a="1"/>
  <c r="V285" i="26"/>
  <c r="T285" i="26" a="1"/>
  <c r="T285" i="26"/>
  <c r="S285" i="26" a="1"/>
  <c r="S285" i="26"/>
  <c r="R285" i="26" a="1"/>
  <c r="R285" i="26"/>
  <c r="Q285" i="26" a="1"/>
  <c r="Q285" i="26"/>
  <c r="O285" i="26" a="1"/>
  <c r="O285" i="26"/>
  <c r="N285" i="26" a="1"/>
  <c r="N285" i="26"/>
  <c r="L285" i="26" a="1"/>
  <c r="L285" i="26"/>
  <c r="J285" i="26" a="1"/>
  <c r="J285" i="26"/>
  <c r="I285" i="26" a="1"/>
  <c r="I285" i="26"/>
  <c r="H285" i="26" a="1"/>
  <c r="H285" i="26"/>
  <c r="G285" i="26" a="1"/>
  <c r="G285" i="26"/>
  <c r="F285" i="26" a="1"/>
  <c r="F285" i="26"/>
  <c r="C285" i="26"/>
  <c r="B285" i="26"/>
  <c r="A285" i="26"/>
  <c r="AG284" i="26" a="1"/>
  <c r="AG284" i="26"/>
  <c r="AE284" i="26" a="1"/>
  <c r="AE284" i="26"/>
  <c r="AD284" i="26" a="1"/>
  <c r="AD284" i="26"/>
  <c r="AB284" i="26" a="1"/>
  <c r="AB284" i="26"/>
  <c r="AA284" i="26" a="1"/>
  <c r="AA284" i="26"/>
  <c r="Z284" i="26" a="1"/>
  <c r="Z284" i="26"/>
  <c r="X284" i="26" a="1"/>
  <c r="X284" i="26"/>
  <c r="V284" i="26" a="1"/>
  <c r="V284" i="26"/>
  <c r="T284" i="26" a="1"/>
  <c r="T284" i="26"/>
  <c r="S284" i="26" a="1"/>
  <c r="S284" i="26"/>
  <c r="R284" i="26" a="1"/>
  <c r="R284" i="26"/>
  <c r="Q284" i="26" a="1"/>
  <c r="Q284" i="26"/>
  <c r="O284" i="26" a="1"/>
  <c r="O284" i="26"/>
  <c r="N284" i="26" a="1"/>
  <c r="N284" i="26"/>
  <c r="L284" i="26" a="1"/>
  <c r="L284" i="26"/>
  <c r="J284" i="26" a="1"/>
  <c r="J284" i="26"/>
  <c r="I284" i="26" a="1"/>
  <c r="I284" i="26"/>
  <c r="H284" i="26" a="1"/>
  <c r="H284" i="26"/>
  <c r="G284" i="26" a="1"/>
  <c r="G284" i="26"/>
  <c r="F284" i="26" a="1"/>
  <c r="F284" i="26"/>
  <c r="C284" i="26"/>
  <c r="B284" i="26"/>
  <c r="A284" i="26"/>
  <c r="AG283" i="26" a="1"/>
  <c r="AG283" i="26"/>
  <c r="AE283" i="26" a="1"/>
  <c r="AE283" i="26"/>
  <c r="AD283" i="26" a="1"/>
  <c r="AD283" i="26"/>
  <c r="AB283" i="26" a="1"/>
  <c r="AB283" i="26"/>
  <c r="AA283" i="26" a="1"/>
  <c r="AA283" i="26"/>
  <c r="Z283" i="26" a="1"/>
  <c r="Z283" i="26"/>
  <c r="X283" i="26" a="1"/>
  <c r="X283" i="26"/>
  <c r="V283" i="26" a="1"/>
  <c r="V283" i="26"/>
  <c r="T283" i="26" a="1"/>
  <c r="T283" i="26"/>
  <c r="S283" i="26" a="1"/>
  <c r="S283" i="26"/>
  <c r="R283" i="26" a="1"/>
  <c r="R283" i="26"/>
  <c r="Q283" i="26" a="1"/>
  <c r="Q283" i="26"/>
  <c r="O283" i="26" a="1"/>
  <c r="O283" i="26"/>
  <c r="N283" i="26" a="1"/>
  <c r="N283" i="26"/>
  <c r="L283" i="26" a="1"/>
  <c r="L283" i="26"/>
  <c r="J283" i="26" a="1"/>
  <c r="J283" i="26"/>
  <c r="I283" i="26" a="1"/>
  <c r="I283" i="26"/>
  <c r="H283" i="26" a="1"/>
  <c r="H283" i="26"/>
  <c r="G283" i="26" a="1"/>
  <c r="G283" i="26"/>
  <c r="F283" i="26" a="1"/>
  <c r="F283" i="26"/>
  <c r="C283" i="26"/>
  <c r="B283" i="26"/>
  <c r="A283" i="26"/>
  <c r="AG282" i="26" a="1"/>
  <c r="AG282" i="26"/>
  <c r="AE282" i="26" a="1"/>
  <c r="AE282" i="26"/>
  <c r="AD282" i="26" a="1"/>
  <c r="AD282" i="26"/>
  <c r="AB282" i="26" a="1"/>
  <c r="AB282" i="26"/>
  <c r="AA282" i="26" a="1"/>
  <c r="AA282" i="26"/>
  <c r="Z282" i="26" a="1"/>
  <c r="Z282" i="26"/>
  <c r="X282" i="26" a="1"/>
  <c r="X282" i="26"/>
  <c r="V282" i="26" a="1"/>
  <c r="V282" i="26"/>
  <c r="T282" i="26" a="1"/>
  <c r="T282" i="26"/>
  <c r="S282" i="26" a="1"/>
  <c r="S282" i="26"/>
  <c r="R282" i="26" a="1"/>
  <c r="R282" i="26"/>
  <c r="Q282" i="26" a="1"/>
  <c r="Q282" i="26"/>
  <c r="O282" i="26" a="1"/>
  <c r="O282" i="26"/>
  <c r="N282" i="26" a="1"/>
  <c r="N282" i="26"/>
  <c r="L282" i="26" a="1"/>
  <c r="L282" i="26"/>
  <c r="J282" i="26" a="1"/>
  <c r="J282" i="26"/>
  <c r="I282" i="26" a="1"/>
  <c r="I282" i="26"/>
  <c r="H282" i="26" a="1"/>
  <c r="H282" i="26"/>
  <c r="G282" i="26" a="1"/>
  <c r="G282" i="26"/>
  <c r="F282" i="26" a="1"/>
  <c r="F282" i="26"/>
  <c r="C282" i="26"/>
  <c r="B282" i="26"/>
  <c r="A282" i="26"/>
  <c r="AG281" i="26" a="1"/>
  <c r="AG281" i="26"/>
  <c r="AE281" i="26" a="1"/>
  <c r="AE281" i="26"/>
  <c r="AD281" i="26" a="1"/>
  <c r="AD281" i="26"/>
  <c r="AB281" i="26" a="1"/>
  <c r="AB281" i="26"/>
  <c r="AA281" i="26" a="1"/>
  <c r="AA281" i="26"/>
  <c r="Z281" i="26" a="1"/>
  <c r="Z281" i="26"/>
  <c r="X281" i="26" a="1"/>
  <c r="X281" i="26"/>
  <c r="V281" i="26" a="1"/>
  <c r="V281" i="26"/>
  <c r="T281" i="26" a="1"/>
  <c r="T281" i="26"/>
  <c r="S281" i="26" a="1"/>
  <c r="S281" i="26"/>
  <c r="R281" i="26" a="1"/>
  <c r="R281" i="26"/>
  <c r="Q281" i="26" a="1"/>
  <c r="Q281" i="26"/>
  <c r="O281" i="26" a="1"/>
  <c r="O281" i="26"/>
  <c r="N281" i="26" a="1"/>
  <c r="N281" i="26"/>
  <c r="L281" i="26" a="1"/>
  <c r="L281" i="26"/>
  <c r="J281" i="26" a="1"/>
  <c r="J281" i="26"/>
  <c r="I281" i="26" a="1"/>
  <c r="I281" i="26"/>
  <c r="H281" i="26" a="1"/>
  <c r="H281" i="26"/>
  <c r="G281" i="26" a="1"/>
  <c r="G281" i="26"/>
  <c r="F281" i="26" a="1"/>
  <c r="F281" i="26"/>
  <c r="C281" i="26"/>
  <c r="B281" i="26"/>
  <c r="A281" i="26"/>
  <c r="AG280" i="26" a="1"/>
  <c r="AG280" i="26"/>
  <c r="AE280" i="26" a="1"/>
  <c r="AE280" i="26"/>
  <c r="AD280" i="26" a="1"/>
  <c r="AD280" i="26"/>
  <c r="AB280" i="26" a="1"/>
  <c r="AB280" i="26"/>
  <c r="AA280" i="26" a="1"/>
  <c r="AA280" i="26"/>
  <c r="Z280" i="26" a="1"/>
  <c r="Z280" i="26"/>
  <c r="X280" i="26" a="1"/>
  <c r="X280" i="26"/>
  <c r="V280" i="26" a="1"/>
  <c r="V280" i="26"/>
  <c r="T280" i="26" a="1"/>
  <c r="T280" i="26"/>
  <c r="S280" i="26" a="1"/>
  <c r="S280" i="26"/>
  <c r="R280" i="26" a="1"/>
  <c r="R280" i="26"/>
  <c r="Q280" i="26" a="1"/>
  <c r="Q280" i="26"/>
  <c r="O280" i="26" a="1"/>
  <c r="O280" i="26"/>
  <c r="N280" i="26" a="1"/>
  <c r="N280" i="26"/>
  <c r="L280" i="26" a="1"/>
  <c r="L280" i="26"/>
  <c r="J280" i="26" a="1"/>
  <c r="J280" i="26"/>
  <c r="I280" i="26" a="1"/>
  <c r="I280" i="26"/>
  <c r="H280" i="26" a="1"/>
  <c r="H280" i="26"/>
  <c r="G280" i="26" a="1"/>
  <c r="G280" i="26"/>
  <c r="F280" i="26" a="1"/>
  <c r="F280" i="26"/>
  <c r="C280" i="26"/>
  <c r="B280" i="26"/>
  <c r="A280" i="26"/>
  <c r="AG279" i="26" a="1"/>
  <c r="AG279" i="26"/>
  <c r="AE279" i="26" a="1"/>
  <c r="AE279" i="26"/>
  <c r="AD279" i="26" a="1"/>
  <c r="AD279" i="26"/>
  <c r="AB279" i="26" a="1"/>
  <c r="AB279" i="26"/>
  <c r="AA279" i="26" a="1"/>
  <c r="AA279" i="26"/>
  <c r="Z279" i="26" a="1"/>
  <c r="Z279" i="26"/>
  <c r="X279" i="26" a="1"/>
  <c r="X279" i="26"/>
  <c r="V279" i="26" a="1"/>
  <c r="V279" i="26"/>
  <c r="T279" i="26" a="1"/>
  <c r="T279" i="26"/>
  <c r="S279" i="26" a="1"/>
  <c r="S279" i="26"/>
  <c r="R279" i="26" a="1"/>
  <c r="R279" i="26"/>
  <c r="Q279" i="26" a="1"/>
  <c r="Q279" i="26"/>
  <c r="O279" i="26" a="1"/>
  <c r="O279" i="26"/>
  <c r="N279" i="26" a="1"/>
  <c r="N279" i="26"/>
  <c r="L279" i="26" a="1"/>
  <c r="L279" i="26"/>
  <c r="J279" i="26" a="1"/>
  <c r="J279" i="26"/>
  <c r="I279" i="26" a="1"/>
  <c r="I279" i="26"/>
  <c r="H279" i="26" a="1"/>
  <c r="H279" i="26"/>
  <c r="G279" i="26" a="1"/>
  <c r="G279" i="26"/>
  <c r="F279" i="26" a="1"/>
  <c r="F279" i="26"/>
  <c r="C279" i="26"/>
  <c r="B279" i="26"/>
  <c r="A279" i="26"/>
  <c r="AG278" i="26" a="1"/>
  <c r="AG278" i="26"/>
  <c r="AE278" i="26" a="1"/>
  <c r="AE278" i="26"/>
  <c r="AD278" i="26" a="1"/>
  <c r="AD278" i="26"/>
  <c r="AB278" i="26" a="1"/>
  <c r="AB278" i="26"/>
  <c r="AA278" i="26" a="1"/>
  <c r="AA278" i="26"/>
  <c r="Z278" i="26" a="1"/>
  <c r="Z278" i="26"/>
  <c r="X278" i="26" a="1"/>
  <c r="X278" i="26"/>
  <c r="V278" i="26" a="1"/>
  <c r="V278" i="26"/>
  <c r="T278" i="26" a="1"/>
  <c r="T278" i="26"/>
  <c r="S278" i="26" a="1"/>
  <c r="S278" i="26"/>
  <c r="R278" i="26" a="1"/>
  <c r="R278" i="26"/>
  <c r="Q278" i="26" a="1"/>
  <c r="Q278" i="26"/>
  <c r="O278" i="26" a="1"/>
  <c r="O278" i="26"/>
  <c r="N278" i="26" a="1"/>
  <c r="N278" i="26"/>
  <c r="L278" i="26" a="1"/>
  <c r="L278" i="26"/>
  <c r="J278" i="26" a="1"/>
  <c r="J278" i="26"/>
  <c r="I278" i="26" a="1"/>
  <c r="I278" i="26"/>
  <c r="H278" i="26" a="1"/>
  <c r="H278" i="26"/>
  <c r="G278" i="26" a="1"/>
  <c r="G278" i="26"/>
  <c r="F278" i="26" a="1"/>
  <c r="F278" i="26"/>
  <c r="C278" i="26"/>
  <c r="B278" i="26"/>
  <c r="A278" i="26"/>
  <c r="AG277" i="26" a="1"/>
  <c r="AG277" i="26"/>
  <c r="AE277" i="26" a="1"/>
  <c r="AE277" i="26"/>
  <c r="AD277" i="26" a="1"/>
  <c r="AD277" i="26"/>
  <c r="AB277" i="26" a="1"/>
  <c r="AB277" i="26"/>
  <c r="AA277" i="26" a="1"/>
  <c r="AA277" i="26"/>
  <c r="Z277" i="26" a="1"/>
  <c r="Z277" i="26"/>
  <c r="X277" i="26" a="1"/>
  <c r="X277" i="26"/>
  <c r="V277" i="26" a="1"/>
  <c r="V277" i="26"/>
  <c r="T277" i="26" a="1"/>
  <c r="T277" i="26"/>
  <c r="S277" i="26" a="1"/>
  <c r="S277" i="26"/>
  <c r="R277" i="26" a="1"/>
  <c r="R277" i="26"/>
  <c r="Q277" i="26" a="1"/>
  <c r="Q277" i="26"/>
  <c r="O277" i="26" a="1"/>
  <c r="O277" i="26"/>
  <c r="N277" i="26" a="1"/>
  <c r="N277" i="26"/>
  <c r="L277" i="26" a="1"/>
  <c r="L277" i="26"/>
  <c r="J277" i="26" a="1"/>
  <c r="J277" i="26"/>
  <c r="I277" i="26" a="1"/>
  <c r="I277" i="26"/>
  <c r="H277" i="26" a="1"/>
  <c r="H277" i="26"/>
  <c r="G277" i="26" a="1"/>
  <c r="G277" i="26"/>
  <c r="F277" i="26" a="1"/>
  <c r="F277" i="26"/>
  <c r="C277" i="26"/>
  <c r="B277" i="26"/>
  <c r="A277" i="26"/>
  <c r="AG276" i="26" a="1"/>
  <c r="AG276" i="26"/>
  <c r="AE276" i="26" a="1"/>
  <c r="AE276" i="26"/>
  <c r="AD276" i="26" a="1"/>
  <c r="AD276" i="26"/>
  <c r="AB276" i="26" a="1"/>
  <c r="AB276" i="26"/>
  <c r="AA276" i="26" a="1"/>
  <c r="AA276" i="26"/>
  <c r="Z276" i="26" a="1"/>
  <c r="Z276" i="26"/>
  <c r="X276" i="26" a="1"/>
  <c r="X276" i="26"/>
  <c r="V276" i="26" a="1"/>
  <c r="V276" i="26"/>
  <c r="T276" i="26" a="1"/>
  <c r="T276" i="26"/>
  <c r="S276" i="26" a="1"/>
  <c r="S276" i="26"/>
  <c r="R276" i="26" a="1"/>
  <c r="R276" i="26"/>
  <c r="Q276" i="26" a="1"/>
  <c r="Q276" i="26"/>
  <c r="O276" i="26" a="1"/>
  <c r="O276" i="26"/>
  <c r="N276" i="26" a="1"/>
  <c r="N276" i="26"/>
  <c r="L276" i="26" a="1"/>
  <c r="L276" i="26"/>
  <c r="J276" i="26" a="1"/>
  <c r="J276" i="26"/>
  <c r="I276" i="26" a="1"/>
  <c r="I276" i="26"/>
  <c r="H276" i="26" a="1"/>
  <c r="H276" i="26"/>
  <c r="G276" i="26" a="1"/>
  <c r="G276" i="26"/>
  <c r="F276" i="26" a="1"/>
  <c r="F276" i="26"/>
  <c r="C276" i="26"/>
  <c r="B276" i="26"/>
  <c r="A276" i="26"/>
  <c r="AG275" i="26" a="1"/>
  <c r="AG275" i="26"/>
  <c r="AE275" i="26" a="1"/>
  <c r="AE275" i="26"/>
  <c r="AD275" i="26" a="1"/>
  <c r="AD275" i="26"/>
  <c r="AB275" i="26" a="1"/>
  <c r="AB275" i="26"/>
  <c r="AA275" i="26" a="1"/>
  <c r="AA275" i="26"/>
  <c r="Z275" i="26" a="1"/>
  <c r="Z275" i="26"/>
  <c r="X275" i="26" a="1"/>
  <c r="X275" i="26"/>
  <c r="V275" i="26" a="1"/>
  <c r="V275" i="26"/>
  <c r="T275" i="26" a="1"/>
  <c r="T275" i="26"/>
  <c r="S275" i="26" a="1"/>
  <c r="S275" i="26"/>
  <c r="R275" i="26" a="1"/>
  <c r="R275" i="26"/>
  <c r="Q275" i="26" a="1"/>
  <c r="Q275" i="26"/>
  <c r="O275" i="26" a="1"/>
  <c r="O275" i="26"/>
  <c r="N275" i="26" a="1"/>
  <c r="N275" i="26"/>
  <c r="L275" i="26" a="1"/>
  <c r="L275" i="26"/>
  <c r="J275" i="26" a="1"/>
  <c r="J275" i="26"/>
  <c r="I275" i="26" a="1"/>
  <c r="I275" i="26"/>
  <c r="H275" i="26" a="1"/>
  <c r="H275" i="26"/>
  <c r="G275" i="26" a="1"/>
  <c r="G275" i="26"/>
  <c r="F275" i="26" a="1"/>
  <c r="F275" i="26"/>
  <c r="C275" i="26"/>
  <c r="B275" i="26"/>
  <c r="A275" i="26"/>
  <c r="AG274" i="26" a="1"/>
  <c r="AG274" i="26"/>
  <c r="AE274" i="26" a="1"/>
  <c r="AE274" i="26"/>
  <c r="AD274" i="26" a="1"/>
  <c r="AD274" i="26"/>
  <c r="AB274" i="26" a="1"/>
  <c r="AB274" i="26"/>
  <c r="AA274" i="26" a="1"/>
  <c r="AA274" i="26"/>
  <c r="Z274" i="26" a="1"/>
  <c r="Z274" i="26"/>
  <c r="X274" i="26" a="1"/>
  <c r="X274" i="26"/>
  <c r="V274" i="26" a="1"/>
  <c r="V274" i="26"/>
  <c r="T274" i="26" a="1"/>
  <c r="T274" i="26"/>
  <c r="S274" i="26" a="1"/>
  <c r="S274" i="26"/>
  <c r="R274" i="26" a="1"/>
  <c r="R274" i="26"/>
  <c r="Q274" i="26" a="1"/>
  <c r="Q274" i="26"/>
  <c r="O274" i="26" a="1"/>
  <c r="O274" i="26"/>
  <c r="N274" i="26" a="1"/>
  <c r="N274" i="26"/>
  <c r="L274" i="26" a="1"/>
  <c r="L274" i="26"/>
  <c r="J274" i="26" a="1"/>
  <c r="J274" i="26"/>
  <c r="I274" i="26" a="1"/>
  <c r="I274" i="26"/>
  <c r="H274" i="26" a="1"/>
  <c r="H274" i="26"/>
  <c r="G274" i="26" a="1"/>
  <c r="G274" i="26"/>
  <c r="F274" i="26" a="1"/>
  <c r="F274" i="26"/>
  <c r="C274" i="26"/>
  <c r="B274" i="26"/>
  <c r="A274" i="26"/>
  <c r="AG273" i="26" a="1"/>
  <c r="AG273" i="26"/>
  <c r="AE273" i="26" a="1"/>
  <c r="AE273" i="26"/>
  <c r="AD273" i="26" a="1"/>
  <c r="AD273" i="26"/>
  <c r="AB273" i="26" a="1"/>
  <c r="AB273" i="26"/>
  <c r="AA273" i="26" a="1"/>
  <c r="AA273" i="26"/>
  <c r="Z273" i="26" a="1"/>
  <c r="Z273" i="26"/>
  <c r="X273" i="26" a="1"/>
  <c r="X273" i="26"/>
  <c r="V273" i="26" a="1"/>
  <c r="V273" i="26"/>
  <c r="T273" i="26" a="1"/>
  <c r="T273" i="26"/>
  <c r="S273" i="26" a="1"/>
  <c r="S273" i="26"/>
  <c r="R273" i="26" a="1"/>
  <c r="R273" i="26"/>
  <c r="Q273" i="26" a="1"/>
  <c r="Q273" i="26"/>
  <c r="O273" i="26" a="1"/>
  <c r="O273" i="26"/>
  <c r="N273" i="26" a="1"/>
  <c r="N273" i="26"/>
  <c r="L273" i="26" a="1"/>
  <c r="L273" i="26"/>
  <c r="J273" i="26" a="1"/>
  <c r="J273" i="26"/>
  <c r="I273" i="26" a="1"/>
  <c r="I273" i="26"/>
  <c r="H273" i="26" a="1"/>
  <c r="H273" i="26"/>
  <c r="G273" i="26" a="1"/>
  <c r="G273" i="26"/>
  <c r="F273" i="26" a="1"/>
  <c r="F273" i="26"/>
  <c r="C273" i="26"/>
  <c r="B273" i="26"/>
  <c r="A273" i="26"/>
  <c r="AG272" i="26" a="1"/>
  <c r="AG272" i="26"/>
  <c r="AE272" i="26" a="1"/>
  <c r="AE272" i="26"/>
  <c r="AD272" i="26" a="1"/>
  <c r="AD272" i="26"/>
  <c r="AB272" i="26" a="1"/>
  <c r="AB272" i="26"/>
  <c r="AA272" i="26" a="1"/>
  <c r="AA272" i="26"/>
  <c r="Z272" i="26" a="1"/>
  <c r="Z272" i="26"/>
  <c r="X272" i="26" a="1"/>
  <c r="X272" i="26"/>
  <c r="V272" i="26" a="1"/>
  <c r="V272" i="26"/>
  <c r="T272" i="26" a="1"/>
  <c r="T272" i="26"/>
  <c r="S272" i="26" a="1"/>
  <c r="S272" i="26"/>
  <c r="R272" i="26" a="1"/>
  <c r="R272" i="26"/>
  <c r="Q272" i="26" a="1"/>
  <c r="Q272" i="26"/>
  <c r="O272" i="26" a="1"/>
  <c r="O272" i="26"/>
  <c r="N272" i="26" a="1"/>
  <c r="N272" i="26"/>
  <c r="L272" i="26" a="1"/>
  <c r="L272" i="26"/>
  <c r="J272" i="26" a="1"/>
  <c r="J272" i="26"/>
  <c r="I272" i="26" a="1"/>
  <c r="I272" i="26"/>
  <c r="H272" i="26" a="1"/>
  <c r="H272" i="26"/>
  <c r="G272" i="26" a="1"/>
  <c r="G272" i="26"/>
  <c r="F272" i="26" a="1"/>
  <c r="F272" i="26"/>
  <c r="C272" i="26"/>
  <c r="B272" i="26"/>
  <c r="A272" i="26"/>
  <c r="AG271" i="26" a="1"/>
  <c r="AG271" i="26"/>
  <c r="AE271" i="26" a="1"/>
  <c r="AE271" i="26"/>
  <c r="AD271" i="26" a="1"/>
  <c r="AD271" i="26"/>
  <c r="AB271" i="26" a="1"/>
  <c r="AB271" i="26"/>
  <c r="AA271" i="26" a="1"/>
  <c r="AA271" i="26"/>
  <c r="Z271" i="26" a="1"/>
  <c r="Z271" i="26"/>
  <c r="X271" i="26" a="1"/>
  <c r="X271" i="26"/>
  <c r="V271" i="26" a="1"/>
  <c r="V271" i="26"/>
  <c r="T271" i="26" a="1"/>
  <c r="T271" i="26"/>
  <c r="S271" i="26" a="1"/>
  <c r="S271" i="26"/>
  <c r="R271" i="26" a="1"/>
  <c r="R271" i="26"/>
  <c r="Q271" i="26" a="1"/>
  <c r="Q271" i="26"/>
  <c r="O271" i="26" a="1"/>
  <c r="O271" i="26"/>
  <c r="N271" i="26" a="1"/>
  <c r="N271" i="26"/>
  <c r="L271" i="26" a="1"/>
  <c r="L271" i="26"/>
  <c r="J271" i="26" a="1"/>
  <c r="J271" i="26"/>
  <c r="I271" i="26" a="1"/>
  <c r="I271" i="26"/>
  <c r="H271" i="26" a="1"/>
  <c r="H271" i="26"/>
  <c r="G271" i="26" a="1"/>
  <c r="G271" i="26"/>
  <c r="F271" i="26" a="1"/>
  <c r="F271" i="26"/>
  <c r="C271" i="26"/>
  <c r="B271" i="26"/>
  <c r="A271" i="26"/>
  <c r="AG270" i="26" a="1"/>
  <c r="AG270" i="26"/>
  <c r="AE270" i="26" a="1"/>
  <c r="AE270" i="26"/>
  <c r="AD270" i="26" a="1"/>
  <c r="AD270" i="26"/>
  <c r="AB270" i="26" a="1"/>
  <c r="AB270" i="26"/>
  <c r="AA270" i="26" a="1"/>
  <c r="AA270" i="26"/>
  <c r="Z270" i="26" a="1"/>
  <c r="Z270" i="26"/>
  <c r="X270" i="26" a="1"/>
  <c r="X270" i="26"/>
  <c r="V270" i="26" a="1"/>
  <c r="V270" i="26"/>
  <c r="T270" i="26" a="1"/>
  <c r="T270" i="26"/>
  <c r="S270" i="26" a="1"/>
  <c r="S270" i="26"/>
  <c r="R270" i="26" a="1"/>
  <c r="R270" i="26"/>
  <c r="Q270" i="26" a="1"/>
  <c r="Q270" i="26"/>
  <c r="O270" i="26" a="1"/>
  <c r="O270" i="26"/>
  <c r="N270" i="26" a="1"/>
  <c r="N270" i="26"/>
  <c r="L270" i="26" a="1"/>
  <c r="L270" i="26"/>
  <c r="J270" i="26" a="1"/>
  <c r="J270" i="26"/>
  <c r="I270" i="26" a="1"/>
  <c r="I270" i="26"/>
  <c r="H270" i="26" a="1"/>
  <c r="H270" i="26"/>
  <c r="G270" i="26" a="1"/>
  <c r="G270" i="26"/>
  <c r="F270" i="26" a="1"/>
  <c r="F270" i="26"/>
  <c r="C270" i="26"/>
  <c r="B270" i="26"/>
  <c r="A270" i="26"/>
  <c r="AG269" i="26" a="1"/>
  <c r="AG269" i="26"/>
  <c r="AE269" i="26" a="1"/>
  <c r="AE269" i="26"/>
  <c r="AD269" i="26" a="1"/>
  <c r="AD269" i="26"/>
  <c r="AB269" i="26" a="1"/>
  <c r="AB269" i="26"/>
  <c r="AA269" i="26" a="1"/>
  <c r="AA269" i="26"/>
  <c r="Z269" i="26" a="1"/>
  <c r="Z269" i="26"/>
  <c r="X269" i="26" a="1"/>
  <c r="X269" i="26"/>
  <c r="V269" i="26" a="1"/>
  <c r="V269" i="26"/>
  <c r="T269" i="26" a="1"/>
  <c r="T269" i="26"/>
  <c r="S269" i="26" a="1"/>
  <c r="S269" i="26"/>
  <c r="R269" i="26" a="1"/>
  <c r="R269" i="26"/>
  <c r="Q269" i="26" a="1"/>
  <c r="Q269" i="26"/>
  <c r="O269" i="26" a="1"/>
  <c r="O269" i="26"/>
  <c r="N269" i="26" a="1"/>
  <c r="N269" i="26"/>
  <c r="L269" i="26" a="1"/>
  <c r="L269" i="26"/>
  <c r="J269" i="26" a="1"/>
  <c r="J269" i="26"/>
  <c r="I269" i="26" a="1"/>
  <c r="I269" i="26"/>
  <c r="H269" i="26" a="1"/>
  <c r="H269" i="26"/>
  <c r="G269" i="26" a="1"/>
  <c r="G269" i="26"/>
  <c r="F269" i="26" a="1"/>
  <c r="F269" i="26"/>
  <c r="C269" i="26"/>
  <c r="B269" i="26"/>
  <c r="A269" i="26"/>
  <c r="AG268" i="26" a="1"/>
  <c r="AG268" i="26"/>
  <c r="AE268" i="26" a="1"/>
  <c r="AE268" i="26"/>
  <c r="AD268" i="26" a="1"/>
  <c r="AD268" i="26"/>
  <c r="AB268" i="26" a="1"/>
  <c r="AB268" i="26"/>
  <c r="AA268" i="26" a="1"/>
  <c r="AA268" i="26"/>
  <c r="Z268" i="26" a="1"/>
  <c r="Z268" i="26"/>
  <c r="X268" i="26" a="1"/>
  <c r="X268" i="26"/>
  <c r="V268" i="26" a="1"/>
  <c r="V268" i="26"/>
  <c r="T268" i="26" a="1"/>
  <c r="T268" i="26"/>
  <c r="S268" i="26" a="1"/>
  <c r="S268" i="26"/>
  <c r="R268" i="26" a="1"/>
  <c r="R268" i="26"/>
  <c r="Q268" i="26" a="1"/>
  <c r="Q268" i="26"/>
  <c r="O268" i="26" a="1"/>
  <c r="O268" i="26"/>
  <c r="N268" i="26" a="1"/>
  <c r="N268" i="26"/>
  <c r="L268" i="26" a="1"/>
  <c r="L268" i="26"/>
  <c r="J268" i="26" a="1"/>
  <c r="J268" i="26"/>
  <c r="I268" i="26" a="1"/>
  <c r="I268" i="26"/>
  <c r="H268" i="26" a="1"/>
  <c r="H268" i="26"/>
  <c r="G268" i="26" a="1"/>
  <c r="G268" i="26"/>
  <c r="F268" i="26" a="1"/>
  <c r="F268" i="26"/>
  <c r="C268" i="26"/>
  <c r="B268" i="26"/>
  <c r="A268" i="26"/>
  <c r="AG267" i="26" a="1"/>
  <c r="AG267" i="26"/>
  <c r="AE267" i="26" a="1"/>
  <c r="AE267" i="26"/>
  <c r="AD267" i="26" a="1"/>
  <c r="AD267" i="26"/>
  <c r="AB267" i="26" a="1"/>
  <c r="AB267" i="26"/>
  <c r="AA267" i="26" a="1"/>
  <c r="AA267" i="26"/>
  <c r="Z267" i="26" a="1"/>
  <c r="Z267" i="26"/>
  <c r="X267" i="26" a="1"/>
  <c r="X267" i="26"/>
  <c r="V267" i="26" a="1"/>
  <c r="V267" i="26"/>
  <c r="T267" i="26" a="1"/>
  <c r="T267" i="26"/>
  <c r="S267" i="26" a="1"/>
  <c r="S267" i="26"/>
  <c r="R267" i="26" a="1"/>
  <c r="R267" i="26"/>
  <c r="Q267" i="26" a="1"/>
  <c r="Q267" i="26"/>
  <c r="O267" i="26" a="1"/>
  <c r="O267" i="26"/>
  <c r="N267" i="26" a="1"/>
  <c r="N267" i="26"/>
  <c r="L267" i="26" a="1"/>
  <c r="L267" i="26"/>
  <c r="J267" i="26" a="1"/>
  <c r="J267" i="26"/>
  <c r="I267" i="26" a="1"/>
  <c r="I267" i="26"/>
  <c r="H267" i="26" a="1"/>
  <c r="H267" i="26"/>
  <c r="G267" i="26" a="1"/>
  <c r="G267" i="26"/>
  <c r="F267" i="26" a="1"/>
  <c r="F267" i="26"/>
  <c r="C267" i="26"/>
  <c r="B267" i="26"/>
  <c r="A267" i="26"/>
  <c r="AG266" i="26" a="1"/>
  <c r="AG266" i="26"/>
  <c r="AE266" i="26" a="1"/>
  <c r="AE266" i="26"/>
  <c r="AD266" i="26" a="1"/>
  <c r="AD266" i="26"/>
  <c r="AB266" i="26" a="1"/>
  <c r="AB266" i="26"/>
  <c r="AA266" i="26" a="1"/>
  <c r="AA266" i="26"/>
  <c r="Z266" i="26" a="1"/>
  <c r="Z266" i="26"/>
  <c r="X266" i="26" a="1"/>
  <c r="X266" i="26"/>
  <c r="V266" i="26" a="1"/>
  <c r="V266" i="26"/>
  <c r="T266" i="26" a="1"/>
  <c r="T266" i="26"/>
  <c r="S266" i="26" a="1"/>
  <c r="S266" i="26"/>
  <c r="R266" i="26" a="1"/>
  <c r="R266" i="26"/>
  <c r="Q266" i="26" a="1"/>
  <c r="Q266" i="26"/>
  <c r="O266" i="26" a="1"/>
  <c r="O266" i="26"/>
  <c r="N266" i="26" a="1"/>
  <c r="N266" i="26"/>
  <c r="L266" i="26" a="1"/>
  <c r="L266" i="26"/>
  <c r="J266" i="26" a="1"/>
  <c r="J266" i="26"/>
  <c r="I266" i="26" a="1"/>
  <c r="I266" i="26"/>
  <c r="H266" i="26" a="1"/>
  <c r="H266" i="26"/>
  <c r="G266" i="26" a="1"/>
  <c r="G266" i="26"/>
  <c r="F266" i="26" a="1"/>
  <c r="F266" i="26"/>
  <c r="C266" i="26"/>
  <c r="B266" i="26"/>
  <c r="A266" i="26"/>
  <c r="AG265" i="26" a="1"/>
  <c r="AG265" i="26"/>
  <c r="AE265" i="26" a="1"/>
  <c r="AE265" i="26"/>
  <c r="AD265" i="26" a="1"/>
  <c r="AD265" i="26"/>
  <c r="AB265" i="26" a="1"/>
  <c r="AB265" i="26"/>
  <c r="AA265" i="26" a="1"/>
  <c r="AA265" i="26"/>
  <c r="Z265" i="26" a="1"/>
  <c r="Z265" i="26"/>
  <c r="X265" i="26" a="1"/>
  <c r="X265" i="26"/>
  <c r="V265" i="26" a="1"/>
  <c r="V265" i="26"/>
  <c r="T265" i="26" a="1"/>
  <c r="T265" i="26"/>
  <c r="S265" i="26" a="1"/>
  <c r="S265" i="26"/>
  <c r="R265" i="26" a="1"/>
  <c r="R265" i="26"/>
  <c r="Q265" i="26" a="1"/>
  <c r="Q265" i="26"/>
  <c r="O265" i="26" a="1"/>
  <c r="O265" i="26"/>
  <c r="N265" i="26" a="1"/>
  <c r="N265" i="26"/>
  <c r="L265" i="26" a="1"/>
  <c r="L265" i="26"/>
  <c r="J265" i="26" a="1"/>
  <c r="J265" i="26"/>
  <c r="I265" i="26" a="1"/>
  <c r="I265" i="26"/>
  <c r="H265" i="26" a="1"/>
  <c r="H265" i="26"/>
  <c r="G265" i="26" a="1"/>
  <c r="G265" i="26"/>
  <c r="F265" i="26" a="1"/>
  <c r="F265" i="26"/>
  <c r="C265" i="26"/>
  <c r="B265" i="26"/>
  <c r="A265" i="26"/>
  <c r="AG264" i="26" a="1"/>
  <c r="AG264" i="26"/>
  <c r="AE264" i="26" a="1"/>
  <c r="AE264" i="26"/>
  <c r="AD264" i="26" a="1"/>
  <c r="AD264" i="26"/>
  <c r="AB264" i="26" a="1"/>
  <c r="AB264" i="26"/>
  <c r="AA264" i="26" a="1"/>
  <c r="AA264" i="26"/>
  <c r="Z264" i="26" a="1"/>
  <c r="Z264" i="26"/>
  <c r="X264" i="26" a="1"/>
  <c r="X264" i="26"/>
  <c r="V264" i="26" a="1"/>
  <c r="V264" i="26"/>
  <c r="T264" i="26" a="1"/>
  <c r="T264" i="26"/>
  <c r="S264" i="26" a="1"/>
  <c r="S264" i="26"/>
  <c r="R264" i="26" a="1"/>
  <c r="R264" i="26"/>
  <c r="Q264" i="26" a="1"/>
  <c r="Q264" i="26"/>
  <c r="O264" i="26" a="1"/>
  <c r="O264" i="26"/>
  <c r="N264" i="26" a="1"/>
  <c r="N264" i="26"/>
  <c r="L264" i="26" a="1"/>
  <c r="L264" i="26"/>
  <c r="J264" i="26" a="1"/>
  <c r="J264" i="26"/>
  <c r="I264" i="26" a="1"/>
  <c r="I264" i="26"/>
  <c r="H264" i="26" a="1"/>
  <c r="H264" i="26"/>
  <c r="G264" i="26" a="1"/>
  <c r="G264" i="26"/>
  <c r="F264" i="26" a="1"/>
  <c r="F264" i="26"/>
  <c r="C264" i="26"/>
  <c r="B264" i="26"/>
  <c r="A264" i="26"/>
  <c r="AG263" i="26" a="1"/>
  <c r="AG263" i="26"/>
  <c r="AE263" i="26" a="1"/>
  <c r="AE263" i="26"/>
  <c r="AD263" i="26" a="1"/>
  <c r="AD263" i="26"/>
  <c r="AB263" i="26" a="1"/>
  <c r="AB263" i="26"/>
  <c r="AA263" i="26" a="1"/>
  <c r="AA263" i="26"/>
  <c r="Z263" i="26" a="1"/>
  <c r="Z263" i="26"/>
  <c r="X263" i="26" a="1"/>
  <c r="X263" i="26"/>
  <c r="V263" i="26" a="1"/>
  <c r="V263" i="26"/>
  <c r="T263" i="26" a="1"/>
  <c r="T263" i="26"/>
  <c r="S263" i="26" a="1"/>
  <c r="S263" i="26"/>
  <c r="R263" i="26" a="1"/>
  <c r="R263" i="26"/>
  <c r="Q263" i="26" a="1"/>
  <c r="Q263" i="26"/>
  <c r="O263" i="26" a="1"/>
  <c r="O263" i="26"/>
  <c r="N263" i="26" a="1"/>
  <c r="N263" i="26"/>
  <c r="L263" i="26" a="1"/>
  <c r="L263" i="26"/>
  <c r="J263" i="26" a="1"/>
  <c r="J263" i="26"/>
  <c r="I263" i="26" a="1"/>
  <c r="I263" i="26"/>
  <c r="H263" i="26" a="1"/>
  <c r="H263" i="26"/>
  <c r="G263" i="26" a="1"/>
  <c r="G263" i="26"/>
  <c r="F263" i="26" a="1"/>
  <c r="F263" i="26"/>
  <c r="C263" i="26"/>
  <c r="B263" i="26"/>
  <c r="A263" i="26"/>
  <c r="AG262" i="26" a="1"/>
  <c r="AG262" i="26"/>
  <c r="AE262" i="26" a="1"/>
  <c r="AE262" i="26"/>
  <c r="AD262" i="26" a="1"/>
  <c r="AD262" i="26"/>
  <c r="AB262" i="26" a="1"/>
  <c r="AB262" i="26"/>
  <c r="AA262" i="26" a="1"/>
  <c r="AA262" i="26"/>
  <c r="Z262" i="26" a="1"/>
  <c r="Z262" i="26"/>
  <c r="X262" i="26" a="1"/>
  <c r="X262" i="26"/>
  <c r="V262" i="26" a="1"/>
  <c r="V262" i="26"/>
  <c r="T262" i="26" a="1"/>
  <c r="T262" i="26"/>
  <c r="S262" i="26" a="1"/>
  <c r="S262" i="26"/>
  <c r="R262" i="26" a="1"/>
  <c r="R262" i="26"/>
  <c r="Q262" i="26" a="1"/>
  <c r="Q262" i="26"/>
  <c r="O262" i="26" a="1"/>
  <c r="O262" i="26"/>
  <c r="N262" i="26" a="1"/>
  <c r="N262" i="26"/>
  <c r="L262" i="26" a="1"/>
  <c r="L262" i="26"/>
  <c r="J262" i="26" a="1"/>
  <c r="J262" i="26"/>
  <c r="I262" i="26" a="1"/>
  <c r="I262" i="26"/>
  <c r="H262" i="26" a="1"/>
  <c r="H262" i="26"/>
  <c r="G262" i="26" a="1"/>
  <c r="G262" i="26"/>
  <c r="F262" i="26" a="1"/>
  <c r="F262" i="26"/>
  <c r="C262" i="26"/>
  <c r="B262" i="26"/>
  <c r="A262" i="26"/>
  <c r="AG261" i="26" a="1"/>
  <c r="AG261" i="26"/>
  <c r="AE261" i="26" a="1"/>
  <c r="AE261" i="26"/>
  <c r="AD261" i="26" a="1"/>
  <c r="AD261" i="26"/>
  <c r="AB261" i="26" a="1"/>
  <c r="AB261" i="26"/>
  <c r="AA261" i="26" a="1"/>
  <c r="AA261" i="26"/>
  <c r="Z261" i="26" a="1"/>
  <c r="Z261" i="26"/>
  <c r="X261" i="26" a="1"/>
  <c r="X261" i="26"/>
  <c r="V261" i="26" a="1"/>
  <c r="V261" i="26"/>
  <c r="T261" i="26" a="1"/>
  <c r="T261" i="26"/>
  <c r="S261" i="26" a="1"/>
  <c r="S261" i="26"/>
  <c r="R261" i="26" a="1"/>
  <c r="R261" i="26"/>
  <c r="Q261" i="26" a="1"/>
  <c r="Q261" i="26"/>
  <c r="O261" i="26" a="1"/>
  <c r="O261" i="26"/>
  <c r="N261" i="26" a="1"/>
  <c r="N261" i="26"/>
  <c r="L261" i="26" a="1"/>
  <c r="L261" i="26"/>
  <c r="J261" i="26" a="1"/>
  <c r="J261" i="26"/>
  <c r="I261" i="26" a="1"/>
  <c r="I261" i="26"/>
  <c r="H261" i="26" a="1"/>
  <c r="H261" i="26"/>
  <c r="G261" i="26" a="1"/>
  <c r="G261" i="26"/>
  <c r="F261" i="26" a="1"/>
  <c r="F261" i="26"/>
  <c r="C261" i="26"/>
  <c r="B261" i="26"/>
  <c r="A261" i="26"/>
  <c r="AG260" i="26" a="1"/>
  <c r="AG260" i="26"/>
  <c r="AE260" i="26" a="1"/>
  <c r="AE260" i="26"/>
  <c r="AD260" i="26" a="1"/>
  <c r="AD260" i="26"/>
  <c r="AB260" i="26" a="1"/>
  <c r="AB260" i="26"/>
  <c r="AA260" i="26" a="1"/>
  <c r="AA260" i="26"/>
  <c r="Z260" i="26" a="1"/>
  <c r="Z260" i="26"/>
  <c r="X260" i="26" a="1"/>
  <c r="X260" i="26"/>
  <c r="V260" i="26" a="1"/>
  <c r="V260" i="26"/>
  <c r="T260" i="26" a="1"/>
  <c r="T260" i="26"/>
  <c r="S260" i="26" a="1"/>
  <c r="S260" i="26"/>
  <c r="R260" i="26" a="1"/>
  <c r="R260" i="26"/>
  <c r="Q260" i="26" a="1"/>
  <c r="Q260" i="26"/>
  <c r="O260" i="26" a="1"/>
  <c r="O260" i="26"/>
  <c r="N260" i="26" a="1"/>
  <c r="N260" i="26"/>
  <c r="L260" i="26" a="1"/>
  <c r="L260" i="26"/>
  <c r="J260" i="26" a="1"/>
  <c r="J260" i="26"/>
  <c r="I260" i="26" a="1"/>
  <c r="I260" i="26"/>
  <c r="H260" i="26" a="1"/>
  <c r="H260" i="26"/>
  <c r="G260" i="26" a="1"/>
  <c r="G260" i="26"/>
  <c r="F260" i="26" a="1"/>
  <c r="F260" i="26"/>
  <c r="C260" i="26"/>
  <c r="B260" i="26"/>
  <c r="A260" i="26"/>
  <c r="AG259" i="26" a="1"/>
  <c r="AG259" i="26"/>
  <c r="AE259" i="26" a="1"/>
  <c r="AE259" i="26"/>
  <c r="AD259" i="26" a="1"/>
  <c r="AD259" i="26"/>
  <c r="AB259" i="26" a="1"/>
  <c r="AB259" i="26"/>
  <c r="AA259" i="26" a="1"/>
  <c r="AA259" i="26"/>
  <c r="Z259" i="26" a="1"/>
  <c r="Z259" i="26"/>
  <c r="X259" i="26" a="1"/>
  <c r="X259" i="26"/>
  <c r="V259" i="26" a="1"/>
  <c r="V259" i="26"/>
  <c r="T259" i="26" a="1"/>
  <c r="T259" i="26"/>
  <c r="S259" i="26" a="1"/>
  <c r="S259" i="26"/>
  <c r="R259" i="26" a="1"/>
  <c r="R259" i="26"/>
  <c r="Q259" i="26" a="1"/>
  <c r="Q259" i="26"/>
  <c r="O259" i="26" a="1"/>
  <c r="O259" i="26"/>
  <c r="N259" i="26" a="1"/>
  <c r="N259" i="26"/>
  <c r="L259" i="26" a="1"/>
  <c r="L259" i="26"/>
  <c r="J259" i="26" a="1"/>
  <c r="J259" i="26"/>
  <c r="I259" i="26" a="1"/>
  <c r="I259" i="26"/>
  <c r="H259" i="26" a="1"/>
  <c r="H259" i="26"/>
  <c r="G259" i="26" a="1"/>
  <c r="G259" i="26"/>
  <c r="F259" i="26" a="1"/>
  <c r="F259" i="26"/>
  <c r="C259" i="26"/>
  <c r="B259" i="26"/>
  <c r="A259" i="26"/>
  <c r="AG258" i="26" a="1"/>
  <c r="AG258" i="26"/>
  <c r="AE258" i="26" a="1"/>
  <c r="AE258" i="26"/>
  <c r="AD258" i="26" a="1"/>
  <c r="AD258" i="26"/>
  <c r="AB258" i="26" a="1"/>
  <c r="AB258" i="26"/>
  <c r="AA258" i="26" a="1"/>
  <c r="AA258" i="26"/>
  <c r="Z258" i="26" a="1"/>
  <c r="Z258" i="26"/>
  <c r="X258" i="26" a="1"/>
  <c r="X258" i="26"/>
  <c r="V258" i="26" a="1"/>
  <c r="V258" i="26"/>
  <c r="T258" i="26" a="1"/>
  <c r="T258" i="26"/>
  <c r="S258" i="26" a="1"/>
  <c r="S258" i="26"/>
  <c r="R258" i="26" a="1"/>
  <c r="R258" i="26"/>
  <c r="Q258" i="26" a="1"/>
  <c r="Q258" i="26"/>
  <c r="O258" i="26" a="1"/>
  <c r="O258" i="26"/>
  <c r="N258" i="26" a="1"/>
  <c r="N258" i="26"/>
  <c r="L258" i="26" a="1"/>
  <c r="L258" i="26"/>
  <c r="J258" i="26" a="1"/>
  <c r="J258" i="26"/>
  <c r="I258" i="26" a="1"/>
  <c r="I258" i="26"/>
  <c r="H258" i="26" a="1"/>
  <c r="H258" i="26"/>
  <c r="G258" i="26" a="1"/>
  <c r="G258" i="26"/>
  <c r="F258" i="26" a="1"/>
  <c r="F258" i="26"/>
  <c r="C258" i="26"/>
  <c r="B258" i="26"/>
  <c r="A258" i="26"/>
  <c r="AG257" i="26" a="1"/>
  <c r="AG257" i="26"/>
  <c r="AE257" i="26" a="1"/>
  <c r="AE257" i="26"/>
  <c r="AD257" i="26" a="1"/>
  <c r="AD257" i="26"/>
  <c r="AB257" i="26" a="1"/>
  <c r="AB257" i="26"/>
  <c r="AA257" i="26" a="1"/>
  <c r="AA257" i="26"/>
  <c r="Z257" i="26" a="1"/>
  <c r="Z257" i="26"/>
  <c r="X257" i="26" a="1"/>
  <c r="X257" i="26"/>
  <c r="V257" i="26" a="1"/>
  <c r="V257" i="26"/>
  <c r="T257" i="26" a="1"/>
  <c r="T257" i="26"/>
  <c r="S257" i="26" a="1"/>
  <c r="S257" i="26"/>
  <c r="R257" i="26" a="1"/>
  <c r="R257" i="26"/>
  <c r="Q257" i="26" a="1"/>
  <c r="Q257" i="26"/>
  <c r="O257" i="26" a="1"/>
  <c r="O257" i="26"/>
  <c r="N257" i="26" a="1"/>
  <c r="N257" i="26"/>
  <c r="L257" i="26" a="1"/>
  <c r="L257" i="26"/>
  <c r="J257" i="26" a="1"/>
  <c r="J257" i="26"/>
  <c r="I257" i="26" a="1"/>
  <c r="I257" i="26"/>
  <c r="H257" i="26" a="1"/>
  <c r="H257" i="26"/>
  <c r="G257" i="26" a="1"/>
  <c r="G257" i="26"/>
  <c r="F257" i="26" a="1"/>
  <c r="F257" i="26"/>
  <c r="C257" i="26"/>
  <c r="B257" i="26"/>
  <c r="A257" i="26"/>
  <c r="AG256" i="26" a="1"/>
  <c r="AG256" i="26"/>
  <c r="AE256" i="26" a="1"/>
  <c r="AE256" i="26"/>
  <c r="AD256" i="26" a="1"/>
  <c r="AD256" i="26"/>
  <c r="AB256" i="26" a="1"/>
  <c r="AB256" i="26"/>
  <c r="AA256" i="26" a="1"/>
  <c r="AA256" i="26"/>
  <c r="Z256" i="26" a="1"/>
  <c r="Z256" i="26"/>
  <c r="X256" i="26" a="1"/>
  <c r="X256" i="26"/>
  <c r="V256" i="26" a="1"/>
  <c r="V256" i="26"/>
  <c r="T256" i="26" a="1"/>
  <c r="T256" i="26"/>
  <c r="S256" i="26" a="1"/>
  <c r="S256" i="26"/>
  <c r="R256" i="26" a="1"/>
  <c r="R256" i="26"/>
  <c r="Q256" i="26" a="1"/>
  <c r="Q256" i="26"/>
  <c r="O256" i="26" a="1"/>
  <c r="O256" i="26"/>
  <c r="N256" i="26" a="1"/>
  <c r="N256" i="26"/>
  <c r="L256" i="26" a="1"/>
  <c r="L256" i="26"/>
  <c r="J256" i="26" a="1"/>
  <c r="J256" i="26"/>
  <c r="I256" i="26" a="1"/>
  <c r="I256" i="26"/>
  <c r="H256" i="26" a="1"/>
  <c r="H256" i="26"/>
  <c r="G256" i="26" a="1"/>
  <c r="G256" i="26"/>
  <c r="F256" i="26" a="1"/>
  <c r="F256" i="26"/>
  <c r="C256" i="26"/>
  <c r="B256" i="26"/>
  <c r="A256" i="26"/>
  <c r="AG255" i="26" a="1"/>
  <c r="AG255" i="26"/>
  <c r="AE255" i="26" a="1"/>
  <c r="AE255" i="26"/>
  <c r="AD255" i="26" a="1"/>
  <c r="AD255" i="26"/>
  <c r="AB255" i="26" a="1"/>
  <c r="AB255" i="26"/>
  <c r="AA255" i="26" a="1"/>
  <c r="AA255" i="26"/>
  <c r="Z255" i="26" a="1"/>
  <c r="Z255" i="26"/>
  <c r="X255" i="26" a="1"/>
  <c r="X255" i="26"/>
  <c r="V255" i="26" a="1"/>
  <c r="V255" i="26"/>
  <c r="T255" i="26" a="1"/>
  <c r="T255" i="26"/>
  <c r="S255" i="26" a="1"/>
  <c r="S255" i="26"/>
  <c r="R255" i="26" a="1"/>
  <c r="R255" i="26"/>
  <c r="Q255" i="26" a="1"/>
  <c r="Q255" i="26"/>
  <c r="O255" i="26" a="1"/>
  <c r="O255" i="26"/>
  <c r="N255" i="26" a="1"/>
  <c r="N255" i="26"/>
  <c r="L255" i="26" a="1"/>
  <c r="L255" i="26"/>
  <c r="J255" i="26" a="1"/>
  <c r="J255" i="26"/>
  <c r="I255" i="26" a="1"/>
  <c r="I255" i="26"/>
  <c r="H255" i="26" a="1"/>
  <c r="H255" i="26"/>
  <c r="G255" i="26" a="1"/>
  <c r="G255" i="26"/>
  <c r="F255" i="26" a="1"/>
  <c r="F255" i="26"/>
  <c r="C255" i="26"/>
  <c r="B255" i="26"/>
  <c r="A255" i="26"/>
  <c r="AG254" i="26" a="1"/>
  <c r="AG254" i="26"/>
  <c r="AE254" i="26" a="1"/>
  <c r="AE254" i="26"/>
  <c r="AD254" i="26" a="1"/>
  <c r="AD254" i="26"/>
  <c r="AB254" i="26" a="1"/>
  <c r="AB254" i="26"/>
  <c r="AA254" i="26" a="1"/>
  <c r="AA254" i="26"/>
  <c r="Z254" i="26" a="1"/>
  <c r="Z254" i="26"/>
  <c r="X254" i="26" a="1"/>
  <c r="X254" i="26"/>
  <c r="V254" i="26" a="1"/>
  <c r="V254" i="26"/>
  <c r="T254" i="26" a="1"/>
  <c r="T254" i="26"/>
  <c r="S254" i="26" a="1"/>
  <c r="S254" i="26"/>
  <c r="R254" i="26" a="1"/>
  <c r="R254" i="26"/>
  <c r="Q254" i="26" a="1"/>
  <c r="Q254" i="26"/>
  <c r="O254" i="26" a="1"/>
  <c r="O254" i="26"/>
  <c r="N254" i="26" a="1"/>
  <c r="N254" i="26"/>
  <c r="L254" i="26" a="1"/>
  <c r="L254" i="26"/>
  <c r="J254" i="26" a="1"/>
  <c r="J254" i="26"/>
  <c r="I254" i="26" a="1"/>
  <c r="I254" i="26"/>
  <c r="H254" i="26" a="1"/>
  <c r="H254" i="26"/>
  <c r="G254" i="26" a="1"/>
  <c r="G254" i="26"/>
  <c r="F254" i="26" a="1"/>
  <c r="F254" i="26"/>
  <c r="C254" i="26"/>
  <c r="B254" i="26"/>
  <c r="A254" i="26"/>
  <c r="AG253" i="26" a="1"/>
  <c r="AG253" i="26"/>
  <c r="AE253" i="26" a="1"/>
  <c r="AE253" i="26"/>
  <c r="AD253" i="26" a="1"/>
  <c r="AD253" i="26"/>
  <c r="AB253" i="26" a="1"/>
  <c r="AB253" i="26"/>
  <c r="AA253" i="26" a="1"/>
  <c r="AA253" i="26"/>
  <c r="Z253" i="26" a="1"/>
  <c r="Z253" i="26"/>
  <c r="X253" i="26" a="1"/>
  <c r="X253" i="26"/>
  <c r="V253" i="26" a="1"/>
  <c r="V253" i="26"/>
  <c r="T253" i="26" a="1"/>
  <c r="T253" i="26"/>
  <c r="S253" i="26" a="1"/>
  <c r="S253" i="26"/>
  <c r="R253" i="26" a="1"/>
  <c r="R253" i="26"/>
  <c r="Q253" i="26" a="1"/>
  <c r="Q253" i="26"/>
  <c r="O253" i="26" a="1"/>
  <c r="O253" i="26"/>
  <c r="N253" i="26" a="1"/>
  <c r="N253" i="26"/>
  <c r="L253" i="26" a="1"/>
  <c r="L253" i="26"/>
  <c r="J253" i="26" a="1"/>
  <c r="J253" i="26"/>
  <c r="I253" i="26" a="1"/>
  <c r="I253" i="26"/>
  <c r="H253" i="26" a="1"/>
  <c r="H253" i="26"/>
  <c r="G253" i="26" a="1"/>
  <c r="G253" i="26"/>
  <c r="F253" i="26" a="1"/>
  <c r="F253" i="26"/>
  <c r="C253" i="26"/>
  <c r="B253" i="26"/>
  <c r="A253" i="26"/>
  <c r="AG252" i="26" a="1"/>
  <c r="AG252" i="26"/>
  <c r="AE252" i="26" a="1"/>
  <c r="AE252" i="26"/>
  <c r="AD252" i="26" a="1"/>
  <c r="AD252" i="26"/>
  <c r="AB252" i="26" a="1"/>
  <c r="AB252" i="26"/>
  <c r="AA252" i="26" a="1"/>
  <c r="AA252" i="26"/>
  <c r="Z252" i="26" a="1"/>
  <c r="Z252" i="26"/>
  <c r="X252" i="26" a="1"/>
  <c r="X252" i="26"/>
  <c r="V252" i="26" a="1"/>
  <c r="V252" i="26"/>
  <c r="T252" i="26" a="1"/>
  <c r="T252" i="26"/>
  <c r="S252" i="26" a="1"/>
  <c r="S252" i="26"/>
  <c r="R252" i="26" a="1"/>
  <c r="R252" i="26"/>
  <c r="Q252" i="26" a="1"/>
  <c r="Q252" i="26"/>
  <c r="O252" i="26" a="1"/>
  <c r="O252" i="26"/>
  <c r="N252" i="26" a="1"/>
  <c r="N252" i="26"/>
  <c r="L252" i="26" a="1"/>
  <c r="L252" i="26"/>
  <c r="J252" i="26" a="1"/>
  <c r="J252" i="26"/>
  <c r="I252" i="26" a="1"/>
  <c r="I252" i="26"/>
  <c r="H252" i="26" a="1"/>
  <c r="H252" i="26"/>
  <c r="G252" i="26" a="1"/>
  <c r="G252" i="26"/>
  <c r="F252" i="26" a="1"/>
  <c r="F252" i="26"/>
  <c r="C252" i="26"/>
  <c r="B252" i="26"/>
  <c r="A252" i="26"/>
  <c r="AG251" i="26" a="1"/>
  <c r="AG251" i="26"/>
  <c r="AE251" i="26" a="1"/>
  <c r="AE251" i="26"/>
  <c r="AD251" i="26" a="1"/>
  <c r="AD251" i="26"/>
  <c r="AB251" i="26" a="1"/>
  <c r="AB251" i="26"/>
  <c r="AA251" i="26" a="1"/>
  <c r="AA251" i="26"/>
  <c r="Z251" i="26" a="1"/>
  <c r="Z251" i="26"/>
  <c r="X251" i="26" a="1"/>
  <c r="X251" i="26"/>
  <c r="V251" i="26" a="1"/>
  <c r="V251" i="26"/>
  <c r="T251" i="26" a="1"/>
  <c r="T251" i="26"/>
  <c r="S251" i="26" a="1"/>
  <c r="S251" i="26"/>
  <c r="R251" i="26" a="1"/>
  <c r="R251" i="26"/>
  <c r="Q251" i="26" a="1"/>
  <c r="Q251" i="26"/>
  <c r="O251" i="26" a="1"/>
  <c r="O251" i="26"/>
  <c r="N251" i="26" a="1"/>
  <c r="N251" i="26"/>
  <c r="L251" i="26" a="1"/>
  <c r="L251" i="26"/>
  <c r="J251" i="26" a="1"/>
  <c r="J251" i="26"/>
  <c r="I251" i="26" a="1"/>
  <c r="I251" i="26"/>
  <c r="H251" i="26" a="1"/>
  <c r="H251" i="26"/>
  <c r="G251" i="26" a="1"/>
  <c r="G251" i="26"/>
  <c r="F251" i="26" a="1"/>
  <c r="F251" i="26"/>
  <c r="C251" i="26"/>
  <c r="B251" i="26"/>
  <c r="A251" i="26"/>
  <c r="AG250" i="26" a="1"/>
  <c r="AG250" i="26"/>
  <c r="AE250" i="26" a="1"/>
  <c r="AE250" i="26"/>
  <c r="AD250" i="26" a="1"/>
  <c r="AD250" i="26"/>
  <c r="AB250" i="26" a="1"/>
  <c r="AB250" i="26"/>
  <c r="AA250" i="26" a="1"/>
  <c r="AA250" i="26"/>
  <c r="Z250" i="26" a="1"/>
  <c r="Z250" i="26"/>
  <c r="X250" i="26" a="1"/>
  <c r="X250" i="26"/>
  <c r="V250" i="26" a="1"/>
  <c r="V250" i="26"/>
  <c r="T250" i="26" a="1"/>
  <c r="T250" i="26"/>
  <c r="S250" i="26" a="1"/>
  <c r="S250" i="26"/>
  <c r="R250" i="26" a="1"/>
  <c r="R250" i="26"/>
  <c r="Q250" i="26" a="1"/>
  <c r="Q250" i="26"/>
  <c r="O250" i="26" a="1"/>
  <c r="O250" i="26"/>
  <c r="N250" i="26" a="1"/>
  <c r="N250" i="26"/>
  <c r="L250" i="26" a="1"/>
  <c r="L250" i="26"/>
  <c r="J250" i="26" a="1"/>
  <c r="J250" i="26"/>
  <c r="I250" i="26" a="1"/>
  <c r="I250" i="26"/>
  <c r="H250" i="26" a="1"/>
  <c r="H250" i="26"/>
  <c r="G250" i="26" a="1"/>
  <c r="G250" i="26"/>
  <c r="F250" i="26" a="1"/>
  <c r="F250" i="26"/>
  <c r="C250" i="26"/>
  <c r="B250" i="26"/>
  <c r="A250" i="26"/>
  <c r="AG249" i="26" a="1"/>
  <c r="AG249" i="26"/>
  <c r="AE249" i="26" a="1"/>
  <c r="AE249" i="26"/>
  <c r="AD249" i="26" a="1"/>
  <c r="AD249" i="26"/>
  <c r="AB249" i="26" a="1"/>
  <c r="AB249" i="26"/>
  <c r="AA249" i="26" a="1"/>
  <c r="AA249" i="26"/>
  <c r="Z249" i="26" a="1"/>
  <c r="Z249" i="26"/>
  <c r="X249" i="26" a="1"/>
  <c r="X249" i="26"/>
  <c r="V249" i="26" a="1"/>
  <c r="V249" i="26"/>
  <c r="T249" i="26" a="1"/>
  <c r="T249" i="26"/>
  <c r="S249" i="26" a="1"/>
  <c r="S249" i="26"/>
  <c r="R249" i="26" a="1"/>
  <c r="R249" i="26"/>
  <c r="Q249" i="26" a="1"/>
  <c r="Q249" i="26"/>
  <c r="O249" i="26" a="1"/>
  <c r="O249" i="26"/>
  <c r="N249" i="26" a="1"/>
  <c r="N249" i="26"/>
  <c r="L249" i="26" a="1"/>
  <c r="L249" i="26"/>
  <c r="J249" i="26" a="1"/>
  <c r="J249" i="26"/>
  <c r="I249" i="26" a="1"/>
  <c r="I249" i="26"/>
  <c r="H249" i="26" a="1"/>
  <c r="H249" i="26"/>
  <c r="G249" i="26" a="1"/>
  <c r="G249" i="26"/>
  <c r="F249" i="26" a="1"/>
  <c r="F249" i="26"/>
  <c r="C249" i="26"/>
  <c r="B249" i="26"/>
  <c r="A249" i="26"/>
  <c r="AG248" i="26" a="1"/>
  <c r="AG248" i="26"/>
  <c r="AE248" i="26" a="1"/>
  <c r="AE248" i="26"/>
  <c r="AD248" i="26" a="1"/>
  <c r="AD248" i="26"/>
  <c r="AB248" i="26" a="1"/>
  <c r="AB248" i="26"/>
  <c r="AA248" i="26" a="1"/>
  <c r="AA248" i="26"/>
  <c r="Z248" i="26" a="1"/>
  <c r="Z248" i="26"/>
  <c r="X248" i="26" a="1"/>
  <c r="X248" i="26"/>
  <c r="V248" i="26" a="1"/>
  <c r="V248" i="26"/>
  <c r="T248" i="26" a="1"/>
  <c r="T248" i="26"/>
  <c r="S248" i="26" a="1"/>
  <c r="S248" i="26"/>
  <c r="R248" i="26" a="1"/>
  <c r="R248" i="26"/>
  <c r="Q248" i="26" a="1"/>
  <c r="Q248" i="26"/>
  <c r="O248" i="26" a="1"/>
  <c r="O248" i="26"/>
  <c r="N248" i="26" a="1"/>
  <c r="N248" i="26"/>
  <c r="L248" i="26" a="1"/>
  <c r="L248" i="26"/>
  <c r="J248" i="26" a="1"/>
  <c r="J248" i="26"/>
  <c r="I248" i="26" a="1"/>
  <c r="I248" i="26"/>
  <c r="H248" i="26" a="1"/>
  <c r="H248" i="26"/>
  <c r="G248" i="26" a="1"/>
  <c r="G248" i="26"/>
  <c r="F248" i="26" a="1"/>
  <c r="F248" i="26"/>
  <c r="C248" i="26"/>
  <c r="B248" i="26"/>
  <c r="A248" i="26"/>
  <c r="AG247" i="26" a="1"/>
  <c r="AG247" i="26"/>
  <c r="AE247" i="26" a="1"/>
  <c r="AE247" i="26"/>
  <c r="AD247" i="26" a="1"/>
  <c r="AD247" i="26"/>
  <c r="AB247" i="26" a="1"/>
  <c r="AB247" i="26"/>
  <c r="AA247" i="26" a="1"/>
  <c r="AA247" i="26"/>
  <c r="Z247" i="26" a="1"/>
  <c r="Z247" i="26"/>
  <c r="X247" i="26" a="1"/>
  <c r="X247" i="26"/>
  <c r="V247" i="26" a="1"/>
  <c r="V247" i="26"/>
  <c r="T247" i="26" a="1"/>
  <c r="T247" i="26"/>
  <c r="S247" i="26" a="1"/>
  <c r="S247" i="26"/>
  <c r="R247" i="26" a="1"/>
  <c r="R247" i="26"/>
  <c r="Q247" i="26" a="1"/>
  <c r="Q247" i="26"/>
  <c r="O247" i="26" a="1"/>
  <c r="O247" i="26"/>
  <c r="N247" i="26" a="1"/>
  <c r="N247" i="26"/>
  <c r="L247" i="26" a="1"/>
  <c r="L247" i="26"/>
  <c r="J247" i="26" a="1"/>
  <c r="J247" i="26"/>
  <c r="I247" i="26" a="1"/>
  <c r="I247" i="26"/>
  <c r="H247" i="26" a="1"/>
  <c r="H247" i="26"/>
  <c r="G247" i="26" a="1"/>
  <c r="G247" i="26"/>
  <c r="F247" i="26" a="1"/>
  <c r="F247" i="26"/>
  <c r="C247" i="26"/>
  <c r="B247" i="26"/>
  <c r="A247" i="26"/>
  <c r="AG246" i="26" a="1"/>
  <c r="AG246" i="26"/>
  <c r="AE246" i="26" a="1"/>
  <c r="AE246" i="26"/>
  <c r="AD246" i="26" a="1"/>
  <c r="AD246" i="26"/>
  <c r="AB246" i="26" a="1"/>
  <c r="AB246" i="26"/>
  <c r="AA246" i="26" a="1"/>
  <c r="AA246" i="26"/>
  <c r="Z246" i="26" a="1"/>
  <c r="Z246" i="26"/>
  <c r="X246" i="26" a="1"/>
  <c r="X246" i="26"/>
  <c r="V246" i="26" a="1"/>
  <c r="V246" i="26"/>
  <c r="T246" i="26" a="1"/>
  <c r="T246" i="26"/>
  <c r="S246" i="26" a="1"/>
  <c r="S246" i="26"/>
  <c r="R246" i="26" a="1"/>
  <c r="R246" i="26"/>
  <c r="Q246" i="26" a="1"/>
  <c r="Q246" i="26"/>
  <c r="O246" i="26" a="1"/>
  <c r="O246" i="26"/>
  <c r="N246" i="26" a="1"/>
  <c r="N246" i="26"/>
  <c r="L246" i="26" a="1"/>
  <c r="L246" i="26"/>
  <c r="J246" i="26" a="1"/>
  <c r="J246" i="26"/>
  <c r="I246" i="26" a="1"/>
  <c r="I246" i="26"/>
  <c r="H246" i="26" a="1"/>
  <c r="H246" i="26"/>
  <c r="G246" i="26" a="1"/>
  <c r="G246" i="26"/>
  <c r="F246" i="26" a="1"/>
  <c r="F246" i="26"/>
  <c r="C246" i="26"/>
  <c r="B246" i="26"/>
  <c r="A246" i="26"/>
  <c r="AG245" i="26" a="1"/>
  <c r="AG245" i="26"/>
  <c r="AE245" i="26" a="1"/>
  <c r="AE245" i="26"/>
  <c r="AD245" i="26" a="1"/>
  <c r="AD245" i="26"/>
  <c r="AB245" i="26" a="1"/>
  <c r="AB245" i="26"/>
  <c r="AA245" i="26" a="1"/>
  <c r="AA245" i="26"/>
  <c r="Z245" i="26" a="1"/>
  <c r="Z245" i="26"/>
  <c r="X245" i="26" a="1"/>
  <c r="X245" i="26"/>
  <c r="V245" i="26" a="1"/>
  <c r="V245" i="26"/>
  <c r="T245" i="26" a="1"/>
  <c r="T245" i="26"/>
  <c r="S245" i="26" a="1"/>
  <c r="S245" i="26"/>
  <c r="R245" i="26" a="1"/>
  <c r="R245" i="26"/>
  <c r="Q245" i="26" a="1"/>
  <c r="Q245" i="26"/>
  <c r="O245" i="26" a="1"/>
  <c r="O245" i="26"/>
  <c r="N245" i="26" a="1"/>
  <c r="N245" i="26"/>
  <c r="L245" i="26" a="1"/>
  <c r="L245" i="26"/>
  <c r="J245" i="26" a="1"/>
  <c r="J245" i="26"/>
  <c r="I245" i="26" a="1"/>
  <c r="I245" i="26"/>
  <c r="H245" i="26" a="1"/>
  <c r="H245" i="26"/>
  <c r="G245" i="26" a="1"/>
  <c r="G245" i="26"/>
  <c r="F245" i="26" a="1"/>
  <c r="F245" i="26"/>
  <c r="C245" i="26"/>
  <c r="B245" i="26"/>
  <c r="A245" i="26"/>
  <c r="AG244" i="26" a="1"/>
  <c r="AG244" i="26"/>
  <c r="AE244" i="26" a="1"/>
  <c r="AE244" i="26"/>
  <c r="AD244" i="26" a="1"/>
  <c r="AD244" i="26"/>
  <c r="AB244" i="26" a="1"/>
  <c r="AB244" i="26"/>
  <c r="AA244" i="26" a="1"/>
  <c r="AA244" i="26"/>
  <c r="Z244" i="26" a="1"/>
  <c r="Z244" i="26"/>
  <c r="X244" i="26" a="1"/>
  <c r="X244" i="26"/>
  <c r="V244" i="26" a="1"/>
  <c r="V244" i="26"/>
  <c r="T244" i="26" a="1"/>
  <c r="T244" i="26"/>
  <c r="S244" i="26" a="1"/>
  <c r="S244" i="26"/>
  <c r="R244" i="26" a="1"/>
  <c r="R244" i="26"/>
  <c r="Q244" i="26" a="1"/>
  <c r="Q244" i="26"/>
  <c r="O244" i="26" a="1"/>
  <c r="O244" i="26"/>
  <c r="N244" i="26" a="1"/>
  <c r="N244" i="26"/>
  <c r="L244" i="26" a="1"/>
  <c r="L244" i="26"/>
  <c r="J244" i="26" a="1"/>
  <c r="J244" i="26"/>
  <c r="I244" i="26" a="1"/>
  <c r="I244" i="26"/>
  <c r="H244" i="26" a="1"/>
  <c r="H244" i="26"/>
  <c r="G244" i="26" a="1"/>
  <c r="G244" i="26"/>
  <c r="F244" i="26" a="1"/>
  <c r="F244" i="26"/>
  <c r="C244" i="26"/>
  <c r="B244" i="26"/>
  <c r="A244" i="26"/>
  <c r="AG243" i="26" a="1"/>
  <c r="AG243" i="26"/>
  <c r="AE243" i="26" a="1"/>
  <c r="AE243" i="26"/>
  <c r="AD243" i="26" a="1"/>
  <c r="AD243" i="26"/>
  <c r="AB243" i="26" a="1"/>
  <c r="AB243" i="26"/>
  <c r="AA243" i="26" a="1"/>
  <c r="AA243" i="26"/>
  <c r="Z243" i="26" a="1"/>
  <c r="Z243" i="26"/>
  <c r="X243" i="26" a="1"/>
  <c r="X243" i="26"/>
  <c r="V243" i="26" a="1"/>
  <c r="V243" i="26"/>
  <c r="T243" i="26" a="1"/>
  <c r="T243" i="26"/>
  <c r="S243" i="26" a="1"/>
  <c r="S243" i="26"/>
  <c r="R243" i="26" a="1"/>
  <c r="R243" i="26"/>
  <c r="Q243" i="26" a="1"/>
  <c r="Q243" i="26"/>
  <c r="O243" i="26" a="1"/>
  <c r="O243" i="26"/>
  <c r="N243" i="26" a="1"/>
  <c r="N243" i="26"/>
  <c r="L243" i="26" a="1"/>
  <c r="L243" i="26"/>
  <c r="J243" i="26" a="1"/>
  <c r="J243" i="26"/>
  <c r="I243" i="26" a="1"/>
  <c r="I243" i="26"/>
  <c r="H243" i="26" a="1"/>
  <c r="H243" i="26"/>
  <c r="G243" i="26" a="1"/>
  <c r="G243" i="26"/>
  <c r="F243" i="26" a="1"/>
  <c r="F243" i="26"/>
  <c r="C243" i="26"/>
  <c r="B243" i="26"/>
  <c r="A243" i="26"/>
  <c r="AG242" i="26" a="1"/>
  <c r="AG242" i="26"/>
  <c r="AE242" i="26" a="1"/>
  <c r="AE242" i="26"/>
  <c r="AD242" i="26" a="1"/>
  <c r="AD242" i="26"/>
  <c r="AB242" i="26" a="1"/>
  <c r="AB242" i="26"/>
  <c r="AA242" i="26" a="1"/>
  <c r="AA242" i="26"/>
  <c r="Z242" i="26" a="1"/>
  <c r="Z242" i="26"/>
  <c r="X242" i="26" a="1"/>
  <c r="X242" i="26"/>
  <c r="V242" i="26" a="1"/>
  <c r="V242" i="26"/>
  <c r="T242" i="26" a="1"/>
  <c r="T242" i="26"/>
  <c r="S242" i="26" a="1"/>
  <c r="S242" i="26"/>
  <c r="R242" i="26" a="1"/>
  <c r="R242" i="26"/>
  <c r="Q242" i="26" a="1"/>
  <c r="Q242" i="26"/>
  <c r="O242" i="26" a="1"/>
  <c r="O242" i="26"/>
  <c r="N242" i="26" a="1"/>
  <c r="N242" i="26"/>
  <c r="L242" i="26" a="1"/>
  <c r="L242" i="26"/>
  <c r="J242" i="26" a="1"/>
  <c r="J242" i="26"/>
  <c r="I242" i="26" a="1"/>
  <c r="I242" i="26"/>
  <c r="H242" i="26" a="1"/>
  <c r="H242" i="26"/>
  <c r="G242" i="26" a="1"/>
  <c r="G242" i="26"/>
  <c r="F242" i="26" a="1"/>
  <c r="F242" i="26"/>
  <c r="C242" i="26"/>
  <c r="B242" i="26"/>
  <c r="A242" i="26"/>
  <c r="AG241" i="26" a="1"/>
  <c r="AG241" i="26"/>
  <c r="AE241" i="26" a="1"/>
  <c r="AE241" i="26"/>
  <c r="AD241" i="26" a="1"/>
  <c r="AD241" i="26"/>
  <c r="AB241" i="26" a="1"/>
  <c r="AB241" i="26"/>
  <c r="AA241" i="26" a="1"/>
  <c r="AA241" i="26"/>
  <c r="Z241" i="26" a="1"/>
  <c r="Z241" i="26"/>
  <c r="X241" i="26" a="1"/>
  <c r="X241" i="26"/>
  <c r="V241" i="26" a="1"/>
  <c r="V241" i="26"/>
  <c r="T241" i="26" a="1"/>
  <c r="T241" i="26"/>
  <c r="S241" i="26" a="1"/>
  <c r="S241" i="26"/>
  <c r="R241" i="26" a="1"/>
  <c r="R241" i="26"/>
  <c r="Q241" i="26" a="1"/>
  <c r="Q241" i="26"/>
  <c r="O241" i="26" a="1"/>
  <c r="O241" i="26"/>
  <c r="N241" i="26" a="1"/>
  <c r="N241" i="26"/>
  <c r="L241" i="26" a="1"/>
  <c r="L241" i="26"/>
  <c r="J241" i="26" a="1"/>
  <c r="J241" i="26"/>
  <c r="I241" i="26" a="1"/>
  <c r="I241" i="26"/>
  <c r="H241" i="26" a="1"/>
  <c r="H241" i="26"/>
  <c r="G241" i="26" a="1"/>
  <c r="G241" i="26"/>
  <c r="F241" i="26" a="1"/>
  <c r="F241" i="26"/>
  <c r="C241" i="26"/>
  <c r="B241" i="26"/>
  <c r="A241" i="26"/>
  <c r="AG240" i="26" a="1"/>
  <c r="AG240" i="26"/>
  <c r="AE240" i="26" a="1"/>
  <c r="AE240" i="26"/>
  <c r="AD240" i="26" a="1"/>
  <c r="AD240" i="26"/>
  <c r="AB240" i="26" a="1"/>
  <c r="AB240" i="26"/>
  <c r="AA240" i="26" a="1"/>
  <c r="AA240" i="26"/>
  <c r="Z240" i="26" a="1"/>
  <c r="Z240" i="26"/>
  <c r="X240" i="26" a="1"/>
  <c r="X240" i="26"/>
  <c r="V240" i="26" a="1"/>
  <c r="V240" i="26"/>
  <c r="T240" i="26" a="1"/>
  <c r="T240" i="26"/>
  <c r="S240" i="26" a="1"/>
  <c r="S240" i="26"/>
  <c r="R240" i="26" a="1"/>
  <c r="R240" i="26"/>
  <c r="Q240" i="26" a="1"/>
  <c r="Q240" i="26"/>
  <c r="O240" i="26" a="1"/>
  <c r="O240" i="26"/>
  <c r="N240" i="26" a="1"/>
  <c r="N240" i="26"/>
  <c r="L240" i="26" a="1"/>
  <c r="L240" i="26"/>
  <c r="J240" i="26" a="1"/>
  <c r="J240" i="26"/>
  <c r="I240" i="26" a="1"/>
  <c r="I240" i="26"/>
  <c r="H240" i="26" a="1"/>
  <c r="H240" i="26"/>
  <c r="G240" i="26" a="1"/>
  <c r="G240" i="26"/>
  <c r="F240" i="26" a="1"/>
  <c r="F240" i="26"/>
  <c r="C240" i="26"/>
  <c r="B240" i="26"/>
  <c r="A240" i="26"/>
  <c r="AG239" i="26" a="1"/>
  <c r="AG239" i="26"/>
  <c r="AE239" i="26" a="1"/>
  <c r="AE239" i="26"/>
  <c r="AD239" i="26" a="1"/>
  <c r="AD239" i="26"/>
  <c r="AB239" i="26" a="1"/>
  <c r="AB239" i="26"/>
  <c r="AA239" i="26" a="1"/>
  <c r="AA239" i="26"/>
  <c r="Z239" i="26" a="1"/>
  <c r="Z239" i="26"/>
  <c r="X239" i="26" a="1"/>
  <c r="X239" i="26"/>
  <c r="V239" i="26" a="1"/>
  <c r="V239" i="26"/>
  <c r="T239" i="26" a="1"/>
  <c r="T239" i="26"/>
  <c r="S239" i="26" a="1"/>
  <c r="S239" i="26"/>
  <c r="R239" i="26" a="1"/>
  <c r="R239" i="26"/>
  <c r="Q239" i="26" a="1"/>
  <c r="Q239" i="26"/>
  <c r="O239" i="26" a="1"/>
  <c r="O239" i="26"/>
  <c r="N239" i="26" a="1"/>
  <c r="N239" i="26"/>
  <c r="L239" i="26" a="1"/>
  <c r="L239" i="26"/>
  <c r="J239" i="26" a="1"/>
  <c r="J239" i="26"/>
  <c r="I239" i="26" a="1"/>
  <c r="I239" i="26"/>
  <c r="H239" i="26" a="1"/>
  <c r="H239" i="26"/>
  <c r="G239" i="26" a="1"/>
  <c r="G239" i="26"/>
  <c r="F239" i="26" a="1"/>
  <c r="F239" i="26"/>
  <c r="C239" i="26"/>
  <c r="B239" i="26"/>
  <c r="A239" i="26"/>
  <c r="AG238" i="26" a="1"/>
  <c r="AG238" i="26"/>
  <c r="AE238" i="26" a="1"/>
  <c r="AE238" i="26"/>
  <c r="AD238" i="26" a="1"/>
  <c r="AD238" i="26"/>
  <c r="AB238" i="26" a="1"/>
  <c r="AB238" i="26"/>
  <c r="AA238" i="26" a="1"/>
  <c r="AA238" i="26"/>
  <c r="Z238" i="26" a="1"/>
  <c r="Z238" i="26"/>
  <c r="X238" i="26" a="1"/>
  <c r="X238" i="26"/>
  <c r="V238" i="26" a="1"/>
  <c r="V238" i="26"/>
  <c r="T238" i="26" a="1"/>
  <c r="T238" i="26"/>
  <c r="S238" i="26" a="1"/>
  <c r="S238" i="26"/>
  <c r="R238" i="26" a="1"/>
  <c r="R238" i="26"/>
  <c r="Q238" i="26" a="1"/>
  <c r="Q238" i="26"/>
  <c r="O238" i="26" a="1"/>
  <c r="O238" i="26"/>
  <c r="N238" i="26" a="1"/>
  <c r="N238" i="26"/>
  <c r="L238" i="26" a="1"/>
  <c r="L238" i="26"/>
  <c r="J238" i="26" a="1"/>
  <c r="J238" i="26"/>
  <c r="I238" i="26" a="1"/>
  <c r="I238" i="26"/>
  <c r="H238" i="26" a="1"/>
  <c r="H238" i="26"/>
  <c r="G238" i="26" a="1"/>
  <c r="G238" i="26"/>
  <c r="F238" i="26" a="1"/>
  <c r="F238" i="26"/>
  <c r="C238" i="26"/>
  <c r="B238" i="26"/>
  <c r="A238" i="26"/>
  <c r="AG237" i="26" a="1"/>
  <c r="AG237" i="26"/>
  <c r="AE237" i="26" a="1"/>
  <c r="AE237" i="26"/>
  <c r="AD237" i="26" a="1"/>
  <c r="AD237" i="26"/>
  <c r="AB237" i="26" a="1"/>
  <c r="AB237" i="26"/>
  <c r="AA237" i="26" a="1"/>
  <c r="AA237" i="26"/>
  <c r="Z237" i="26" a="1"/>
  <c r="Z237" i="26"/>
  <c r="X237" i="26" a="1"/>
  <c r="X237" i="26"/>
  <c r="V237" i="26" a="1"/>
  <c r="V237" i="26"/>
  <c r="T237" i="26" a="1"/>
  <c r="T237" i="26"/>
  <c r="S237" i="26" a="1"/>
  <c r="S237" i="26"/>
  <c r="R237" i="26" a="1"/>
  <c r="R237" i="26"/>
  <c r="Q237" i="26" a="1"/>
  <c r="Q237" i="26"/>
  <c r="O237" i="26" a="1"/>
  <c r="O237" i="26"/>
  <c r="N237" i="26" a="1"/>
  <c r="N237" i="26"/>
  <c r="L237" i="26" a="1"/>
  <c r="L237" i="26"/>
  <c r="J237" i="26" a="1"/>
  <c r="J237" i="26"/>
  <c r="I237" i="26" a="1"/>
  <c r="I237" i="26"/>
  <c r="H237" i="26" a="1"/>
  <c r="H237" i="26"/>
  <c r="G237" i="26" a="1"/>
  <c r="G237" i="26"/>
  <c r="F237" i="26" a="1"/>
  <c r="F237" i="26"/>
  <c r="C237" i="26"/>
  <c r="B237" i="26"/>
  <c r="A237" i="26"/>
  <c r="AG236" i="26" a="1"/>
  <c r="AG236" i="26"/>
  <c r="AE236" i="26" a="1"/>
  <c r="AE236" i="26"/>
  <c r="AD236" i="26" a="1"/>
  <c r="AD236" i="26"/>
  <c r="AB236" i="26" a="1"/>
  <c r="AB236" i="26"/>
  <c r="AA236" i="26" a="1"/>
  <c r="AA236" i="26"/>
  <c r="Z236" i="26" a="1"/>
  <c r="Z236" i="26"/>
  <c r="X236" i="26" a="1"/>
  <c r="X236" i="26"/>
  <c r="V236" i="26" a="1"/>
  <c r="V236" i="26"/>
  <c r="T236" i="26" a="1"/>
  <c r="T236" i="26"/>
  <c r="S236" i="26" a="1"/>
  <c r="S236" i="26"/>
  <c r="R236" i="26" a="1"/>
  <c r="R236" i="26"/>
  <c r="Q236" i="26" a="1"/>
  <c r="Q236" i="26"/>
  <c r="O236" i="26" a="1"/>
  <c r="O236" i="26"/>
  <c r="N236" i="26" a="1"/>
  <c r="N236" i="26"/>
  <c r="L236" i="26" a="1"/>
  <c r="L236" i="26"/>
  <c r="J236" i="26" a="1"/>
  <c r="J236" i="26"/>
  <c r="I236" i="26" a="1"/>
  <c r="I236" i="26"/>
  <c r="H236" i="26" a="1"/>
  <c r="H236" i="26"/>
  <c r="G236" i="26" a="1"/>
  <c r="G236" i="26"/>
  <c r="F236" i="26" a="1"/>
  <c r="F236" i="26"/>
  <c r="C236" i="26"/>
  <c r="B236" i="26"/>
  <c r="A236" i="26"/>
  <c r="AG235" i="26" a="1"/>
  <c r="AG235" i="26"/>
  <c r="AE235" i="26" a="1"/>
  <c r="AE235" i="26"/>
  <c r="AD235" i="26" a="1"/>
  <c r="AD235" i="26"/>
  <c r="AB235" i="26" a="1"/>
  <c r="AB235" i="26"/>
  <c r="AA235" i="26" a="1"/>
  <c r="AA235" i="26"/>
  <c r="Z235" i="26" a="1"/>
  <c r="Z235" i="26"/>
  <c r="X235" i="26" a="1"/>
  <c r="X235" i="26"/>
  <c r="V235" i="26" a="1"/>
  <c r="V235" i="26"/>
  <c r="T235" i="26" a="1"/>
  <c r="T235" i="26"/>
  <c r="S235" i="26" a="1"/>
  <c r="S235" i="26"/>
  <c r="R235" i="26" a="1"/>
  <c r="R235" i="26"/>
  <c r="Q235" i="26" a="1"/>
  <c r="Q235" i="26"/>
  <c r="O235" i="26" a="1"/>
  <c r="O235" i="26"/>
  <c r="N235" i="26" a="1"/>
  <c r="N235" i="26"/>
  <c r="L235" i="26" a="1"/>
  <c r="L235" i="26"/>
  <c r="J235" i="26" a="1"/>
  <c r="J235" i="26"/>
  <c r="I235" i="26" a="1"/>
  <c r="I235" i="26"/>
  <c r="H235" i="26" a="1"/>
  <c r="H235" i="26"/>
  <c r="G235" i="26" a="1"/>
  <c r="G235" i="26"/>
  <c r="F235" i="26" a="1"/>
  <c r="F235" i="26"/>
  <c r="C235" i="26"/>
  <c r="B235" i="26"/>
  <c r="A235" i="26"/>
  <c r="AG234" i="26" a="1"/>
  <c r="AG234" i="26"/>
  <c r="AE234" i="26" a="1"/>
  <c r="AE234" i="26"/>
  <c r="AD234" i="26" a="1"/>
  <c r="AD234" i="26"/>
  <c r="AB234" i="26" a="1"/>
  <c r="AB234" i="26"/>
  <c r="AA234" i="26" a="1"/>
  <c r="AA234" i="26"/>
  <c r="Z234" i="26" a="1"/>
  <c r="Z234" i="26"/>
  <c r="X234" i="26" a="1"/>
  <c r="X234" i="26"/>
  <c r="V234" i="26" a="1"/>
  <c r="V234" i="26"/>
  <c r="T234" i="26" a="1"/>
  <c r="T234" i="26"/>
  <c r="S234" i="26" a="1"/>
  <c r="S234" i="26"/>
  <c r="R234" i="26" a="1"/>
  <c r="R234" i="26"/>
  <c r="Q234" i="26" a="1"/>
  <c r="Q234" i="26"/>
  <c r="O234" i="26" a="1"/>
  <c r="O234" i="26"/>
  <c r="N234" i="26" a="1"/>
  <c r="N234" i="26"/>
  <c r="L234" i="26" a="1"/>
  <c r="L234" i="26"/>
  <c r="J234" i="26" a="1"/>
  <c r="J234" i="26"/>
  <c r="I234" i="26" a="1"/>
  <c r="I234" i="26"/>
  <c r="H234" i="26" a="1"/>
  <c r="H234" i="26"/>
  <c r="G234" i="26" a="1"/>
  <c r="G234" i="26"/>
  <c r="F234" i="26" a="1"/>
  <c r="F234" i="26"/>
  <c r="C234" i="26"/>
  <c r="B234" i="26"/>
  <c r="A234" i="26"/>
  <c r="AG233" i="26" a="1"/>
  <c r="AG233" i="26"/>
  <c r="AE233" i="26" a="1"/>
  <c r="AE233" i="26"/>
  <c r="AD233" i="26" a="1"/>
  <c r="AD233" i="26"/>
  <c r="AB233" i="26" a="1"/>
  <c r="AB233" i="26"/>
  <c r="AA233" i="26" a="1"/>
  <c r="AA233" i="26"/>
  <c r="Z233" i="26" a="1"/>
  <c r="Z233" i="26"/>
  <c r="X233" i="26" a="1"/>
  <c r="X233" i="26"/>
  <c r="V233" i="26" a="1"/>
  <c r="V233" i="26"/>
  <c r="T233" i="26" a="1"/>
  <c r="T233" i="26"/>
  <c r="S233" i="26" a="1"/>
  <c r="S233" i="26"/>
  <c r="R233" i="26" a="1"/>
  <c r="R233" i="26"/>
  <c r="Q233" i="26" a="1"/>
  <c r="Q233" i="26"/>
  <c r="O233" i="26" a="1"/>
  <c r="O233" i="26"/>
  <c r="N233" i="26" a="1"/>
  <c r="N233" i="26"/>
  <c r="L233" i="26" a="1"/>
  <c r="L233" i="26"/>
  <c r="J233" i="26" a="1"/>
  <c r="J233" i="26"/>
  <c r="I233" i="26" a="1"/>
  <c r="I233" i="26"/>
  <c r="H233" i="26" a="1"/>
  <c r="H233" i="26"/>
  <c r="G233" i="26" a="1"/>
  <c r="G233" i="26"/>
  <c r="F233" i="26" a="1"/>
  <c r="F233" i="26"/>
  <c r="C233" i="26"/>
  <c r="B233" i="26"/>
  <c r="A233" i="26"/>
  <c r="AG232" i="26" a="1"/>
  <c r="AG232" i="26"/>
  <c r="AE232" i="26" a="1"/>
  <c r="AE232" i="26"/>
  <c r="AD232" i="26" a="1"/>
  <c r="AD232" i="26"/>
  <c r="AB232" i="26" a="1"/>
  <c r="AB232" i="26"/>
  <c r="AA232" i="26" a="1"/>
  <c r="AA232" i="26"/>
  <c r="Z232" i="26" a="1"/>
  <c r="Z232" i="26"/>
  <c r="X232" i="26" a="1"/>
  <c r="X232" i="26"/>
  <c r="V232" i="26" a="1"/>
  <c r="V232" i="26"/>
  <c r="T232" i="26" a="1"/>
  <c r="T232" i="26"/>
  <c r="S232" i="26" a="1"/>
  <c r="S232" i="26"/>
  <c r="R232" i="26" a="1"/>
  <c r="R232" i="26"/>
  <c r="Q232" i="26" a="1"/>
  <c r="Q232" i="26"/>
  <c r="O232" i="26" a="1"/>
  <c r="O232" i="26"/>
  <c r="N232" i="26" a="1"/>
  <c r="N232" i="26"/>
  <c r="L232" i="26" a="1"/>
  <c r="L232" i="26"/>
  <c r="J232" i="26" a="1"/>
  <c r="J232" i="26"/>
  <c r="I232" i="26" a="1"/>
  <c r="I232" i="26"/>
  <c r="H232" i="26" a="1"/>
  <c r="H232" i="26"/>
  <c r="G232" i="26" a="1"/>
  <c r="G232" i="26"/>
  <c r="F232" i="26" a="1"/>
  <c r="F232" i="26"/>
  <c r="C232" i="26"/>
  <c r="B232" i="26"/>
  <c r="A232" i="26"/>
  <c r="AG231" i="26" a="1"/>
  <c r="AG231" i="26"/>
  <c r="AE231" i="26" a="1"/>
  <c r="AE231" i="26"/>
  <c r="AD231" i="26" a="1"/>
  <c r="AD231" i="26"/>
  <c r="AB231" i="26" a="1"/>
  <c r="AB231" i="26"/>
  <c r="AA231" i="26" a="1"/>
  <c r="AA231" i="26"/>
  <c r="Z231" i="26" a="1"/>
  <c r="Z231" i="26"/>
  <c r="X231" i="26" a="1"/>
  <c r="X231" i="26"/>
  <c r="V231" i="26" a="1"/>
  <c r="V231" i="26"/>
  <c r="T231" i="26" a="1"/>
  <c r="T231" i="26"/>
  <c r="S231" i="26" a="1"/>
  <c r="S231" i="26"/>
  <c r="R231" i="26" a="1"/>
  <c r="R231" i="26"/>
  <c r="Q231" i="26" a="1"/>
  <c r="Q231" i="26"/>
  <c r="O231" i="26" a="1"/>
  <c r="O231" i="26"/>
  <c r="N231" i="26" a="1"/>
  <c r="N231" i="26"/>
  <c r="L231" i="26" a="1"/>
  <c r="L231" i="26"/>
  <c r="J231" i="26" a="1"/>
  <c r="J231" i="26"/>
  <c r="I231" i="26" a="1"/>
  <c r="I231" i="26"/>
  <c r="H231" i="26" a="1"/>
  <c r="H231" i="26"/>
  <c r="G231" i="26" a="1"/>
  <c r="G231" i="26"/>
  <c r="F231" i="26" a="1"/>
  <c r="F231" i="26"/>
  <c r="C231" i="26"/>
  <c r="B231" i="26"/>
  <c r="A231" i="26"/>
  <c r="AG2" i="26"/>
  <c r="AE2" i="26"/>
  <c r="AD2" i="26"/>
  <c r="AB2" i="26"/>
  <c r="AA2" i="26"/>
  <c r="Z2" i="26"/>
  <c r="X2" i="26"/>
  <c r="V2" i="26"/>
  <c r="T2" i="26"/>
  <c r="S2" i="26"/>
  <c r="R2" i="26"/>
  <c r="Q2" i="26"/>
  <c r="O2" i="26"/>
  <c r="N2" i="26"/>
  <c r="L2" i="26"/>
  <c r="J2" i="26"/>
  <c r="I2" i="26"/>
  <c r="H2" i="26"/>
  <c r="G2" i="26"/>
  <c r="F2" i="26"/>
  <c r="C24" i="18"/>
  <c r="C28" i="18"/>
  <c r="C32" i="18"/>
  <c r="C9" i="18"/>
  <c r="C13" i="18"/>
  <c r="C17" i="18"/>
  <c r="C26" i="18"/>
  <c r="C30" i="18"/>
  <c r="E30" i="18"/>
  <c r="C34" i="18"/>
  <c r="C11" i="18"/>
  <c r="C15" i="18"/>
  <c r="C19" i="18"/>
  <c r="C27" i="18"/>
  <c r="C31" i="18"/>
  <c r="C23" i="18"/>
  <c r="C12" i="18"/>
  <c r="E12" i="18"/>
  <c r="C16" i="18"/>
  <c r="C8" i="18"/>
  <c r="C25" i="18"/>
  <c r="C14" i="18"/>
  <c r="C29" i="18"/>
  <c r="C18" i="18"/>
  <c r="C33" i="18"/>
  <c r="C10" i="18"/>
  <c r="D181" i="18"/>
  <c r="C176" i="18"/>
  <c r="D176" i="18"/>
  <c r="D113" i="18"/>
  <c r="D114" i="18"/>
  <c r="D115" i="18"/>
  <c r="F113" i="18"/>
  <c r="F114" i="18"/>
  <c r="F115" i="18"/>
  <c r="F116" i="18"/>
  <c r="C113" i="18"/>
  <c r="C115" i="18"/>
  <c r="E116" i="18"/>
  <c r="F117" i="18"/>
  <c r="F118" i="18"/>
  <c r="F119" i="18"/>
  <c r="F120" i="18"/>
  <c r="F121" i="18"/>
  <c r="F122" i="18"/>
  <c r="F123" i="18"/>
  <c r="F112" i="18"/>
  <c r="E115" i="18"/>
  <c r="C117" i="18"/>
  <c r="C119" i="18"/>
  <c r="C121" i="18"/>
  <c r="C123" i="18"/>
  <c r="D116" i="18"/>
  <c r="E118" i="18"/>
  <c r="E120" i="18"/>
  <c r="E123" i="18"/>
  <c r="E113" i="18"/>
  <c r="C118" i="18"/>
  <c r="C120" i="18"/>
  <c r="C122" i="18"/>
  <c r="E112" i="18"/>
  <c r="E114" i="18"/>
  <c r="E119" i="18"/>
  <c r="E122" i="18"/>
  <c r="C112" i="18"/>
  <c r="C114" i="18"/>
  <c r="C116" i="18"/>
  <c r="D117" i="18"/>
  <c r="D118" i="18"/>
  <c r="D119" i="18"/>
  <c r="D120" i="18"/>
  <c r="D121" i="18"/>
  <c r="D122" i="18"/>
  <c r="D123" i="18"/>
  <c r="D112" i="18"/>
  <c r="E117" i="18"/>
  <c r="E121" i="18"/>
  <c r="C101" i="10"/>
  <c r="C105" i="10"/>
  <c r="C109" i="10"/>
  <c r="C70" i="10"/>
  <c r="C74" i="10"/>
  <c r="C78" i="10"/>
  <c r="C55" i="10"/>
  <c r="C59" i="10"/>
  <c r="C63" i="10"/>
  <c r="C40" i="10"/>
  <c r="C44" i="10"/>
  <c r="C48" i="10"/>
  <c r="C25" i="10"/>
  <c r="C29" i="10"/>
  <c r="C33" i="10"/>
  <c r="C103" i="10"/>
  <c r="C107" i="10"/>
  <c r="C111" i="10"/>
  <c r="C72" i="10"/>
  <c r="C76" i="10"/>
  <c r="C80" i="10"/>
  <c r="C57" i="10"/>
  <c r="C61" i="10"/>
  <c r="C65" i="10"/>
  <c r="C42" i="10"/>
  <c r="C46" i="10"/>
  <c r="C50" i="10"/>
  <c r="C27" i="10"/>
  <c r="C31" i="10"/>
  <c r="C35" i="10"/>
  <c r="C104" i="10"/>
  <c r="C108" i="10"/>
  <c r="C100" i="10"/>
  <c r="C73" i="10"/>
  <c r="C77" i="10"/>
  <c r="C69" i="10"/>
  <c r="C58" i="10"/>
  <c r="C62" i="10"/>
  <c r="C54" i="10"/>
  <c r="C43" i="10"/>
  <c r="C47" i="10"/>
  <c r="C39" i="10"/>
  <c r="C28" i="10"/>
  <c r="C32" i="10"/>
  <c r="C24" i="10"/>
  <c r="C110" i="10"/>
  <c r="C56" i="10"/>
  <c r="C45" i="10"/>
  <c r="C34" i="10"/>
  <c r="C71" i="10"/>
  <c r="C60" i="10"/>
  <c r="C49" i="10"/>
  <c r="C75" i="10"/>
  <c r="C26" i="10"/>
  <c r="C30" i="10"/>
  <c r="C102" i="10"/>
  <c r="C64" i="10"/>
  <c r="C106" i="10"/>
  <c r="C41" i="10"/>
  <c r="C79" i="10"/>
  <c r="L308" i="18"/>
  <c r="L311" i="18"/>
  <c r="L310" i="18"/>
  <c r="L309" i="18"/>
  <c r="G188" i="18"/>
  <c r="F311" i="18"/>
  <c r="F309" i="18"/>
  <c r="F310" i="18"/>
  <c r="F308" i="18"/>
  <c r="J188" i="18"/>
  <c r="I311" i="18"/>
  <c r="I309" i="18"/>
  <c r="I310" i="18"/>
  <c r="I308" i="18"/>
  <c r="H310" i="18"/>
  <c r="H308" i="18"/>
  <c r="H311" i="18"/>
  <c r="H309" i="18"/>
  <c r="K308" i="18"/>
  <c r="K311" i="18"/>
  <c r="K310" i="18"/>
  <c r="K309" i="18"/>
  <c r="E310" i="18"/>
  <c r="E308" i="18"/>
  <c r="E311" i="18"/>
  <c r="E309" i="18"/>
  <c r="I64" i="13"/>
  <c r="I11" i="13"/>
  <c r="I63" i="13"/>
  <c r="E19" i="13"/>
  <c r="F264" i="10"/>
  <c r="F266" i="10"/>
  <c r="F267" i="10"/>
  <c r="F265" i="10"/>
  <c r="E265" i="10"/>
  <c r="E264" i="10"/>
  <c r="E267" i="10"/>
  <c r="E266" i="10"/>
  <c r="I264" i="10"/>
  <c r="I265" i="10"/>
  <c r="I266" i="10"/>
  <c r="I267" i="10"/>
  <c r="H264" i="10"/>
  <c r="H265" i="10"/>
  <c r="H266" i="10"/>
  <c r="H267" i="10"/>
  <c r="G264" i="10"/>
  <c r="G266" i="10"/>
  <c r="G267" i="10"/>
  <c r="G265" i="10"/>
  <c r="E30" i="13"/>
  <c r="E26" i="13"/>
  <c r="E15" i="13"/>
  <c r="E16" i="13"/>
  <c r="E24" i="13"/>
  <c r="E29" i="13"/>
  <c r="E18" i="13"/>
  <c r="E25" i="13"/>
  <c r="E14" i="13"/>
  <c r="E8" i="13"/>
  <c r="I24" i="13"/>
  <c r="D39" i="13"/>
  <c r="E31" i="13"/>
  <c r="I27" i="13"/>
  <c r="D42" i="13"/>
  <c r="I26" i="13"/>
  <c r="D41" i="13"/>
  <c r="E32" i="13"/>
  <c r="E33" i="13"/>
  <c r="E9" i="13"/>
  <c r="E12" i="13"/>
  <c r="E28" i="13"/>
  <c r="I16" i="13"/>
  <c r="I58" i="13"/>
  <c r="I31" i="13"/>
  <c r="D46" i="13"/>
  <c r="I14" i="13"/>
  <c r="I56" i="13"/>
  <c r="E34" i="13"/>
  <c r="E27" i="13"/>
  <c r="E13" i="13"/>
  <c r="E10" i="13"/>
  <c r="E17" i="13"/>
  <c r="I29" i="13"/>
  <c r="D44" i="13"/>
  <c r="I18" i="13"/>
  <c r="E11" i="13"/>
  <c r="E23" i="13"/>
  <c r="I8" i="12"/>
  <c r="E8" i="12"/>
  <c r="I15" i="12"/>
  <c r="E15" i="12"/>
  <c r="I18" i="12"/>
  <c r="E18" i="12"/>
  <c r="I17" i="12"/>
  <c r="E17" i="12"/>
  <c r="I19" i="12"/>
  <c r="E19" i="12"/>
  <c r="I16" i="12"/>
  <c r="E16" i="12"/>
  <c r="I11" i="12"/>
  <c r="E11" i="12"/>
  <c r="I10" i="12"/>
  <c r="E10" i="12"/>
  <c r="I13" i="12"/>
  <c r="E13" i="12"/>
  <c r="I12" i="12"/>
  <c r="E12" i="12"/>
  <c r="I9" i="12"/>
  <c r="E9" i="12"/>
  <c r="I14" i="12"/>
  <c r="E14" i="12"/>
  <c r="I32" i="13"/>
  <c r="D47" i="13"/>
  <c r="I15" i="13"/>
  <c r="I57" i="13"/>
  <c r="I8" i="13"/>
  <c r="C38" i="13"/>
  <c r="I30" i="13"/>
  <c r="D45" i="13"/>
  <c r="I61" i="13"/>
  <c r="I13" i="13"/>
  <c r="I55" i="13"/>
  <c r="I60" i="13"/>
  <c r="I34" i="13"/>
  <c r="D49" i="13"/>
  <c r="I10" i="13"/>
  <c r="I62" i="13"/>
  <c r="I9" i="13"/>
  <c r="I25" i="13"/>
  <c r="D40" i="13"/>
  <c r="I19" i="13"/>
  <c r="I53" i="13"/>
  <c r="I12" i="13"/>
  <c r="I54" i="13"/>
  <c r="I17" i="13"/>
  <c r="I59" i="13"/>
  <c r="I33" i="13"/>
  <c r="D48" i="13"/>
  <c r="D43" i="13"/>
  <c r="L23" i="18"/>
  <c r="L12" i="18"/>
  <c r="L16" i="18"/>
  <c r="L8" i="18"/>
  <c r="L25" i="18"/>
  <c r="L27" i="18"/>
  <c r="L29" i="18"/>
  <c r="L31" i="18"/>
  <c r="L33" i="18"/>
  <c r="L13" i="18"/>
  <c r="L18" i="18"/>
  <c r="L28" i="18"/>
  <c r="L9" i="18"/>
  <c r="L15" i="18"/>
  <c r="L30" i="18"/>
  <c r="L14" i="18"/>
  <c r="L32" i="18"/>
  <c r="L17" i="18"/>
  <c r="L24" i="18"/>
  <c r="L10" i="18"/>
  <c r="L34" i="18"/>
  <c r="L11" i="18"/>
  <c r="L19" i="18"/>
  <c r="L26" i="18"/>
  <c r="G27" i="10"/>
  <c r="G248" i="18"/>
  <c r="J247" i="18"/>
  <c r="G246" i="18"/>
  <c r="G289" i="18"/>
  <c r="J307" i="18"/>
  <c r="G279" i="18"/>
  <c r="J244" i="18"/>
  <c r="J278" i="18"/>
  <c r="G305" i="18"/>
  <c r="G304" i="18"/>
  <c r="J276" i="18"/>
  <c r="G275" i="18"/>
  <c r="J220" i="18"/>
  <c r="G219" i="18"/>
  <c r="J218" i="18"/>
  <c r="G274" i="18"/>
  <c r="G243" i="18"/>
  <c r="J217" i="18"/>
  <c r="G193" i="18"/>
  <c r="J242" i="18"/>
  <c r="G207" i="18"/>
  <c r="J192" i="18"/>
  <c r="J272" i="18"/>
  <c r="G271" i="18"/>
  <c r="G205" i="18"/>
  <c r="C175" i="18"/>
  <c r="J204" i="18"/>
  <c r="J287" i="18"/>
  <c r="G303" i="18"/>
  <c r="J203" i="18"/>
  <c r="J269" i="18"/>
  <c r="G268" i="18"/>
  <c r="J241" i="18"/>
  <c r="J286" i="18"/>
  <c r="G250" i="18"/>
  <c r="J285" i="18"/>
  <c r="G284" i="18"/>
  <c r="G215" i="18"/>
  <c r="G214" i="18"/>
  <c r="J190" i="18"/>
  <c r="G266" i="18"/>
  <c r="J302" i="18"/>
  <c r="G301" i="18"/>
  <c r="J201" i="18"/>
  <c r="J238" i="18"/>
  <c r="G237" i="18"/>
  <c r="J234" i="18"/>
  <c r="G233" i="18"/>
  <c r="G213" i="18"/>
  <c r="J299" i="18"/>
  <c r="G281" i="18"/>
  <c r="C181" i="18"/>
  <c r="G283" i="18"/>
  <c r="J199" i="18"/>
  <c r="G189" i="18"/>
  <c r="G232" i="18"/>
  <c r="J231" i="18"/>
  <c r="G297" i="18"/>
  <c r="G264" i="18"/>
  <c r="G230" i="18"/>
  <c r="G261" i="18"/>
  <c r="J229" i="18"/>
  <c r="G260" i="18"/>
  <c r="G258" i="18"/>
  <c r="G225" i="18"/>
  <c r="J197" i="18"/>
  <c r="G296" i="18"/>
  <c r="G194" i="18"/>
  <c r="C173" i="18"/>
  <c r="J212" i="18"/>
  <c r="G211" i="18"/>
  <c r="J210" i="18"/>
  <c r="G209" i="18"/>
  <c r="G195" i="18"/>
  <c r="C174" i="18"/>
  <c r="J256" i="18"/>
  <c r="G294" i="18"/>
  <c r="J222" i="18"/>
  <c r="G221" i="18"/>
  <c r="G249" i="18"/>
  <c r="C179" i="18"/>
  <c r="G292" i="18"/>
  <c r="J255" i="18"/>
  <c r="G254" i="18"/>
  <c r="J253" i="18"/>
  <c r="G252" i="18"/>
  <c r="D38" i="13"/>
  <c r="G26" i="10"/>
  <c r="G28" i="10"/>
  <c r="D102" i="10"/>
  <c r="D106" i="10"/>
  <c r="D110" i="10"/>
  <c r="D71" i="10"/>
  <c r="D75" i="10"/>
  <c r="D79" i="10"/>
  <c r="D56" i="10"/>
  <c r="D64" i="10"/>
  <c r="D49" i="10"/>
  <c r="D34" i="10"/>
  <c r="D72" i="10"/>
  <c r="D57" i="10"/>
  <c r="D65" i="10"/>
  <c r="D50" i="10"/>
  <c r="D35" i="10"/>
  <c r="D73" i="10"/>
  <c r="D58" i="10"/>
  <c r="D43" i="10"/>
  <c r="D28" i="10"/>
  <c r="D24" i="10"/>
  <c r="D101" i="10"/>
  <c r="D105" i="10"/>
  <c r="D109" i="10"/>
  <c r="D70" i="10"/>
  <c r="D74" i="10"/>
  <c r="D78" i="10"/>
  <c r="D55" i="10"/>
  <c r="D59" i="10"/>
  <c r="D63" i="10"/>
  <c r="D40" i="10"/>
  <c r="D44" i="10"/>
  <c r="D48" i="10"/>
  <c r="D25" i="10"/>
  <c r="D29" i="10"/>
  <c r="D33" i="10"/>
  <c r="D60" i="10"/>
  <c r="D41" i="10"/>
  <c r="D45" i="10"/>
  <c r="D26" i="10"/>
  <c r="D30" i="10"/>
  <c r="D103" i="10"/>
  <c r="D107" i="10"/>
  <c r="D111" i="10"/>
  <c r="D76" i="10"/>
  <c r="D80" i="10"/>
  <c r="D61" i="10"/>
  <c r="D42" i="10"/>
  <c r="D46" i="10"/>
  <c r="D27" i="10"/>
  <c r="D31" i="10"/>
  <c r="D104" i="10"/>
  <c r="D108" i="10"/>
  <c r="D100" i="10"/>
  <c r="D77" i="10"/>
  <c r="D69" i="10"/>
  <c r="D62" i="10"/>
  <c r="D54" i="10"/>
  <c r="D47" i="10"/>
  <c r="D39" i="10"/>
  <c r="D32" i="10"/>
  <c r="G41" i="10"/>
  <c r="G45" i="10"/>
  <c r="G49" i="10"/>
  <c r="G42" i="10"/>
  <c r="G50" i="10"/>
  <c r="G39" i="10"/>
  <c r="G40" i="10"/>
  <c r="G44" i="10"/>
  <c r="G48" i="10"/>
  <c r="G46" i="10"/>
  <c r="G43" i="10"/>
  <c r="G47" i="10"/>
  <c r="G33" i="10"/>
  <c r="G29" i="10"/>
  <c r="G25" i="10"/>
  <c r="G102" i="10"/>
  <c r="G106" i="10"/>
  <c r="G110" i="10"/>
  <c r="G103" i="10"/>
  <c r="G108" i="10"/>
  <c r="G101" i="10"/>
  <c r="G105" i="10"/>
  <c r="G109" i="10"/>
  <c r="G107" i="10"/>
  <c r="G111" i="10"/>
  <c r="G104" i="10"/>
  <c r="G100" i="10"/>
  <c r="G24" i="10"/>
  <c r="G32" i="10"/>
  <c r="G71" i="10"/>
  <c r="G75" i="10"/>
  <c r="G79" i="10"/>
  <c r="G72" i="10"/>
  <c r="G73" i="10"/>
  <c r="G70" i="10"/>
  <c r="G74" i="10"/>
  <c r="G78" i="10"/>
  <c r="G76" i="10"/>
  <c r="G80" i="10"/>
  <c r="G77" i="10"/>
  <c r="G69" i="10"/>
  <c r="G35" i="10"/>
  <c r="G31" i="10"/>
  <c r="G56" i="10"/>
  <c r="G60" i="10"/>
  <c r="G64" i="10"/>
  <c r="G57" i="10"/>
  <c r="G58" i="10"/>
  <c r="G54" i="10"/>
  <c r="G55" i="10"/>
  <c r="G59" i="10"/>
  <c r="G63" i="10"/>
  <c r="G61" i="10"/>
  <c r="G65" i="10"/>
  <c r="G62" i="10"/>
  <c r="G34" i="10"/>
  <c r="G30" i="10"/>
  <c r="G290" i="18"/>
  <c r="G280" i="18"/>
  <c r="J248" i="18"/>
  <c r="G247" i="18"/>
  <c r="J246" i="18"/>
  <c r="G307" i="18"/>
  <c r="J279" i="18"/>
  <c r="G244" i="18"/>
  <c r="G278" i="18"/>
  <c r="G277" i="18"/>
  <c r="J304" i="18"/>
  <c r="G276" i="18"/>
  <c r="J275" i="18"/>
  <c r="G220" i="18"/>
  <c r="J219" i="18"/>
  <c r="G218" i="18"/>
  <c r="G273" i="18"/>
  <c r="J243" i="18"/>
  <c r="G217" i="18"/>
  <c r="J193" i="18"/>
  <c r="G242" i="18"/>
  <c r="J207" i="18"/>
  <c r="G192" i="18"/>
  <c r="J206" i="18"/>
  <c r="G272" i="18"/>
  <c r="G270" i="18"/>
  <c r="J205" i="18"/>
  <c r="G287" i="18"/>
  <c r="J303" i="18"/>
  <c r="J191" i="18"/>
  <c r="G269" i="18"/>
  <c r="J268" i="18"/>
  <c r="G241" i="18"/>
  <c r="G286" i="18"/>
  <c r="J250" i="18"/>
  <c r="G285" i="18"/>
  <c r="J284" i="18"/>
  <c r="G216" i="18"/>
  <c r="G267" i="18"/>
  <c r="J214" i="18"/>
  <c r="G190" i="18"/>
  <c r="J266" i="18"/>
  <c r="G302" i="18"/>
  <c r="G238" i="18"/>
  <c r="J237" i="18"/>
  <c r="G234" i="18"/>
  <c r="J233" i="18"/>
  <c r="G300" i="18"/>
  <c r="J213" i="18"/>
  <c r="G299" i="18"/>
  <c r="G298" i="18"/>
  <c r="J283" i="18"/>
  <c r="J189" i="18"/>
  <c r="J232" i="18"/>
  <c r="G231" i="18"/>
  <c r="G265" i="18"/>
  <c r="G263" i="18"/>
  <c r="J230" i="18"/>
  <c r="G262" i="18"/>
  <c r="G229" i="18"/>
  <c r="J260" i="18"/>
  <c r="G259" i="18"/>
  <c r="J225" i="18"/>
  <c r="G257" i="18"/>
  <c r="G295" i="18"/>
  <c r="J194" i="18"/>
  <c r="D173" i="18"/>
  <c r="J211" i="18"/>
  <c r="G210" i="18"/>
  <c r="J209" i="18"/>
  <c r="J195" i="18"/>
  <c r="D174" i="18"/>
  <c r="G256" i="18"/>
  <c r="G222" i="18"/>
  <c r="J221" i="18"/>
  <c r="G293" i="18"/>
  <c r="J249" i="18"/>
  <c r="D179" i="18"/>
  <c r="G255" i="18"/>
  <c r="G253" i="18"/>
  <c r="J252" i="18"/>
  <c r="G291" i="18"/>
  <c r="J291" i="18"/>
  <c r="F50" i="10"/>
  <c r="F25" i="10"/>
  <c r="F32" i="10"/>
  <c r="F101" i="10"/>
  <c r="F108" i="10"/>
  <c r="F111" i="10"/>
  <c r="F80" i="10"/>
  <c r="F106" i="10"/>
  <c r="F100" i="10"/>
  <c r="F35" i="10"/>
  <c r="F42" i="10"/>
  <c r="F56" i="10"/>
  <c r="F74" i="10"/>
  <c r="F104" i="10"/>
  <c r="F70" i="10"/>
  <c r="F31" i="10"/>
  <c r="F27" i="10"/>
  <c r="F49" i="10"/>
  <c r="F45" i="10"/>
  <c r="F41" i="10"/>
  <c r="F63" i="10"/>
  <c r="F59" i="10"/>
  <c r="F69" i="10"/>
  <c r="F77" i="10"/>
  <c r="F73" i="10"/>
  <c r="F107" i="10"/>
  <c r="F103" i="10"/>
  <c r="F30" i="10"/>
  <c r="F44" i="10"/>
  <c r="F58" i="10"/>
  <c r="F72" i="10"/>
  <c r="F102" i="10"/>
  <c r="F24" i="10"/>
  <c r="F28" i="10"/>
  <c r="F46" i="10"/>
  <c r="F64" i="10"/>
  <c r="F60" i="10"/>
  <c r="F78" i="10"/>
  <c r="F55" i="10"/>
  <c r="F34" i="10"/>
  <c r="F26" i="10"/>
  <c r="F48" i="10"/>
  <c r="F54" i="10"/>
  <c r="F62" i="10"/>
  <c r="F76" i="10"/>
  <c r="F110" i="10"/>
  <c r="F40" i="10"/>
  <c r="I72" i="10"/>
  <c r="I110" i="10"/>
  <c r="I79" i="10"/>
  <c r="I60" i="10"/>
  <c r="I30" i="10"/>
  <c r="I70" i="10"/>
  <c r="I59" i="10"/>
  <c r="F33" i="10"/>
  <c r="F29" i="10"/>
  <c r="F39" i="10"/>
  <c r="F47" i="10"/>
  <c r="F43" i="10"/>
  <c r="F65" i="10"/>
  <c r="F61" i="10"/>
  <c r="F57" i="10"/>
  <c r="F79" i="10"/>
  <c r="F75" i="10"/>
  <c r="F71" i="10"/>
  <c r="F109" i="10"/>
  <c r="F105" i="10"/>
  <c r="F33" i="18"/>
  <c r="F31" i="18"/>
  <c r="F29" i="18"/>
  <c r="F27" i="18"/>
  <c r="F25" i="18"/>
  <c r="F23" i="18"/>
  <c r="F34" i="18"/>
  <c r="F32" i="18"/>
  <c r="F30" i="18"/>
  <c r="F28" i="18"/>
  <c r="F26" i="18"/>
  <c r="F24" i="18"/>
  <c r="F8" i="18"/>
  <c r="E17" i="18"/>
  <c r="E15" i="18"/>
  <c r="E25" i="18"/>
  <c r="E10" i="18"/>
  <c r="D175" i="18"/>
  <c r="D180" i="18"/>
  <c r="C178" i="18"/>
  <c r="C182" i="18"/>
  <c r="D172" i="18"/>
  <c r="D178" i="18"/>
  <c r="D177" i="18"/>
  <c r="C183" i="18"/>
  <c r="C177" i="18"/>
  <c r="C172" i="18"/>
  <c r="D183" i="18"/>
  <c r="D182" i="18"/>
  <c r="C180" i="18"/>
  <c r="E151" i="18"/>
  <c r="E136" i="18"/>
  <c r="D167" i="18"/>
  <c r="D152" i="18"/>
  <c r="D137" i="18"/>
  <c r="D163" i="18"/>
  <c r="D148" i="18"/>
  <c r="D133" i="18"/>
  <c r="C142" i="18"/>
  <c r="C127" i="18"/>
  <c r="E142" i="18"/>
  <c r="E127" i="18"/>
  <c r="E143" i="18"/>
  <c r="E128" i="18"/>
  <c r="D146" i="18"/>
  <c r="D131" i="18"/>
  <c r="D161" i="18"/>
  <c r="C147" i="18"/>
  <c r="C132" i="18"/>
  <c r="F153" i="18"/>
  <c r="F138" i="18"/>
  <c r="F168" i="18"/>
  <c r="F149" i="18"/>
  <c r="F134" i="18"/>
  <c r="F164" i="18"/>
  <c r="C145" i="18"/>
  <c r="C130" i="18"/>
  <c r="F159" i="18"/>
  <c r="F144" i="18"/>
  <c r="F129" i="18"/>
  <c r="D159" i="18"/>
  <c r="D144" i="18"/>
  <c r="D129" i="18"/>
  <c r="J14" i="18" a="1"/>
  <c r="J14" i="18"/>
  <c r="O14" i="18"/>
  <c r="J44" i="18"/>
  <c r="L44" i="18"/>
  <c r="J90" i="18"/>
  <c r="E147" i="18"/>
  <c r="E132" i="18"/>
  <c r="D151" i="18"/>
  <c r="D136" i="18"/>
  <c r="D166" i="18"/>
  <c r="D147" i="18"/>
  <c r="D132" i="18"/>
  <c r="D162" i="18"/>
  <c r="E137" i="18"/>
  <c r="E152" i="18"/>
  <c r="C152" i="18"/>
  <c r="C137" i="18"/>
  <c r="E153" i="18"/>
  <c r="E138" i="18"/>
  <c r="C153" i="18"/>
  <c r="C138" i="18"/>
  <c r="E130" i="18"/>
  <c r="E145" i="18"/>
  <c r="F167" i="18"/>
  <c r="F152" i="18"/>
  <c r="F137" i="18"/>
  <c r="F163" i="18"/>
  <c r="F148" i="18"/>
  <c r="F133" i="18"/>
  <c r="C143" i="18"/>
  <c r="C128" i="18"/>
  <c r="F143" i="18"/>
  <c r="F128" i="18"/>
  <c r="F158" i="18"/>
  <c r="D143" i="18"/>
  <c r="D128" i="18"/>
  <c r="D158" i="18"/>
  <c r="D157" i="18"/>
  <c r="D142" i="18"/>
  <c r="D127" i="18"/>
  <c r="D150" i="18"/>
  <c r="D135" i="18"/>
  <c r="D165" i="18"/>
  <c r="C146" i="18"/>
  <c r="C131" i="18"/>
  <c r="E149" i="18"/>
  <c r="E134" i="18"/>
  <c r="C150" i="18"/>
  <c r="C135" i="18"/>
  <c r="E150" i="18"/>
  <c r="E135" i="18"/>
  <c r="C151" i="18"/>
  <c r="C136" i="18"/>
  <c r="F151" i="18"/>
  <c r="F136" i="18"/>
  <c r="F166" i="18"/>
  <c r="F147" i="18"/>
  <c r="F132" i="18"/>
  <c r="F162" i="18"/>
  <c r="F161" i="18"/>
  <c r="F146" i="18"/>
  <c r="F131" i="18"/>
  <c r="D153" i="18"/>
  <c r="D138" i="18"/>
  <c r="D168" i="18"/>
  <c r="D149" i="18"/>
  <c r="D134" i="18"/>
  <c r="D164" i="18"/>
  <c r="C144" i="18"/>
  <c r="C129" i="18"/>
  <c r="E144" i="18"/>
  <c r="E129" i="18"/>
  <c r="C148" i="18"/>
  <c r="C133" i="18"/>
  <c r="E148" i="18"/>
  <c r="E133" i="18"/>
  <c r="C149" i="18"/>
  <c r="C134" i="18"/>
  <c r="F127" i="18"/>
  <c r="F157" i="18"/>
  <c r="F142" i="18"/>
  <c r="F165" i="18"/>
  <c r="F150" i="18"/>
  <c r="F135" i="18"/>
  <c r="E131" i="18"/>
  <c r="E146" i="18"/>
  <c r="F145" i="18"/>
  <c r="F130" i="18"/>
  <c r="F160" i="18"/>
  <c r="D145" i="18"/>
  <c r="D130" i="18"/>
  <c r="D160" i="18"/>
  <c r="J11" i="18" a="1"/>
  <c r="J11" i="18"/>
  <c r="O11" i="18"/>
  <c r="J41" i="18"/>
  <c r="L41" i="18"/>
  <c r="J87" i="18"/>
  <c r="J12" i="18" a="1"/>
  <c r="J12" i="18"/>
  <c r="O12" i="18"/>
  <c r="J42" i="18"/>
  <c r="L42" i="18"/>
  <c r="J88" i="18"/>
  <c r="J10" i="18" a="1"/>
  <c r="J10" i="18"/>
  <c r="O10" i="18"/>
  <c r="J40" i="18"/>
  <c r="L40" i="18"/>
  <c r="J86" i="18"/>
  <c r="J18" i="18" a="1"/>
  <c r="J18" i="18"/>
  <c r="O18" i="18"/>
  <c r="J48" i="18"/>
  <c r="L48" i="18"/>
  <c r="J94" i="18"/>
  <c r="I49" i="10"/>
  <c r="I75" i="10"/>
  <c r="I58" i="10"/>
  <c r="I100" i="10"/>
  <c r="I80" i="10"/>
  <c r="J13" i="18" a="1"/>
  <c r="J13" i="18"/>
  <c r="O13" i="18"/>
  <c r="J43" i="18"/>
  <c r="L43" i="18"/>
  <c r="J89" i="18"/>
  <c r="J16" i="18" a="1"/>
  <c r="J16" i="18"/>
  <c r="O16" i="18"/>
  <c r="J46" i="18"/>
  <c r="L46" i="18"/>
  <c r="J92" i="18"/>
  <c r="J8" i="18" a="1"/>
  <c r="J8" i="18"/>
  <c r="O8" i="18"/>
  <c r="J38" i="18"/>
  <c r="L38" i="18"/>
  <c r="J84" i="18"/>
  <c r="J19" i="18" a="1"/>
  <c r="J19" i="18"/>
  <c r="O19" i="18"/>
  <c r="J49" i="18"/>
  <c r="L49" i="18"/>
  <c r="J95" i="18"/>
  <c r="J17" i="18" a="1"/>
  <c r="J17" i="18"/>
  <c r="O17" i="18"/>
  <c r="J47" i="18"/>
  <c r="L47" i="18"/>
  <c r="J93" i="18"/>
  <c r="J15" i="18" a="1"/>
  <c r="J15" i="18"/>
  <c r="O15" i="18"/>
  <c r="J45" i="18"/>
  <c r="L45" i="18"/>
  <c r="J91" i="18"/>
  <c r="J9" i="18" a="1"/>
  <c r="J9" i="18"/>
  <c r="O9" i="18"/>
  <c r="J39" i="18"/>
  <c r="I24" i="10"/>
  <c r="I64" i="10"/>
  <c r="I32" i="10"/>
  <c r="I108" i="10"/>
  <c r="I62" i="10"/>
  <c r="I57" i="10"/>
  <c r="I46" i="10"/>
  <c r="I11" i="18"/>
  <c r="E11" i="18"/>
  <c r="I16" i="18"/>
  <c r="E16" i="18"/>
  <c r="I24" i="18"/>
  <c r="D39" i="18"/>
  <c r="E39" i="18"/>
  <c r="E24" i="18"/>
  <c r="I8" i="18"/>
  <c r="C38" i="18"/>
  <c r="E8" i="18"/>
  <c r="I26" i="18"/>
  <c r="E26" i="18"/>
  <c r="I33" i="18"/>
  <c r="D48" i="18"/>
  <c r="E33" i="18"/>
  <c r="I23" i="18"/>
  <c r="D38" i="18"/>
  <c r="E23" i="18"/>
  <c r="I34" i="18"/>
  <c r="D49" i="18"/>
  <c r="E34" i="18"/>
  <c r="I9" i="18"/>
  <c r="E9" i="18"/>
  <c r="I13" i="18"/>
  <c r="E13" i="18"/>
  <c r="I18" i="18"/>
  <c r="E18" i="18"/>
  <c r="I29" i="18"/>
  <c r="D44" i="18"/>
  <c r="E29" i="18"/>
  <c r="I31" i="18"/>
  <c r="D46" i="18"/>
  <c r="E31" i="18"/>
  <c r="I32" i="18"/>
  <c r="D47" i="18"/>
  <c r="E32" i="18"/>
  <c r="I19" i="18"/>
  <c r="E19" i="18"/>
  <c r="I14" i="18"/>
  <c r="E14" i="18"/>
  <c r="I27" i="18"/>
  <c r="D42" i="18"/>
  <c r="E27" i="18"/>
  <c r="I28" i="18"/>
  <c r="D43" i="18"/>
  <c r="E28" i="18"/>
  <c r="I73" i="10"/>
  <c r="E47" i="10"/>
  <c r="E31" i="10"/>
  <c r="E107" i="10"/>
  <c r="E45" i="10"/>
  <c r="E29" i="10"/>
  <c r="E40" i="10"/>
  <c r="E78" i="10"/>
  <c r="E105" i="10"/>
  <c r="E43" i="10"/>
  <c r="I26" i="10"/>
  <c r="I44" i="10"/>
  <c r="I109" i="10"/>
  <c r="I39" i="10"/>
  <c r="I111" i="10"/>
  <c r="E77" i="10"/>
  <c r="E61" i="10"/>
  <c r="E34" i="10"/>
  <c r="E106" i="10"/>
  <c r="I41" i="10"/>
  <c r="I42" i="10"/>
  <c r="E54" i="10"/>
  <c r="E27" i="10"/>
  <c r="E103" i="10"/>
  <c r="E25" i="10"/>
  <c r="E63" i="10"/>
  <c r="E74" i="10"/>
  <c r="E101" i="10"/>
  <c r="E65" i="10"/>
  <c r="I33" i="10"/>
  <c r="I55" i="10"/>
  <c r="I102" i="10"/>
  <c r="I35" i="10"/>
  <c r="E50" i="10"/>
  <c r="I56" i="10"/>
  <c r="I69" i="10"/>
  <c r="E79" i="10"/>
  <c r="E58" i="10"/>
  <c r="E49" i="10"/>
  <c r="E75" i="10"/>
  <c r="E39" i="10"/>
  <c r="E69" i="10"/>
  <c r="E104" i="10"/>
  <c r="E42" i="10"/>
  <c r="E111" i="10"/>
  <c r="E26" i="10"/>
  <c r="E33" i="10"/>
  <c r="E44" i="10"/>
  <c r="E55" i="10"/>
  <c r="E109" i="10"/>
  <c r="E28" i="10"/>
  <c r="E35" i="10"/>
  <c r="E72" i="10"/>
  <c r="E56" i="10"/>
  <c r="E110" i="10"/>
  <c r="E100" i="10"/>
  <c r="E80" i="10"/>
  <c r="E41" i="10"/>
  <c r="E102" i="10"/>
  <c r="E32" i="10"/>
  <c r="E62" i="10"/>
  <c r="E108" i="10"/>
  <c r="E46" i="10"/>
  <c r="E76" i="10"/>
  <c r="E30" i="10"/>
  <c r="E60" i="10"/>
  <c r="E48" i="10"/>
  <c r="E59" i="10"/>
  <c r="E70" i="10"/>
  <c r="E24" i="10"/>
  <c r="E73" i="10"/>
  <c r="E57" i="10"/>
  <c r="E64" i="10"/>
  <c r="E71" i="10"/>
  <c r="I25" i="18"/>
  <c r="D40" i="18"/>
  <c r="I30" i="18"/>
  <c r="D45" i="18"/>
  <c r="I78" i="10"/>
  <c r="I105" i="10"/>
  <c r="I47" i="10"/>
  <c r="I107" i="10"/>
  <c r="I25" i="10"/>
  <c r="I63" i="10"/>
  <c r="I74" i="10"/>
  <c r="I101" i="10"/>
  <c r="I71" i="10"/>
  <c r="I43" i="10"/>
  <c r="I27" i="10"/>
  <c r="I65" i="10"/>
  <c r="I76" i="10"/>
  <c r="I103" i="10"/>
  <c r="I29" i="10"/>
  <c r="I40" i="10"/>
  <c r="I45" i="10"/>
  <c r="I31" i="10"/>
  <c r="I34" i="10"/>
  <c r="I106" i="10"/>
  <c r="I48" i="10"/>
  <c r="I28" i="10"/>
  <c r="I54" i="10"/>
  <c r="I77" i="10"/>
  <c r="I104" i="10"/>
  <c r="I50" i="10"/>
  <c r="I61" i="10"/>
  <c r="E38" i="13"/>
  <c r="D41" i="18"/>
  <c r="C61" i="18"/>
  <c r="K92" i="18"/>
  <c r="E38" i="18"/>
  <c r="F9" i="18"/>
  <c r="F10" i="18"/>
  <c r="I10" i="18"/>
  <c r="F11" i="18"/>
  <c r="F12" i="18"/>
  <c r="I12" i="18"/>
  <c r="F13" i="18"/>
  <c r="F14" i="18"/>
  <c r="F15" i="18"/>
  <c r="I15" i="18"/>
  <c r="F16" i="18"/>
  <c r="F17" i="18"/>
  <c r="I17" i="18"/>
  <c r="F18" i="18"/>
  <c r="F19" i="18"/>
  <c r="C69" i="18"/>
  <c r="L85" i="18"/>
  <c r="C72" i="18"/>
  <c r="L88" i="18"/>
  <c r="C75" i="18"/>
  <c r="L91" i="18"/>
  <c r="C54" i="18"/>
  <c r="K85" i="18"/>
  <c r="C57" i="18"/>
  <c r="K88" i="18"/>
  <c r="C68" i="18"/>
  <c r="L84" i="18"/>
  <c r="C79" i="18"/>
  <c r="L95" i="18"/>
  <c r="C78" i="18"/>
  <c r="L94" i="18"/>
  <c r="C77" i="18"/>
  <c r="L93" i="18"/>
  <c r="C76" i="18"/>
  <c r="L92" i="18"/>
  <c r="M92" i="18"/>
  <c r="C74" i="18"/>
  <c r="L90" i="18"/>
  <c r="C73" i="18"/>
  <c r="L89" i="18"/>
  <c r="C71" i="18"/>
  <c r="L87" i="18"/>
  <c r="C70" i="18"/>
  <c r="L86" i="18"/>
  <c r="C55" i="18"/>
  <c r="K86" i="18"/>
  <c r="C56" i="18"/>
  <c r="K87" i="18"/>
  <c r="C58" i="18"/>
  <c r="K89" i="18"/>
  <c r="C59" i="18"/>
  <c r="K90" i="18"/>
  <c r="C60" i="18"/>
  <c r="K91" i="18"/>
  <c r="C62" i="18"/>
  <c r="K93" i="18"/>
  <c r="C63" i="18"/>
  <c r="K94" i="18"/>
  <c r="C64" i="18"/>
  <c r="K95" i="18"/>
  <c r="M91" i="18"/>
  <c r="M95" i="18"/>
  <c r="M90" i="18"/>
  <c r="M93" i="18"/>
  <c r="M87" i="18"/>
  <c r="M85" i="18"/>
  <c r="M94" i="18"/>
  <c r="M86" i="18"/>
  <c r="M89" i="18"/>
  <c r="M88" i="18"/>
  <c r="C53" i="18"/>
  <c r="C25" i="12"/>
  <c r="C26" i="12"/>
  <c r="C27" i="12"/>
  <c r="C28" i="12"/>
  <c r="C29" i="12"/>
  <c r="C30" i="12"/>
  <c r="C31" i="12"/>
  <c r="C32" i="12"/>
  <c r="C33" i="12"/>
  <c r="C34" i="12"/>
  <c r="C35" i="12"/>
  <c r="C24" i="12"/>
  <c r="D99" i="11"/>
  <c r="D39" i="4"/>
  <c r="D40" i="4"/>
  <c r="D41" i="4"/>
  <c r="D42" i="4"/>
  <c r="D43" i="4"/>
  <c r="D44" i="4"/>
  <c r="D45" i="4"/>
  <c r="D46" i="4"/>
  <c r="D47" i="4"/>
  <c r="D48" i="4"/>
  <c r="D49" i="4"/>
  <c r="D38" i="4"/>
  <c r="F9" i="3"/>
  <c r="G9" i="3"/>
  <c r="F10" i="3"/>
  <c r="F11" i="3"/>
  <c r="F12" i="3"/>
  <c r="G12" i="3"/>
  <c r="F13" i="3"/>
  <c r="F14" i="3"/>
  <c r="F15" i="3"/>
  <c r="F16" i="3"/>
  <c r="F17" i="3"/>
  <c r="F18" i="3"/>
  <c r="F19" i="3"/>
  <c r="E45" i="12"/>
  <c r="E46" i="12"/>
  <c r="E41" i="12"/>
  <c r="E42" i="12"/>
  <c r="E48" i="12"/>
  <c r="E43" i="12"/>
  <c r="E44" i="12"/>
  <c r="E39" i="12"/>
  <c r="L38" i="17"/>
  <c r="F29" i="8"/>
  <c r="F30" i="8"/>
  <c r="F25" i="8"/>
  <c r="F26" i="8"/>
  <c r="F32" i="8"/>
  <c r="F23" i="8"/>
  <c r="F27" i="8"/>
  <c r="F28" i="8"/>
  <c r="D84" i="18"/>
  <c r="K84" i="18"/>
  <c r="G13" i="3"/>
  <c r="G19" i="3"/>
  <c r="G11" i="3"/>
  <c r="G18" i="3"/>
  <c r="G14" i="3"/>
  <c r="G10" i="3"/>
  <c r="G8" i="3"/>
  <c r="G16" i="3"/>
  <c r="G15" i="3"/>
  <c r="G17" i="3"/>
  <c r="D98" i="11"/>
  <c r="E40" i="12"/>
  <c r="E47" i="12"/>
  <c r="G34" i="3"/>
  <c r="G27" i="3"/>
  <c r="G28" i="3"/>
  <c r="G31" i="3"/>
  <c r="G32" i="3"/>
  <c r="G25" i="3"/>
  <c r="G29" i="3"/>
  <c r="G30" i="3"/>
  <c r="F31" i="8"/>
  <c r="F24" i="8"/>
  <c r="M84" i="18"/>
  <c r="J9" i="9"/>
  <c r="J10" i="9"/>
  <c r="J11" i="9"/>
  <c r="J12" i="9"/>
  <c r="J13" i="9"/>
  <c r="J14" i="9"/>
  <c r="J15" i="9"/>
  <c r="J16" i="9"/>
  <c r="J17" i="9"/>
  <c r="J18" i="9"/>
  <c r="J19" i="9"/>
  <c r="J38" i="17"/>
  <c r="I39" i="17"/>
  <c r="I40" i="17"/>
  <c r="I41" i="17"/>
  <c r="I42" i="17"/>
  <c r="I43" i="17"/>
  <c r="I44" i="17"/>
  <c r="I45" i="17"/>
  <c r="I46" i="17"/>
  <c r="I47" i="17"/>
  <c r="I48" i="17"/>
  <c r="I49" i="17"/>
  <c r="I38" i="17"/>
  <c r="J49" i="17"/>
  <c r="J45" i="17"/>
  <c r="J41" i="17"/>
  <c r="J48" i="17"/>
  <c r="J44" i="17"/>
  <c r="J40" i="17"/>
  <c r="J47" i="17"/>
  <c r="J43" i="17"/>
  <c r="J46" i="17"/>
  <c r="J42" i="17"/>
  <c r="G33" i="3"/>
  <c r="G26" i="3"/>
  <c r="J23" i="9"/>
  <c r="J25" i="9"/>
  <c r="J26" i="9"/>
  <c r="J29" i="9"/>
  <c r="J30" i="9"/>
  <c r="J27" i="9"/>
  <c r="J28" i="9"/>
  <c r="J32" i="9"/>
  <c r="J39" i="17"/>
  <c r="I84" i="17"/>
  <c r="I56" i="17"/>
  <c r="I53" i="17"/>
  <c r="I54" i="17"/>
  <c r="I93" i="17"/>
  <c r="I85" i="17"/>
  <c r="I83" i="17"/>
  <c r="I91" i="17"/>
  <c r="I87" i="17"/>
  <c r="I94" i="17"/>
  <c r="I90" i="17"/>
  <c r="I86" i="17"/>
  <c r="I89" i="17"/>
  <c r="I92" i="17"/>
  <c r="I88" i="17"/>
  <c r="I24" i="17"/>
  <c r="I99" i="17"/>
  <c r="F32" i="1"/>
  <c r="F30" i="1"/>
  <c r="F38" i="1"/>
  <c r="F35" i="1"/>
  <c r="J103" i="17"/>
  <c r="F33" i="1"/>
  <c r="F36" i="1"/>
  <c r="F31" i="1"/>
  <c r="F37" i="1"/>
  <c r="F29" i="1"/>
  <c r="F34" i="1"/>
  <c r="I100" i="17"/>
  <c r="F40" i="1"/>
  <c r="F28" i="1"/>
  <c r="F39" i="1"/>
  <c r="J53" i="17"/>
  <c r="J109" i="17"/>
  <c r="J106" i="17"/>
  <c r="J100" i="17"/>
  <c r="J107" i="17"/>
  <c r="J98" i="17"/>
  <c r="I105" i="17"/>
  <c r="I108" i="17"/>
  <c r="I104" i="17"/>
  <c r="J27" i="17"/>
  <c r="I103" i="17"/>
  <c r="J104" i="17"/>
  <c r="J101" i="17"/>
  <c r="I101" i="17"/>
  <c r="I109" i="17"/>
  <c r="I107" i="17"/>
  <c r="I106" i="17"/>
  <c r="J108" i="17"/>
  <c r="J105" i="17"/>
  <c r="J102" i="17"/>
  <c r="I102" i="17"/>
  <c r="I98" i="17"/>
  <c r="J31" i="9"/>
  <c r="J24" i="9"/>
  <c r="J24" i="17"/>
  <c r="J56" i="17"/>
  <c r="J85" i="17"/>
  <c r="J93" i="17"/>
  <c r="J86" i="17"/>
  <c r="J94" i="17"/>
  <c r="J87" i="17"/>
  <c r="J83" i="17"/>
  <c r="J88" i="17"/>
  <c r="J54" i="17"/>
  <c r="J99" i="17"/>
  <c r="J92" i="17"/>
  <c r="J89" i="17"/>
  <c r="J90" i="17"/>
  <c r="J91" i="17"/>
  <c r="J84" i="17"/>
  <c r="I55" i="17"/>
  <c r="I73" i="17"/>
  <c r="I74" i="17"/>
  <c r="I75" i="17"/>
  <c r="I76" i="17"/>
  <c r="I77" i="17"/>
  <c r="I78" i="17"/>
  <c r="I79" i="17"/>
  <c r="I23" i="17"/>
  <c r="I25" i="17"/>
  <c r="I31" i="17"/>
  <c r="I26" i="17"/>
  <c r="I32" i="17"/>
  <c r="J26" i="17"/>
  <c r="I29" i="17"/>
  <c r="I30" i="17"/>
  <c r="J25" i="17"/>
  <c r="J30" i="17"/>
  <c r="I33" i="17"/>
  <c r="J31" i="17"/>
  <c r="J28" i="17"/>
  <c r="I28" i="17"/>
  <c r="J32" i="17"/>
  <c r="J29" i="17"/>
  <c r="J33" i="17"/>
  <c r="J34" i="17"/>
  <c r="I34" i="17"/>
  <c r="J23" i="17"/>
  <c r="I27" i="17"/>
  <c r="E85" i="18"/>
  <c r="E86" i="18"/>
  <c r="E87" i="18"/>
  <c r="E89" i="18"/>
  <c r="E90" i="18"/>
  <c r="E91" i="18"/>
  <c r="E92" i="18"/>
  <c r="E93" i="18"/>
  <c r="E94" i="18"/>
  <c r="E95" i="18"/>
  <c r="D85" i="18"/>
  <c r="D88" i="18"/>
  <c r="D89" i="18"/>
  <c r="D93" i="18"/>
  <c r="C39" i="18"/>
  <c r="C40" i="18"/>
  <c r="E40" i="18"/>
  <c r="C41" i="18"/>
  <c r="E41" i="18"/>
  <c r="C42" i="18"/>
  <c r="E42" i="18"/>
  <c r="C43" i="18"/>
  <c r="E43" i="18"/>
  <c r="C44" i="18"/>
  <c r="E44" i="18"/>
  <c r="C45" i="18"/>
  <c r="E45" i="18"/>
  <c r="C46" i="18"/>
  <c r="E46" i="18"/>
  <c r="C47" i="18"/>
  <c r="E47" i="18"/>
  <c r="C48" i="18"/>
  <c r="E48" i="18"/>
  <c r="C49" i="18"/>
  <c r="E49" i="18"/>
  <c r="C39" i="13"/>
  <c r="E39" i="13"/>
  <c r="C41" i="13"/>
  <c r="E41" i="13"/>
  <c r="C42" i="13"/>
  <c r="E42" i="13"/>
  <c r="C43" i="13"/>
  <c r="E43" i="13"/>
  <c r="C46" i="13"/>
  <c r="E46" i="13"/>
  <c r="C47" i="13"/>
  <c r="E47" i="13"/>
  <c r="C49" i="13"/>
  <c r="E49" i="13"/>
  <c r="L40" i="17"/>
  <c r="L42" i="17"/>
  <c r="L39" i="17"/>
  <c r="D100" i="11"/>
  <c r="D101" i="11"/>
  <c r="D102" i="11"/>
  <c r="D103" i="11"/>
  <c r="D104" i="11"/>
  <c r="D105" i="11"/>
  <c r="D106" i="11"/>
  <c r="D107" i="11"/>
  <c r="D108" i="11"/>
  <c r="D109" i="11"/>
  <c r="C39" i="11"/>
  <c r="E39" i="11"/>
  <c r="J55" i="17"/>
  <c r="D113" i="11"/>
  <c r="D119" i="11"/>
  <c r="D120" i="11"/>
  <c r="D117" i="11"/>
  <c r="D118" i="11"/>
  <c r="D122" i="11"/>
  <c r="D115" i="11"/>
  <c r="D116" i="11"/>
  <c r="J79" i="17"/>
  <c r="L23" i="17"/>
  <c r="L98" i="17"/>
  <c r="L24" i="17"/>
  <c r="L99" i="17"/>
  <c r="L27" i="17"/>
  <c r="L102" i="17"/>
  <c r="L25" i="17"/>
  <c r="L100" i="17"/>
  <c r="C47" i="11"/>
  <c r="E47" i="11"/>
  <c r="C107" i="11"/>
  <c r="C43" i="11"/>
  <c r="E43" i="11"/>
  <c r="C103" i="11"/>
  <c r="C42" i="11"/>
  <c r="E42" i="11"/>
  <c r="C102" i="11"/>
  <c r="E102" i="11"/>
  <c r="C45" i="11"/>
  <c r="E45" i="11"/>
  <c r="C105" i="11"/>
  <c r="C41" i="11"/>
  <c r="E41" i="11"/>
  <c r="C101" i="11"/>
  <c r="C99" i="11"/>
  <c r="C46" i="11"/>
  <c r="E46" i="11"/>
  <c r="C106" i="11"/>
  <c r="C49" i="11"/>
  <c r="E49" i="11"/>
  <c r="C109" i="11"/>
  <c r="C48" i="11"/>
  <c r="E48" i="11"/>
  <c r="C108" i="11"/>
  <c r="C44" i="11"/>
  <c r="E44" i="11"/>
  <c r="C104" i="11"/>
  <c r="C40" i="11"/>
  <c r="E40" i="11"/>
  <c r="C100" i="11"/>
  <c r="C45" i="13"/>
  <c r="E45" i="13"/>
  <c r="C75" i="13"/>
  <c r="C48" i="13"/>
  <c r="E48" i="13"/>
  <c r="C78" i="13"/>
  <c r="C40" i="13"/>
  <c r="E40" i="13"/>
  <c r="C70" i="13"/>
  <c r="C44" i="13"/>
  <c r="E44" i="13"/>
  <c r="C74" i="13"/>
  <c r="D92" i="18"/>
  <c r="E84" i="18"/>
  <c r="E88" i="18"/>
  <c r="D94" i="18"/>
  <c r="D90" i="18"/>
  <c r="D86" i="18"/>
  <c r="D95" i="18"/>
  <c r="D91" i="18"/>
  <c r="D87" i="18"/>
  <c r="C71" i="13"/>
  <c r="C77" i="13"/>
  <c r="C79" i="13"/>
  <c r="C76" i="13"/>
  <c r="C72" i="13"/>
  <c r="C69" i="13"/>
  <c r="C68" i="13"/>
  <c r="C73" i="13"/>
  <c r="J17" i="7"/>
  <c r="J8" i="7"/>
  <c r="J9" i="7"/>
  <c r="J10" i="7"/>
  <c r="J11" i="7"/>
  <c r="J12" i="7"/>
  <c r="J13" i="7"/>
  <c r="J14" i="7"/>
  <c r="J15" i="7"/>
  <c r="J16" i="7"/>
  <c r="J18" i="7"/>
  <c r="J19" i="7"/>
  <c r="J9" i="6"/>
  <c r="G39" i="17"/>
  <c r="J10" i="6"/>
  <c r="G40" i="17"/>
  <c r="J11" i="6"/>
  <c r="G41" i="17"/>
  <c r="J12" i="6"/>
  <c r="G42" i="17"/>
  <c r="J13" i="6"/>
  <c r="G43" i="17"/>
  <c r="J14" i="6"/>
  <c r="G44" i="17"/>
  <c r="J15" i="6"/>
  <c r="G45" i="17"/>
  <c r="J16" i="6"/>
  <c r="G46" i="17"/>
  <c r="J17" i="6"/>
  <c r="G47" i="17"/>
  <c r="J18" i="6"/>
  <c r="G48" i="17"/>
  <c r="J19" i="6"/>
  <c r="G49" i="17"/>
  <c r="J8" i="6"/>
  <c r="C56" i="4"/>
  <c r="H45" i="17"/>
  <c r="H41" i="17"/>
  <c r="H101" i="17"/>
  <c r="H47" i="17"/>
  <c r="H49" i="17"/>
  <c r="H34" i="17"/>
  <c r="H44" i="17"/>
  <c r="H40" i="17"/>
  <c r="H100" i="17"/>
  <c r="H48" i="17"/>
  <c r="H43" i="17"/>
  <c r="H28" i="17"/>
  <c r="H39" i="17"/>
  <c r="H46" i="17"/>
  <c r="H31" i="17"/>
  <c r="H42" i="17"/>
  <c r="D105" i="18"/>
  <c r="D106" i="18"/>
  <c r="D99" i="18"/>
  <c r="D100" i="18"/>
  <c r="D101" i="18"/>
  <c r="D102" i="18"/>
  <c r="D103" i="18"/>
  <c r="D104" i="18"/>
  <c r="E108" i="18"/>
  <c r="E101" i="18"/>
  <c r="E102" i="18"/>
  <c r="E105" i="18"/>
  <c r="E106" i="18"/>
  <c r="E99" i="18"/>
  <c r="E103" i="18"/>
  <c r="E104" i="18"/>
  <c r="D108" i="18"/>
  <c r="C89" i="13"/>
  <c r="C90" i="13"/>
  <c r="C83" i="13"/>
  <c r="C87" i="13"/>
  <c r="C88" i="13"/>
  <c r="C92" i="13"/>
  <c r="C85" i="13"/>
  <c r="C86" i="13"/>
  <c r="D121" i="11"/>
  <c r="D114" i="11"/>
  <c r="J32" i="7"/>
  <c r="J27" i="7"/>
  <c r="J28" i="7"/>
  <c r="J23" i="7"/>
  <c r="J29" i="7"/>
  <c r="J30" i="7"/>
  <c r="J25" i="7"/>
  <c r="J26" i="7"/>
  <c r="J32" i="6"/>
  <c r="J27" i="6"/>
  <c r="J28" i="6"/>
  <c r="J23" i="6"/>
  <c r="J25" i="6"/>
  <c r="J26" i="6"/>
  <c r="J29" i="6"/>
  <c r="J30" i="6"/>
  <c r="E104" i="11"/>
  <c r="K44" i="17"/>
  <c r="E103" i="11"/>
  <c r="K43" i="17"/>
  <c r="E101" i="11"/>
  <c r="K41" i="17"/>
  <c r="E107" i="11"/>
  <c r="K47" i="17"/>
  <c r="E109" i="11"/>
  <c r="K49" i="17"/>
  <c r="E105" i="11"/>
  <c r="K45" i="17"/>
  <c r="E99" i="11"/>
  <c r="K39" i="17"/>
  <c r="E108" i="11"/>
  <c r="K48" i="17"/>
  <c r="E100" i="11"/>
  <c r="K40" i="17"/>
  <c r="E106" i="11"/>
  <c r="K46" i="17"/>
  <c r="H38" i="17"/>
  <c r="H84" i="17"/>
  <c r="G84" i="17"/>
  <c r="G38" i="17"/>
  <c r="G34" i="17"/>
  <c r="G109" i="17"/>
  <c r="G32" i="17"/>
  <c r="G107" i="17"/>
  <c r="G31" i="17"/>
  <c r="G106" i="17"/>
  <c r="G27" i="17"/>
  <c r="G102" i="17"/>
  <c r="G30" i="17"/>
  <c r="G105" i="17"/>
  <c r="H108" i="17"/>
  <c r="G33" i="17"/>
  <c r="G108" i="17"/>
  <c r="G29" i="17"/>
  <c r="G104" i="17"/>
  <c r="G25" i="17"/>
  <c r="G100" i="17"/>
  <c r="G26" i="17"/>
  <c r="G101" i="17"/>
  <c r="G28" i="17"/>
  <c r="G103" i="17"/>
  <c r="G24" i="17"/>
  <c r="G99" i="17"/>
  <c r="H105" i="17"/>
  <c r="H107" i="17"/>
  <c r="K42" i="17"/>
  <c r="J8" i="2"/>
  <c r="C39" i="17"/>
  <c r="C40" i="17"/>
  <c r="C41" i="17"/>
  <c r="C42" i="17"/>
  <c r="C43" i="17"/>
  <c r="C44" i="17"/>
  <c r="C45" i="17"/>
  <c r="C46" i="17"/>
  <c r="C47" i="17"/>
  <c r="C48" i="17"/>
  <c r="C49" i="17"/>
  <c r="H106" i="17"/>
  <c r="H25" i="17"/>
  <c r="H109" i="17"/>
  <c r="H103" i="17"/>
  <c r="H32" i="17"/>
  <c r="H30" i="17"/>
  <c r="H33" i="17"/>
  <c r="H99" i="17"/>
  <c r="H102" i="17"/>
  <c r="H104" i="17"/>
  <c r="H26" i="17"/>
  <c r="H24" i="17"/>
  <c r="H27" i="17"/>
  <c r="H29" i="17"/>
  <c r="H53" i="17"/>
  <c r="G54" i="17"/>
  <c r="H94" i="17"/>
  <c r="H93" i="17"/>
  <c r="H90" i="17"/>
  <c r="H54" i="17"/>
  <c r="H83" i="17"/>
  <c r="H89" i="17"/>
  <c r="E107" i="18"/>
  <c r="E100" i="18"/>
  <c r="D107" i="18"/>
  <c r="C91" i="13"/>
  <c r="C84" i="13"/>
  <c r="J24" i="7"/>
  <c r="J31" i="7"/>
  <c r="J24" i="6"/>
  <c r="J31" i="6"/>
  <c r="H98" i="17"/>
  <c r="H92" i="17"/>
  <c r="H91" i="17"/>
  <c r="H87" i="17"/>
  <c r="H23" i="17"/>
  <c r="H86" i="17"/>
  <c r="H85" i="17"/>
  <c r="H88" i="17"/>
  <c r="J25" i="2"/>
  <c r="J26" i="2"/>
  <c r="J29" i="2"/>
  <c r="J30" i="2"/>
  <c r="J32" i="2"/>
  <c r="K101" i="17"/>
  <c r="K104" i="17"/>
  <c r="K109" i="17"/>
  <c r="K108" i="17"/>
  <c r="K106" i="17"/>
  <c r="K103" i="17"/>
  <c r="K107" i="17"/>
  <c r="K105" i="17"/>
  <c r="K99" i="17"/>
  <c r="K100" i="17"/>
  <c r="G87" i="17"/>
  <c r="G93" i="17"/>
  <c r="G88" i="17"/>
  <c r="G89" i="17"/>
  <c r="H56" i="17"/>
  <c r="G23" i="17"/>
  <c r="G92" i="17"/>
  <c r="G85" i="17"/>
  <c r="G90" i="17"/>
  <c r="G56" i="17"/>
  <c r="G91" i="17"/>
  <c r="G94" i="17"/>
  <c r="G98" i="17"/>
  <c r="G86" i="17"/>
  <c r="G83" i="17"/>
  <c r="G53" i="17"/>
  <c r="C84" i="17"/>
  <c r="J27" i="2"/>
  <c r="J28" i="2"/>
  <c r="J23" i="2"/>
  <c r="K102" i="17"/>
  <c r="C24" i="17"/>
  <c r="C99" i="17"/>
  <c r="C33" i="17"/>
  <c r="C108" i="17"/>
  <c r="C29" i="17"/>
  <c r="C104" i="17"/>
  <c r="C25" i="17"/>
  <c r="C100" i="17"/>
  <c r="C28" i="17"/>
  <c r="C103" i="17"/>
  <c r="C31" i="17"/>
  <c r="C106" i="17"/>
  <c r="C27" i="17"/>
  <c r="C102" i="17"/>
  <c r="C32" i="17"/>
  <c r="C107" i="17"/>
  <c r="C34" i="17"/>
  <c r="C109" i="17"/>
  <c r="C30" i="17"/>
  <c r="C105" i="17"/>
  <c r="C26" i="17"/>
  <c r="C101" i="17"/>
  <c r="C38" i="17"/>
  <c r="D79" i="13"/>
  <c r="E79" i="13"/>
  <c r="D78" i="13"/>
  <c r="E78" i="13"/>
  <c r="D77" i="13"/>
  <c r="E77" i="13"/>
  <c r="D76" i="13"/>
  <c r="E76" i="13"/>
  <c r="D75" i="13"/>
  <c r="E75" i="13"/>
  <c r="D74" i="13"/>
  <c r="E74" i="13"/>
  <c r="D73" i="13"/>
  <c r="E73" i="13"/>
  <c r="D72" i="13"/>
  <c r="E72" i="13"/>
  <c r="D71" i="13"/>
  <c r="E71" i="13"/>
  <c r="D70" i="13"/>
  <c r="E70" i="13"/>
  <c r="D69" i="13"/>
  <c r="D68" i="13"/>
  <c r="G55" i="17"/>
  <c r="M41" i="17"/>
  <c r="M26" i="17"/>
  <c r="M47" i="17"/>
  <c r="M32" i="17"/>
  <c r="M40" i="17"/>
  <c r="M25" i="17"/>
  <c r="M44" i="17"/>
  <c r="M29" i="17"/>
  <c r="M48" i="17"/>
  <c r="M108" i="17"/>
  <c r="M45" i="17"/>
  <c r="M42" i="17"/>
  <c r="M27" i="17"/>
  <c r="M46" i="17"/>
  <c r="M31" i="17"/>
  <c r="M49" i="17"/>
  <c r="M109" i="17"/>
  <c r="M43" i="17"/>
  <c r="M28" i="17"/>
  <c r="H55" i="17"/>
  <c r="H79" i="17"/>
  <c r="D92" i="13"/>
  <c r="D85" i="13"/>
  <c r="D86" i="13"/>
  <c r="D89" i="13"/>
  <c r="D90" i="13"/>
  <c r="D83" i="13"/>
  <c r="D87" i="13"/>
  <c r="D88" i="13"/>
  <c r="G79" i="17"/>
  <c r="J24" i="2"/>
  <c r="J31" i="2"/>
  <c r="C56" i="17"/>
  <c r="E68" i="13"/>
  <c r="C83" i="17"/>
  <c r="C54" i="17"/>
  <c r="C53" i="17"/>
  <c r="C85" i="17"/>
  <c r="C87" i="17"/>
  <c r="C93" i="17"/>
  <c r="C88" i="17"/>
  <c r="C90" i="17"/>
  <c r="C91" i="17"/>
  <c r="C89" i="17"/>
  <c r="C86" i="17"/>
  <c r="C92" i="17"/>
  <c r="C94" i="17"/>
  <c r="C23" i="17"/>
  <c r="C98" i="17"/>
  <c r="E69" i="13"/>
  <c r="M102" i="17"/>
  <c r="M33" i="17"/>
  <c r="M100" i="17"/>
  <c r="M34" i="17"/>
  <c r="M101" i="17"/>
  <c r="M104" i="17"/>
  <c r="M103" i="17"/>
  <c r="M30" i="17"/>
  <c r="M39" i="17"/>
  <c r="M107" i="17"/>
  <c r="M105" i="17"/>
  <c r="M106" i="17"/>
  <c r="D91" i="13"/>
  <c r="D84" i="13"/>
  <c r="E89" i="13"/>
  <c r="E90" i="13"/>
  <c r="E87" i="13"/>
  <c r="E88" i="13"/>
  <c r="E85" i="13"/>
  <c r="E86" i="13"/>
  <c r="E92" i="13"/>
  <c r="E83" i="13"/>
  <c r="M38" i="17"/>
  <c r="C55" i="17"/>
  <c r="C74" i="17"/>
  <c r="C79" i="17"/>
  <c r="C96" i="10"/>
  <c r="C95" i="10"/>
  <c r="C94" i="10"/>
  <c r="C93" i="10"/>
  <c r="C92" i="10"/>
  <c r="C91" i="10"/>
  <c r="C90" i="10"/>
  <c r="C89" i="10"/>
  <c r="C88" i="10"/>
  <c r="C87" i="10"/>
  <c r="C86" i="10"/>
  <c r="D96" i="10"/>
  <c r="D95" i="10"/>
  <c r="D94" i="10"/>
  <c r="D93" i="10"/>
  <c r="D92" i="10"/>
  <c r="D91" i="10"/>
  <c r="D90" i="10"/>
  <c r="D89" i="10"/>
  <c r="D88" i="10"/>
  <c r="D87" i="10"/>
  <c r="D86" i="10"/>
  <c r="D85" i="10"/>
  <c r="E96" i="10"/>
  <c r="E95" i="10"/>
  <c r="E94" i="10"/>
  <c r="E93" i="10"/>
  <c r="E92" i="10"/>
  <c r="E91" i="10"/>
  <c r="E90" i="10"/>
  <c r="E89" i="10"/>
  <c r="E88" i="10"/>
  <c r="E87" i="10"/>
  <c r="E86" i="10"/>
  <c r="E85" i="10"/>
  <c r="F96" i="10"/>
  <c r="F95" i="10"/>
  <c r="F94" i="10"/>
  <c r="F93" i="10"/>
  <c r="F92" i="10"/>
  <c r="F91" i="10"/>
  <c r="F90" i="10"/>
  <c r="F89" i="10"/>
  <c r="F88" i="10"/>
  <c r="F87" i="10"/>
  <c r="F86" i="10"/>
  <c r="F85" i="10"/>
  <c r="E115" i="10"/>
  <c r="D64" i="4"/>
  <c r="C64" i="4"/>
  <c r="D63" i="4"/>
  <c r="C63" i="4"/>
  <c r="D62" i="4"/>
  <c r="C62" i="4"/>
  <c r="D61" i="4"/>
  <c r="C61" i="4"/>
  <c r="D60" i="4"/>
  <c r="C60" i="4"/>
  <c r="D59" i="4"/>
  <c r="C59" i="4"/>
  <c r="D58" i="4"/>
  <c r="C58" i="4"/>
  <c r="D57" i="4"/>
  <c r="C57" i="4"/>
  <c r="D56" i="4"/>
  <c r="D55" i="4"/>
  <c r="C55" i="4"/>
  <c r="D54" i="4"/>
  <c r="C54" i="4"/>
  <c r="D53" i="4"/>
  <c r="M99" i="17"/>
  <c r="M84" i="17"/>
  <c r="M24" i="17"/>
  <c r="E84" i="13"/>
  <c r="E91" i="13"/>
  <c r="D77" i="4"/>
  <c r="D68" i="4"/>
  <c r="D70" i="4"/>
  <c r="D71" i="4"/>
  <c r="D72" i="4"/>
  <c r="D73" i="4"/>
  <c r="D74" i="4"/>
  <c r="D75" i="4"/>
  <c r="M93" i="17"/>
  <c r="M56" i="17"/>
  <c r="M90" i="17"/>
  <c r="M94" i="17"/>
  <c r="M87" i="17"/>
  <c r="M89" i="17"/>
  <c r="M92" i="17"/>
  <c r="M91" i="17"/>
  <c r="M88" i="17"/>
  <c r="M85" i="17"/>
  <c r="M54" i="17"/>
  <c r="M86" i="17"/>
  <c r="M23" i="17"/>
  <c r="M98" i="17"/>
  <c r="M83" i="17"/>
  <c r="M53" i="17"/>
  <c r="G88" i="10"/>
  <c r="D118" i="10"/>
  <c r="G92" i="10"/>
  <c r="D122" i="10"/>
  <c r="G96" i="10"/>
  <c r="D126" i="10"/>
  <c r="G86" i="10"/>
  <c r="D116" i="10"/>
  <c r="G90" i="10"/>
  <c r="D120" i="10"/>
  <c r="G94" i="10"/>
  <c r="D124" i="10"/>
  <c r="G89" i="10"/>
  <c r="D119" i="10"/>
  <c r="G93" i="10"/>
  <c r="D123" i="10"/>
  <c r="G87" i="10"/>
  <c r="D117" i="10"/>
  <c r="G91" i="10"/>
  <c r="D121" i="10"/>
  <c r="G95" i="10"/>
  <c r="D125" i="10"/>
  <c r="C85" i="18"/>
  <c r="F85" i="18"/>
  <c r="O39" i="17"/>
  <c r="O84" i="17"/>
  <c r="D69" i="4"/>
  <c r="D76" i="4"/>
  <c r="M55" i="17"/>
  <c r="M79" i="17"/>
  <c r="C89" i="18"/>
  <c r="F89" i="18"/>
  <c r="C92" i="18"/>
  <c r="F92" i="18"/>
  <c r="O24" i="17"/>
  <c r="O46" i="17"/>
  <c r="O31" i="17"/>
  <c r="O43" i="17"/>
  <c r="O28" i="17"/>
  <c r="O99" i="17"/>
  <c r="C87" i="18"/>
  <c r="F87" i="18"/>
  <c r="C90" i="18"/>
  <c r="F90" i="18"/>
  <c r="C95" i="18"/>
  <c r="F95" i="18"/>
  <c r="C84" i="18"/>
  <c r="C94" i="18"/>
  <c r="F94" i="18"/>
  <c r="O49" i="17"/>
  <c r="O34" i="17"/>
  <c r="O44" i="17"/>
  <c r="O104" i="17"/>
  <c r="O106" i="17"/>
  <c r="O48" i="17"/>
  <c r="O41" i="17"/>
  <c r="O26" i="17"/>
  <c r="O103" i="17"/>
  <c r="F84" i="18"/>
  <c r="K24" i="17"/>
  <c r="O109" i="17"/>
  <c r="O29" i="17"/>
  <c r="O108" i="17"/>
  <c r="O33" i="17"/>
  <c r="O101" i="17"/>
  <c r="O38" i="17"/>
  <c r="D19" i="10"/>
  <c r="D18" i="10"/>
  <c r="D17" i="10"/>
  <c r="D16" i="10"/>
  <c r="D15" i="10"/>
  <c r="D14" i="10"/>
  <c r="D12" i="10"/>
  <c r="D11" i="10"/>
  <c r="D10" i="10"/>
  <c r="D9" i="10"/>
  <c r="D8" i="10"/>
  <c r="O98" i="17"/>
  <c r="O23" i="17"/>
  <c r="C115" i="10"/>
  <c r="C116" i="10"/>
  <c r="D49" i="5"/>
  <c r="D48" i="5"/>
  <c r="D47" i="5"/>
  <c r="D46" i="5"/>
  <c r="D45" i="5"/>
  <c r="D44" i="5"/>
  <c r="D43" i="5"/>
  <c r="D42" i="5"/>
  <c r="D41" i="5"/>
  <c r="D40" i="5"/>
  <c r="D39" i="5"/>
  <c r="D38" i="5"/>
  <c r="C39" i="5"/>
  <c r="D53" i="5"/>
  <c r="D57" i="5"/>
  <c r="D58" i="5"/>
  <c r="D62" i="5"/>
  <c r="D55" i="5"/>
  <c r="D56" i="5"/>
  <c r="D59" i="5"/>
  <c r="D60" i="5"/>
  <c r="E39" i="5"/>
  <c r="C38" i="5"/>
  <c r="E122" i="10"/>
  <c r="E121" i="10"/>
  <c r="E125" i="10"/>
  <c r="E124" i="10"/>
  <c r="E119" i="10"/>
  <c r="E117" i="10"/>
  <c r="E116" i="10"/>
  <c r="E126" i="10"/>
  <c r="E123" i="10"/>
  <c r="E120" i="10"/>
  <c r="E118" i="10"/>
  <c r="E64" i="4"/>
  <c r="F64" i="4"/>
  <c r="E63" i="4"/>
  <c r="F63" i="4"/>
  <c r="E61" i="4"/>
  <c r="F61" i="4"/>
  <c r="E60" i="4"/>
  <c r="F60" i="4"/>
  <c r="E59" i="4"/>
  <c r="F59" i="4"/>
  <c r="E58" i="4"/>
  <c r="F58" i="4"/>
  <c r="E57" i="4"/>
  <c r="F57" i="4"/>
  <c r="E55" i="4"/>
  <c r="F55" i="4"/>
  <c r="B9" i="17"/>
  <c r="B39" i="17"/>
  <c r="E139" i="10"/>
  <c r="E132" i="10"/>
  <c r="E133" i="10"/>
  <c r="E130" i="10"/>
  <c r="E136" i="10"/>
  <c r="E137" i="10"/>
  <c r="E134" i="10"/>
  <c r="E135" i="10"/>
  <c r="D61" i="5"/>
  <c r="D54" i="5"/>
  <c r="F116" i="10"/>
  <c r="E38" i="5"/>
  <c r="F39" i="17"/>
  <c r="D38" i="17"/>
  <c r="L46" i="17"/>
  <c r="L47" i="17"/>
  <c r="L48" i="17"/>
  <c r="L41" i="17"/>
  <c r="L43" i="17"/>
  <c r="L44" i="17"/>
  <c r="L45" i="17"/>
  <c r="L49" i="17"/>
  <c r="E53" i="4"/>
  <c r="E56" i="4"/>
  <c r="F56" i="4"/>
  <c r="E54" i="4"/>
  <c r="E62" i="4"/>
  <c r="F62" i="4"/>
  <c r="D39" i="17"/>
  <c r="E49" i="17"/>
  <c r="E48" i="17"/>
  <c r="E46" i="17"/>
  <c r="E45" i="17"/>
  <c r="E44" i="17"/>
  <c r="E40" i="17"/>
  <c r="E43" i="17"/>
  <c r="E42" i="17"/>
  <c r="D42" i="17"/>
  <c r="D48" i="17"/>
  <c r="D40" i="17"/>
  <c r="D49" i="17"/>
  <c r="D43" i="17"/>
  <c r="D44" i="17"/>
  <c r="D45" i="17"/>
  <c r="D46" i="17"/>
  <c r="D41" i="17"/>
  <c r="D47" i="17"/>
  <c r="B99" i="17"/>
  <c r="E131" i="10"/>
  <c r="E138" i="10"/>
  <c r="E68" i="4"/>
  <c r="E70" i="4"/>
  <c r="E71" i="4"/>
  <c r="E72" i="4"/>
  <c r="E73" i="4"/>
  <c r="E74" i="4"/>
  <c r="E75" i="4"/>
  <c r="E77" i="4"/>
  <c r="L56" i="17"/>
  <c r="F84" i="17"/>
  <c r="D87" i="17"/>
  <c r="D84" i="17"/>
  <c r="D56" i="17"/>
  <c r="L54" i="17"/>
  <c r="L53" i="17"/>
  <c r="D53" i="17"/>
  <c r="D54" i="17"/>
  <c r="D90" i="17"/>
  <c r="L94" i="17"/>
  <c r="L90" i="17"/>
  <c r="D85" i="17"/>
  <c r="D92" i="17"/>
  <c r="D93" i="17"/>
  <c r="L93" i="17"/>
  <c r="D86" i="17"/>
  <c r="D88" i="17"/>
  <c r="L89" i="17"/>
  <c r="L92" i="17"/>
  <c r="D91" i="17"/>
  <c r="D94" i="17"/>
  <c r="L88" i="17"/>
  <c r="L91" i="17"/>
  <c r="L86" i="17"/>
  <c r="L83" i="17"/>
  <c r="L84" i="17"/>
  <c r="L87" i="17"/>
  <c r="L85" i="17"/>
  <c r="D83" i="17"/>
  <c r="D89" i="17"/>
  <c r="D31" i="17"/>
  <c r="D106" i="17"/>
  <c r="E27" i="17"/>
  <c r="E102" i="17"/>
  <c r="D32" i="17"/>
  <c r="D107" i="17"/>
  <c r="D26" i="17"/>
  <c r="D101" i="17"/>
  <c r="D28" i="17"/>
  <c r="D103" i="17"/>
  <c r="D27" i="17"/>
  <c r="D102" i="17"/>
  <c r="E29" i="17"/>
  <c r="E104" i="17"/>
  <c r="E34" i="17"/>
  <c r="E109" i="17"/>
  <c r="L29" i="17"/>
  <c r="L104" i="17"/>
  <c r="L32" i="17"/>
  <c r="L107" i="17"/>
  <c r="D34" i="17"/>
  <c r="D109" i="17"/>
  <c r="E30" i="17"/>
  <c r="E105" i="17"/>
  <c r="L28" i="17"/>
  <c r="L103" i="17"/>
  <c r="L31" i="17"/>
  <c r="L106" i="17"/>
  <c r="D30" i="17"/>
  <c r="D105" i="17"/>
  <c r="D25" i="17"/>
  <c r="D100" i="17"/>
  <c r="E28" i="17"/>
  <c r="E103" i="17"/>
  <c r="E31" i="17"/>
  <c r="E106" i="17"/>
  <c r="L34" i="17"/>
  <c r="L109" i="17"/>
  <c r="L26" i="17"/>
  <c r="L101" i="17"/>
  <c r="D23" i="17"/>
  <c r="D98" i="17"/>
  <c r="D24" i="17"/>
  <c r="D99" i="17"/>
  <c r="D29" i="17"/>
  <c r="D104" i="17"/>
  <c r="D33" i="17"/>
  <c r="D108" i="17"/>
  <c r="E25" i="17"/>
  <c r="E100" i="17"/>
  <c r="E33" i="17"/>
  <c r="E108" i="17"/>
  <c r="L30" i="17"/>
  <c r="L105" i="17"/>
  <c r="L33" i="17"/>
  <c r="L108" i="17"/>
  <c r="F24" i="17"/>
  <c r="F99" i="17"/>
  <c r="F54" i="4"/>
  <c r="E41" i="17"/>
  <c r="E47" i="17"/>
  <c r="N39" i="17"/>
  <c r="E39" i="17"/>
  <c r="P39" i="17"/>
  <c r="E69" i="4"/>
  <c r="E76" i="4"/>
  <c r="N84" i="17"/>
  <c r="L55" i="17"/>
  <c r="D55" i="17"/>
  <c r="D69" i="17"/>
  <c r="D70" i="17"/>
  <c r="D78" i="17"/>
  <c r="D79" i="17"/>
  <c r="E26" i="17"/>
  <c r="E101" i="17"/>
  <c r="N24" i="17"/>
  <c r="N99" i="17"/>
  <c r="E32" i="17"/>
  <c r="E107" i="17"/>
  <c r="B10" i="17"/>
  <c r="B11" i="17"/>
  <c r="B12" i="17"/>
  <c r="B13" i="17"/>
  <c r="B14" i="17"/>
  <c r="B15" i="17"/>
  <c r="B16" i="17"/>
  <c r="B17" i="17"/>
  <c r="B108" i="17"/>
  <c r="B19" i="17"/>
  <c r="B8" i="17"/>
  <c r="E84" i="17"/>
  <c r="E99" i="17"/>
  <c r="E24" i="17"/>
  <c r="B45" i="17"/>
  <c r="B40" i="17"/>
  <c r="B49" i="17"/>
  <c r="B41" i="17"/>
  <c r="B47" i="17"/>
  <c r="B43" i="17"/>
  <c r="B38" i="17"/>
  <c r="B46" i="17"/>
  <c r="B42" i="17"/>
  <c r="D9" i="17"/>
  <c r="B24" i="17"/>
  <c r="B44" i="17"/>
  <c r="B28" i="17"/>
  <c r="B27" i="17"/>
  <c r="B31" i="17"/>
  <c r="B29" i="17"/>
  <c r="B26" i="17"/>
  <c r="B93" i="17"/>
  <c r="B25" i="17"/>
  <c r="B30" i="17"/>
  <c r="B34" i="17"/>
  <c r="B32" i="17"/>
  <c r="B23" i="17"/>
  <c r="C125" i="10"/>
  <c r="C124" i="10"/>
  <c r="C123" i="10"/>
  <c r="C121" i="10"/>
  <c r="C120" i="10"/>
  <c r="C119" i="10"/>
  <c r="C126" i="10"/>
  <c r="C122" i="10"/>
  <c r="C118" i="10"/>
  <c r="C117" i="10"/>
  <c r="C45" i="5"/>
  <c r="E45" i="5"/>
  <c r="C42" i="5"/>
  <c r="E42" i="5"/>
  <c r="B94" i="17"/>
  <c r="H74" i="17"/>
  <c r="B86" i="17"/>
  <c r="H76" i="17"/>
  <c r="B88" i="17"/>
  <c r="M68" i="17"/>
  <c r="B89" i="17"/>
  <c r="C70" i="17"/>
  <c r="B104" i="17"/>
  <c r="B106" i="17"/>
  <c r="B103" i="17"/>
  <c r="B101" i="17"/>
  <c r="B100" i="17"/>
  <c r="B90" i="17"/>
  <c r="G68" i="17"/>
  <c r="B83" i="17"/>
  <c r="G76" i="17"/>
  <c r="B85" i="17"/>
  <c r="J71" i="17"/>
  <c r="B91" i="17"/>
  <c r="H71" i="17"/>
  <c r="B84" i="17"/>
  <c r="L79" i="17"/>
  <c r="B92" i="17"/>
  <c r="G72" i="17"/>
  <c r="B87" i="17"/>
  <c r="J77" i="17"/>
  <c r="E9" i="17"/>
  <c r="B102" i="17"/>
  <c r="B98" i="17"/>
  <c r="B107" i="17"/>
  <c r="B109" i="17"/>
  <c r="B105" i="17"/>
  <c r="C134" i="10"/>
  <c r="C135" i="10"/>
  <c r="C132" i="10"/>
  <c r="C133" i="10"/>
  <c r="C139" i="10"/>
  <c r="C130" i="10"/>
  <c r="C136" i="10"/>
  <c r="C137" i="10"/>
  <c r="I71" i="17"/>
  <c r="G71" i="17"/>
  <c r="L68" i="17"/>
  <c r="C73" i="17"/>
  <c r="M77" i="17"/>
  <c r="M76" i="17"/>
  <c r="L77" i="17"/>
  <c r="M75" i="17"/>
  <c r="D72" i="17"/>
  <c r="M72" i="17"/>
  <c r="I70" i="17"/>
  <c r="J68" i="17"/>
  <c r="H68" i="17"/>
  <c r="G73" i="17"/>
  <c r="C68" i="17"/>
  <c r="M70" i="17"/>
  <c r="D73" i="17"/>
  <c r="L71" i="17"/>
  <c r="F122" i="10"/>
  <c r="N45" i="17"/>
  <c r="F126" i="10"/>
  <c r="N49" i="17"/>
  <c r="F123" i="10"/>
  <c r="N46" i="17"/>
  <c r="F121" i="10"/>
  <c r="N44" i="17"/>
  <c r="F117" i="10"/>
  <c r="N40" i="17"/>
  <c r="F119" i="10"/>
  <c r="N42" i="17"/>
  <c r="F124" i="10"/>
  <c r="N47" i="17"/>
  <c r="F118" i="10"/>
  <c r="N41" i="17"/>
  <c r="F120" i="10"/>
  <c r="N43" i="17"/>
  <c r="F125" i="10"/>
  <c r="N48" i="17"/>
  <c r="C40" i="5"/>
  <c r="F45" i="17"/>
  <c r="F42" i="17"/>
  <c r="K30" i="17"/>
  <c r="K29" i="17"/>
  <c r="K31" i="17"/>
  <c r="K25" i="17"/>
  <c r="K33" i="17"/>
  <c r="K26" i="17"/>
  <c r="K34" i="17"/>
  <c r="K27" i="17"/>
  <c r="K32" i="17"/>
  <c r="K28" i="17"/>
  <c r="J73" i="17"/>
  <c r="J72" i="17"/>
  <c r="I69" i="17"/>
  <c r="I72" i="17"/>
  <c r="C75" i="17"/>
  <c r="G75" i="17"/>
  <c r="G77" i="17"/>
  <c r="J74" i="17"/>
  <c r="H77" i="17"/>
  <c r="G78" i="17"/>
  <c r="H70" i="17"/>
  <c r="C76" i="17"/>
  <c r="C78" i="17"/>
  <c r="L76" i="17"/>
  <c r="G74" i="17"/>
  <c r="L69" i="17"/>
  <c r="C77" i="17"/>
  <c r="M69" i="17"/>
  <c r="J78" i="17"/>
  <c r="C72" i="17"/>
  <c r="D75" i="17"/>
  <c r="G70" i="17"/>
  <c r="M73" i="17"/>
  <c r="J76" i="17"/>
  <c r="L78" i="17"/>
  <c r="H69" i="17"/>
  <c r="H78" i="17"/>
  <c r="D68" i="17"/>
  <c r="H72" i="17"/>
  <c r="M71" i="17"/>
  <c r="J69" i="17"/>
  <c r="L70" i="17"/>
  <c r="G69" i="17"/>
  <c r="M78" i="17"/>
  <c r="L74" i="17"/>
  <c r="M74" i="17"/>
  <c r="D74" i="17"/>
  <c r="H75" i="17"/>
  <c r="C69" i="17"/>
  <c r="I68" i="17"/>
  <c r="C71" i="17"/>
  <c r="J75" i="17"/>
  <c r="D77" i="17"/>
  <c r="H73" i="17"/>
  <c r="D76" i="17"/>
  <c r="J70" i="17"/>
  <c r="L73" i="17"/>
  <c r="L75" i="17"/>
  <c r="D71" i="17"/>
  <c r="L72" i="17"/>
  <c r="C131" i="10"/>
  <c r="C138" i="10"/>
  <c r="F87" i="17"/>
  <c r="F90" i="17"/>
  <c r="E40" i="5"/>
  <c r="F30" i="17"/>
  <c r="F105" i="17"/>
  <c r="N26" i="17"/>
  <c r="N101" i="17"/>
  <c r="N29" i="17"/>
  <c r="N104" i="17"/>
  <c r="N34" i="17"/>
  <c r="N109" i="17"/>
  <c r="N32" i="17"/>
  <c r="N107" i="17"/>
  <c r="N33" i="17"/>
  <c r="N108" i="17"/>
  <c r="N27" i="17"/>
  <c r="N102" i="17"/>
  <c r="F27" i="17"/>
  <c r="F102" i="17"/>
  <c r="N28" i="17"/>
  <c r="N103" i="17"/>
  <c r="N25" i="17"/>
  <c r="N100" i="17"/>
  <c r="N31" i="17"/>
  <c r="N106" i="17"/>
  <c r="N30" i="17"/>
  <c r="N105" i="17"/>
  <c r="C9" i="17"/>
  <c r="F38" i="17"/>
  <c r="F40" i="17"/>
  <c r="F23" i="17"/>
  <c r="F98" i="17"/>
  <c r="C49" i="5"/>
  <c r="E49" i="5"/>
  <c r="C46" i="5"/>
  <c r="E46" i="5"/>
  <c r="C44" i="5"/>
  <c r="E44" i="5"/>
  <c r="C41" i="5"/>
  <c r="C47" i="5"/>
  <c r="E47" i="5"/>
  <c r="C43" i="5"/>
  <c r="E43" i="5"/>
  <c r="C48" i="5"/>
  <c r="E48" i="5"/>
  <c r="F85" i="17"/>
  <c r="F100" i="17"/>
  <c r="F25" i="17"/>
  <c r="C59" i="5"/>
  <c r="C60" i="5"/>
  <c r="C53" i="5"/>
  <c r="C55" i="5"/>
  <c r="C56" i="5"/>
  <c r="C57" i="5"/>
  <c r="C58" i="5"/>
  <c r="C62" i="5"/>
  <c r="E41" i="5"/>
  <c r="F44" i="17"/>
  <c r="P44" i="17"/>
  <c r="F47" i="17"/>
  <c r="F49" i="17"/>
  <c r="P49" i="17"/>
  <c r="F43" i="17"/>
  <c r="P43" i="17"/>
  <c r="F46" i="17"/>
  <c r="P46" i="17"/>
  <c r="F48" i="17"/>
  <c r="P48" i="17"/>
  <c r="F41" i="17"/>
  <c r="F101" i="17"/>
  <c r="E55" i="5"/>
  <c r="E56" i="5"/>
  <c r="E62" i="5"/>
  <c r="E57" i="5"/>
  <c r="E58" i="5"/>
  <c r="E53" i="5"/>
  <c r="E59" i="5"/>
  <c r="E60" i="5"/>
  <c r="C54" i="5"/>
  <c r="C61" i="5"/>
  <c r="F89" i="17"/>
  <c r="F92" i="17"/>
  <c r="F34" i="17"/>
  <c r="F109" i="17"/>
  <c r="F32" i="17"/>
  <c r="F107" i="17"/>
  <c r="F31" i="17"/>
  <c r="F106" i="17"/>
  <c r="F28" i="17"/>
  <c r="F103" i="17"/>
  <c r="F29" i="17"/>
  <c r="F104" i="17"/>
  <c r="F33" i="17"/>
  <c r="F108" i="17"/>
  <c r="P41" i="17"/>
  <c r="F83" i="17"/>
  <c r="F74" i="17"/>
  <c r="F94" i="17"/>
  <c r="F54" i="17"/>
  <c r="F56" i="17"/>
  <c r="F26" i="17"/>
  <c r="D11" i="17"/>
  <c r="E11" i="17"/>
  <c r="F86" i="17"/>
  <c r="F91" i="17"/>
  <c r="F53" i="17"/>
  <c r="F88" i="17"/>
  <c r="F93" i="17"/>
  <c r="D14" i="17"/>
  <c r="E14" i="17"/>
  <c r="D16" i="17"/>
  <c r="D19" i="17"/>
  <c r="D18" i="17"/>
  <c r="D13" i="17"/>
  <c r="E54" i="5"/>
  <c r="E61" i="5"/>
  <c r="C19" i="17"/>
  <c r="C14" i="17"/>
  <c r="C13" i="17"/>
  <c r="C16" i="17"/>
  <c r="C18" i="17"/>
  <c r="F70" i="17"/>
  <c r="F71" i="17"/>
  <c r="F78" i="17"/>
  <c r="F72" i="17"/>
  <c r="F55" i="17"/>
  <c r="F76" i="17"/>
  <c r="F73" i="17"/>
  <c r="C11" i="17"/>
  <c r="F69" i="17"/>
  <c r="F75" i="17"/>
  <c r="F68" i="17"/>
  <c r="F77" i="17"/>
  <c r="F79" i="17"/>
  <c r="E13" i="17"/>
  <c r="E19" i="17"/>
  <c r="E18" i="17"/>
  <c r="E16" i="17"/>
  <c r="C85" i="10"/>
  <c r="G85" i="10"/>
  <c r="D115" i="10"/>
  <c r="C88" i="18"/>
  <c r="F88" i="18"/>
  <c r="C93" i="18"/>
  <c r="F93" i="18"/>
  <c r="C91" i="18"/>
  <c r="F91" i="18"/>
  <c r="C86" i="18"/>
  <c r="C38" i="11"/>
  <c r="E38" i="11"/>
  <c r="O47" i="17"/>
  <c r="O42" i="17"/>
  <c r="O45" i="17"/>
  <c r="C108" i="18"/>
  <c r="C103" i="18"/>
  <c r="C104" i="18"/>
  <c r="C101" i="18"/>
  <c r="C102" i="18"/>
  <c r="C105" i="18"/>
  <c r="C106" i="18"/>
  <c r="C99" i="18"/>
  <c r="D130" i="10"/>
  <c r="D139" i="10"/>
  <c r="D136" i="10"/>
  <c r="D137" i="10"/>
  <c r="D134" i="10"/>
  <c r="D135" i="10"/>
  <c r="D132" i="10"/>
  <c r="D133" i="10"/>
  <c r="F86" i="18"/>
  <c r="F115" i="10"/>
  <c r="C98" i="11"/>
  <c r="C53" i="4"/>
  <c r="O30" i="17"/>
  <c r="D15" i="17"/>
  <c r="P45" i="17"/>
  <c r="O107" i="17"/>
  <c r="P47" i="17"/>
  <c r="P42" i="17"/>
  <c r="O27" i="17"/>
  <c r="D12" i="17"/>
  <c r="O102" i="17"/>
  <c r="O105" i="17"/>
  <c r="O32" i="17"/>
  <c r="C17" i="17"/>
  <c r="O87" i="17"/>
  <c r="F103" i="18"/>
  <c r="F104" i="18"/>
  <c r="F99" i="18"/>
  <c r="F108" i="18"/>
  <c r="F101" i="18"/>
  <c r="F102" i="18"/>
  <c r="F105" i="18"/>
  <c r="F106" i="18"/>
  <c r="C107" i="18"/>
  <c r="C100" i="18"/>
  <c r="E98" i="11"/>
  <c r="C115" i="11"/>
  <c r="C116" i="11"/>
  <c r="C122" i="11"/>
  <c r="C113" i="11"/>
  <c r="C119" i="11"/>
  <c r="C120" i="11"/>
  <c r="C117" i="11"/>
  <c r="C118" i="11"/>
  <c r="D138" i="10"/>
  <c r="D131" i="10"/>
  <c r="F136" i="10"/>
  <c r="F137" i="10"/>
  <c r="F130" i="10"/>
  <c r="F134" i="10"/>
  <c r="F135" i="10"/>
  <c r="F139" i="10"/>
  <c r="F132" i="10"/>
  <c r="F133" i="10"/>
  <c r="C72" i="4"/>
  <c r="C73" i="4"/>
  <c r="C68" i="4"/>
  <c r="C77" i="4"/>
  <c r="C74" i="4"/>
  <c r="C75" i="4"/>
  <c r="C70" i="4"/>
  <c r="C71" i="4"/>
  <c r="O40" i="17"/>
  <c r="N38" i="17"/>
  <c r="F53" i="4"/>
  <c r="C15" i="17"/>
  <c r="C12" i="17"/>
  <c r="P40" i="17"/>
  <c r="D17" i="17"/>
  <c r="E15" i="17"/>
  <c r="E12" i="17"/>
  <c r="F107" i="18"/>
  <c r="F100" i="18"/>
  <c r="C114" i="11"/>
  <c r="C121" i="11"/>
  <c r="E115" i="11"/>
  <c r="E116" i="11"/>
  <c r="E122" i="11"/>
  <c r="E113" i="11"/>
  <c r="E119" i="11"/>
  <c r="E120" i="11"/>
  <c r="E117" i="11"/>
  <c r="E118" i="11"/>
  <c r="F131" i="10"/>
  <c r="F138" i="10"/>
  <c r="E38" i="17"/>
  <c r="F77" i="4"/>
  <c r="F68" i="4"/>
  <c r="F70" i="4"/>
  <c r="F71" i="4"/>
  <c r="F72" i="4"/>
  <c r="F73" i="4"/>
  <c r="F74" i="4"/>
  <c r="F75" i="4"/>
  <c r="C69" i="4"/>
  <c r="C76" i="4"/>
  <c r="O56" i="17"/>
  <c r="O90" i="17"/>
  <c r="O54" i="17"/>
  <c r="O89" i="17"/>
  <c r="O91" i="17"/>
  <c r="O92" i="17"/>
  <c r="O83" i="17"/>
  <c r="O88" i="17"/>
  <c r="O100" i="17"/>
  <c r="O85" i="17"/>
  <c r="O86" i="17"/>
  <c r="O94" i="17"/>
  <c r="O53" i="17"/>
  <c r="O93" i="17"/>
  <c r="O25" i="17"/>
  <c r="N56" i="17"/>
  <c r="N90" i="17"/>
  <c r="N88" i="17"/>
  <c r="N23" i="17"/>
  <c r="N98" i="17"/>
  <c r="N54" i="17"/>
  <c r="N91" i="17"/>
  <c r="N92" i="17"/>
  <c r="N93" i="17"/>
  <c r="N83" i="17"/>
  <c r="N86" i="17"/>
  <c r="N89" i="17"/>
  <c r="N94" i="17"/>
  <c r="N85" i="17"/>
  <c r="N53" i="17"/>
  <c r="N87" i="17"/>
  <c r="K38" i="17"/>
  <c r="E17" i="17"/>
  <c r="P38" i="17"/>
  <c r="E56" i="17"/>
  <c r="E54" i="17"/>
  <c r="E92" i="17"/>
  <c r="E90" i="17"/>
  <c r="E87" i="17"/>
  <c r="E114" i="11"/>
  <c r="E121" i="11"/>
  <c r="E86" i="17"/>
  <c r="E89" i="17"/>
  <c r="E94" i="17"/>
  <c r="E98" i="17"/>
  <c r="E93" i="17"/>
  <c r="E85" i="17"/>
  <c r="E83" i="17"/>
  <c r="E23" i="17"/>
  <c r="E91" i="17"/>
  <c r="E88" i="17"/>
  <c r="E53" i="17"/>
  <c r="F69" i="4"/>
  <c r="F76" i="4"/>
  <c r="O55" i="17"/>
  <c r="D10" i="17"/>
  <c r="C10" i="17"/>
  <c r="O68" i="17"/>
  <c r="O74" i="17"/>
  <c r="O73" i="17"/>
  <c r="O77" i="17"/>
  <c r="O72" i="17"/>
  <c r="O70" i="17"/>
  <c r="O78" i="17"/>
  <c r="O69" i="17"/>
  <c r="O75" i="17"/>
  <c r="O71" i="17"/>
  <c r="O79" i="17"/>
  <c r="O76" i="17"/>
  <c r="K84" i="17"/>
  <c r="K56" i="17"/>
  <c r="N55" i="17"/>
  <c r="N68" i="17"/>
  <c r="N79" i="17"/>
  <c r="N73" i="17"/>
  <c r="N76" i="17"/>
  <c r="N70" i="17"/>
  <c r="N75" i="17"/>
  <c r="N78" i="17"/>
  <c r="N72" i="17"/>
  <c r="N77" i="17"/>
  <c r="N71" i="17"/>
  <c r="N69" i="17"/>
  <c r="N74" i="17"/>
  <c r="K54" i="17"/>
  <c r="K88" i="17"/>
  <c r="K92" i="17"/>
  <c r="K98" i="17"/>
  <c r="K94" i="17"/>
  <c r="K53" i="17"/>
  <c r="K83" i="17"/>
  <c r="K85" i="17"/>
  <c r="K89" i="17"/>
  <c r="K86" i="17"/>
  <c r="K93" i="17"/>
  <c r="K87" i="17"/>
  <c r="K23" i="17"/>
  <c r="K90" i="17"/>
  <c r="K91" i="17"/>
  <c r="S88" i="17"/>
  <c r="R88" i="17"/>
  <c r="Q88" i="17"/>
  <c r="Q94" i="17"/>
  <c r="R94" i="17"/>
  <c r="S94" i="17"/>
  <c r="Q92" i="17"/>
  <c r="S92" i="17"/>
  <c r="R92" i="17"/>
  <c r="S84" i="17"/>
  <c r="Q84" i="17"/>
  <c r="R84" i="17"/>
  <c r="R91" i="17"/>
  <c r="S91" i="17"/>
  <c r="Q91" i="17"/>
  <c r="R85" i="17"/>
  <c r="S85" i="17"/>
  <c r="Q85" i="17"/>
  <c r="R89" i="17"/>
  <c r="Q89" i="17"/>
  <c r="S89" i="17"/>
  <c r="S87" i="17"/>
  <c r="Q87" i="17"/>
  <c r="R87" i="17"/>
  <c r="Q83" i="17"/>
  <c r="S83" i="17"/>
  <c r="R83" i="17"/>
  <c r="S93" i="17"/>
  <c r="R93" i="17"/>
  <c r="Q93" i="17"/>
  <c r="S86" i="17"/>
  <c r="R86" i="17"/>
  <c r="Q86" i="17"/>
  <c r="S90" i="17"/>
  <c r="R90" i="17"/>
  <c r="Q90" i="17"/>
  <c r="P88" i="17"/>
  <c r="P92" i="17"/>
  <c r="P94" i="17"/>
  <c r="P84" i="17"/>
  <c r="P91" i="17"/>
  <c r="P85" i="17"/>
  <c r="P89" i="17"/>
  <c r="P87" i="17"/>
  <c r="P83" i="17"/>
  <c r="P93" i="17"/>
  <c r="P86" i="17"/>
  <c r="P90" i="17"/>
  <c r="E75" i="17"/>
  <c r="E55" i="17"/>
  <c r="E69" i="17"/>
  <c r="E71" i="17"/>
  <c r="E73" i="17"/>
  <c r="E10" i="17"/>
  <c r="E79" i="17"/>
  <c r="E68" i="17"/>
  <c r="E78" i="17"/>
  <c r="E74" i="17"/>
  <c r="E70" i="17"/>
  <c r="E77" i="17"/>
  <c r="E76" i="17"/>
  <c r="E72" i="17"/>
  <c r="C8" i="17"/>
  <c r="K55" i="17"/>
  <c r="K72" i="17"/>
  <c r="K78" i="17"/>
  <c r="K73" i="17"/>
  <c r="K68" i="17"/>
  <c r="K77" i="17"/>
  <c r="K75" i="17"/>
  <c r="K69" i="17"/>
  <c r="K79" i="17"/>
  <c r="K70" i="17"/>
  <c r="K76" i="17"/>
  <c r="K71" i="17"/>
  <c r="K74" i="17"/>
  <c r="D8" i="17"/>
  <c r="G10" i="17"/>
  <c r="F10" i="17"/>
  <c r="G9" i="17"/>
  <c r="G12" i="17"/>
  <c r="G15" i="17"/>
  <c r="F8" i="17"/>
  <c r="F9" i="17"/>
  <c r="F18" i="17"/>
  <c r="F11" i="17"/>
  <c r="F19" i="17"/>
  <c r="F16" i="17"/>
  <c r="F13" i="17"/>
  <c r="F14" i="17"/>
  <c r="F12" i="17"/>
  <c r="F15" i="17"/>
  <c r="F17" i="17"/>
  <c r="E8" i="17"/>
  <c r="G14" i="17"/>
  <c r="G17" i="17"/>
  <c r="G19" i="17"/>
  <c r="G16" i="17"/>
  <c r="G13" i="17"/>
  <c r="G8" i="17"/>
  <c r="G18" i="17"/>
  <c r="G11" i="17"/>
</calcChain>
</file>

<file path=xl/sharedStrings.xml><?xml version="1.0" encoding="utf-8"?>
<sst xmlns="http://schemas.openxmlformats.org/spreadsheetml/2006/main" count="8291" uniqueCount="1035">
  <si>
    <t>Reliability and Robustness</t>
  </si>
  <si>
    <t>Cost Effectiveness</t>
  </si>
  <si>
    <t>Regional Integration and Coordination</t>
  </si>
  <si>
    <t>Provide for Scalability of Implementation</t>
  </si>
  <si>
    <t>Protect Habitats, Wildlife, and Ecosystem Services</t>
  </si>
  <si>
    <t>Address Climate Change Through Greenhouse Gas Reduction</t>
  </si>
  <si>
    <t>Concept</t>
  </si>
  <si>
    <t>Conveyance Improvement</t>
  </si>
  <si>
    <t>Gray Water Use</t>
  </si>
  <si>
    <t>Groundwater</t>
  </si>
  <si>
    <t>Imported Water Purchases</t>
  </si>
  <si>
    <t>Potable Reuse</t>
  </si>
  <si>
    <t>Recycled Water</t>
  </si>
  <si>
    <t>Seawater Desalination</t>
  </si>
  <si>
    <t>Stormwater BMPs</t>
  </si>
  <si>
    <t>Stormwater Capture</t>
  </si>
  <si>
    <t>Urban and Agricultural Water Use Efficiency</t>
  </si>
  <si>
    <t>Watershed and Ecosystem Management</t>
  </si>
  <si>
    <t>Gray water use</t>
  </si>
  <si>
    <t>Imported Water purchases</t>
  </si>
  <si>
    <t>NA</t>
  </si>
  <si>
    <t>Customizable Inputs</t>
  </si>
  <si>
    <t>Type of Weights:</t>
  </si>
  <si>
    <t>Stepped</t>
  </si>
  <si>
    <t>Custom</t>
  </si>
  <si>
    <t>Include in calculation?</t>
  </si>
  <si>
    <t>Yes</t>
  </si>
  <si>
    <t>No</t>
  </si>
  <si>
    <t>Concepts</t>
  </si>
  <si>
    <t>Cumulative Points</t>
  </si>
  <si>
    <t>Relative points on a 1 to 100 scale</t>
  </si>
  <si>
    <t>Regional Economic Impact</t>
  </si>
  <si>
    <t>Y</t>
  </si>
  <si>
    <t>Climate Resilience</t>
  </si>
  <si>
    <t>Enhanced Conservation</t>
  </si>
  <si>
    <t>Protect Habitats, Wildlife, Ecosystems</t>
  </si>
  <si>
    <t>Water Quality and Watersheds</t>
  </si>
  <si>
    <t>Project Name</t>
  </si>
  <si>
    <t>Dulzura Conduit Refurbishment</t>
  </si>
  <si>
    <t>San Diego County Reservoir Intertie</t>
  </si>
  <si>
    <t>Conservation Home Makeover in the Chollas Creek Watershed</t>
  </si>
  <si>
    <t>Groundwater Extraction Santee/El Monte</t>
  </si>
  <si>
    <t>Otay Mesa Lot 7 Groundwater Well System (capacity)</t>
  </si>
  <si>
    <t>San Pasqual Brackish Groundwater Recovery Project</t>
  </si>
  <si>
    <t>East County Advanced Water Purification Program Phase 1</t>
  </si>
  <si>
    <t>East County Advanced Water Purification Program Phase 2</t>
  </si>
  <si>
    <t>East County Advanced Water Purification Program Phase 3</t>
  </si>
  <si>
    <t>Encina Wastewater Water Reuse Project</t>
  </si>
  <si>
    <t>Pure Water San Diego Phase 2 - Central</t>
  </si>
  <si>
    <t>SFID/SDWD/SEJPA Potable Reuse Project</t>
  </si>
  <si>
    <t>Joint RW Transmission Project with SFID and OMWD</t>
  </si>
  <si>
    <t>North District Recycled System/RW Chapman WRF</t>
  </si>
  <si>
    <t>Rancho Cielo</t>
  </si>
  <si>
    <t>Ray Stoyer WRF - Landscape, Irrigation, Dust Control</t>
  </si>
  <si>
    <t>Village Park Recycled Water Expansion Project</t>
  </si>
  <si>
    <t>Camp Pendleton Desalination Facility</t>
  </si>
  <si>
    <t>Bakersfield Street and San Altos Channel Restoration</t>
  </si>
  <si>
    <t>Golden Ave Green Street</t>
  </si>
  <si>
    <t>Leucadia Roadside Park Stormwater Capture/Reuse Project</t>
  </si>
  <si>
    <t>Paradise Valley Creek Water Quality and Community Enhancement</t>
  </si>
  <si>
    <t>South Santa Fe Green Street Project</t>
  </si>
  <si>
    <t>Murray Urban Runoff Diversion System Capture</t>
  </si>
  <si>
    <t>Regional Demand Management Program Expansion</t>
  </si>
  <si>
    <t>Regional Drought Resilience Program</t>
  </si>
  <si>
    <t>UC San Diego Water Conservation and Watershed Protection</t>
  </si>
  <si>
    <t>Broadway/Federal Blvd Green Street</t>
  </si>
  <si>
    <t>Canton Dr Green Street</t>
  </si>
  <si>
    <t>Federal Blvd Channel</t>
  </si>
  <si>
    <t>Hodges Water Quality Improvement Program</t>
  </si>
  <si>
    <t>North Ave and Grove Green Street</t>
  </si>
  <si>
    <t>Paradise Creek Restoration Phase II</t>
  </si>
  <si>
    <t>San Diego Healthy Headwaters Restoration</t>
  </si>
  <si>
    <t>Sycamore Creek Restoration</t>
  </si>
  <si>
    <t>Project Complexity</t>
  </si>
  <si>
    <t>Concepts that reduce greenhouse gas emissions through energy efficiency improvements, industrial process modifications, transitions from fossil fuel to renewable energy sources, or by increasing carbon sequestration through habitat protection, restoration, or other activities that store carbon.</t>
  </si>
  <si>
    <t>Concepts that reduce the total present value capital, and operation and maintenance costs to the region and/or have a strong potential for external funding.</t>
  </si>
  <si>
    <t>Concepts that consider environmental justice issues, provide access to reliable/cost effective drinking water, distribute project benefits equitably throughout the basin, and/or directly benefit Disadvantaged Communities (as defined by the Department of Water Resources).</t>
  </si>
  <si>
    <t xml:space="preserve">Concepts that reduce inherent challenges associated with project complexity or feasibility (e.g., regulatory compliance, number of agencies/approvers, property ownership, public opinion/acceptance/practicality of implementation). </t>
  </si>
  <si>
    <t xml:space="preserve">Concepts that reduce impacts to ecosystems and threatened or endangered species. </t>
  </si>
  <si>
    <t>Concepts that provide flexibility in project phasing and expansion.</t>
  </si>
  <si>
    <t xml:space="preserve">Concepts that provide a reliable supply of drinking water, capable of meeting regional demand under normal, drought, and emergency conditions. This Objective includes management strategies to optimize infrastructure for the purposes of providing robust and reliable water supply. </t>
  </si>
  <si>
    <t xml:space="preserve">Concepts that increase green/open space benefits and other improvements to quality of life, including providing recreational opportunities such as swimming, boating, and fishing. </t>
  </si>
  <si>
    <t xml:space="preserve">Concepts that increase the potential for local job creation or the regional economy (e.g., to tourism and other industries). </t>
  </si>
  <si>
    <t xml:space="preserve">Concepts that support community engagement, education, and coordination with regional partners to leverage existing assets and projects, reduce project barriers, and/or build community support and knowledge of water issues. </t>
  </si>
  <si>
    <t xml:space="preserve">Concepts that reduce stormwater and wastewater discharges to rivers and the ocean, and reduce water quality impacts to water resources, including groundwater basins, surface waters, and 303(d) listed water bodies. </t>
  </si>
  <si>
    <t>Concepts that increase local water supplies and/or reduce the reliance on imported water</t>
  </si>
  <si>
    <t>Includes a brief discussion of the steps necessary to modify the trade-off analysis to include different combinations of Evaluation Objectives and Concepts, to modify scoring of Evaluation Objectives and Concepts if new and/or improved data are available, and to vary the importance placed on different Evaluation Objectives.</t>
  </si>
  <si>
    <t>Step 1</t>
  </si>
  <si>
    <t>Step 2</t>
  </si>
  <si>
    <t>Step 3</t>
  </si>
  <si>
    <t>Step 4</t>
  </si>
  <si>
    <t>Step 5</t>
  </si>
  <si>
    <t>Step 6</t>
  </si>
  <si>
    <t>Step 7</t>
  </si>
  <si>
    <t>Save results under a new spreadsheet name that reflects modification made to scoring.</t>
  </si>
  <si>
    <t>Repeat above steps if additional sensitivity analysis is desired.</t>
  </si>
  <si>
    <t>Print a copy of Appendix A of the San Diego Basin Study Task 2.5 – Trade-Off Analysis and Opportunities Report and these instructions for reference if desired.</t>
  </si>
  <si>
    <t>Detailed information regarding the source of data and information and calculations used to score each Evaluation Objective is presented in Chapter 3 and Appendix A of the San Diego Basin Study Task 2.5 – Trade-Off Analysis and Opportunities Report. The user should reference this Report for specific questions regarding the scoring process.</t>
  </si>
  <si>
    <t>Quality of Life/Recreation</t>
  </si>
  <si>
    <t xml:space="preserve">Protect Habitats, Wildlife, and Ecosystem Services </t>
  </si>
  <si>
    <t xml:space="preserve">Provide for Scalability of Implementation </t>
  </si>
  <si>
    <t xml:space="preserve">Regional Integration and Coordination </t>
  </si>
  <si>
    <t>Evaluation Objective: Project Complexity</t>
  </si>
  <si>
    <t>Evaluation Objective: Provide for Scalability of Implementation</t>
  </si>
  <si>
    <t>Evaluation Objective: Regional Economic Impact</t>
  </si>
  <si>
    <t>Evaluation Objective: Water Quality and Watersheds</t>
  </si>
  <si>
    <t>Address Climate Change through Greenhouse Gas (GHG) Reduction</t>
  </si>
  <si>
    <t>Environmental Justice</t>
  </si>
  <si>
    <t>Evaluation Objective: Protect Habitats, Wildlife, and Ecosystem Services</t>
  </si>
  <si>
    <t>Evaluation Objective (EO): Cost Effectiveness</t>
  </si>
  <si>
    <t>Evaluation Objective (EO): Climate Resilience</t>
  </si>
  <si>
    <t xml:space="preserve">Evaluation Objective (EO): Address Climate Change through Greenhouse Gas (GHG) Reduction </t>
  </si>
  <si>
    <t># of Project-Level Surveys/Observations</t>
  </si>
  <si>
    <t># of Concept-Level Surveys/Observations</t>
  </si>
  <si>
    <t>Evaluation Objective (EO): Quality of Life/Recreation</t>
  </si>
  <si>
    <t># of Expert Observations</t>
  </si>
  <si>
    <t>San Diego Basin Study</t>
  </si>
  <si>
    <t>Customized Trade-Off Analysis Tool</t>
  </si>
  <si>
    <t>Evaluation Objective (EO): Environmental Justice</t>
  </si>
  <si>
    <t>User Input and Calculation Tables</t>
  </si>
  <si>
    <t>Decision Trees</t>
  </si>
  <si>
    <t>Number of Project-level Survey Responses</t>
  </si>
  <si>
    <t>Number of Concept-level Survey Responses</t>
  </si>
  <si>
    <t>Concept-Level Survey Responses for GHG Mitigation</t>
  </si>
  <si>
    <t>Project-Level Survey Responses for GHG Mitigation</t>
  </si>
  <si>
    <t>Average All</t>
  </si>
  <si>
    <t>Group then Average</t>
  </si>
  <si>
    <t>Averaging Methods</t>
  </si>
  <si>
    <t>Project-Level/Concept-Level Survey Averaging Method</t>
  </si>
  <si>
    <t>Address Climate Change through GHG Reduction Unweighted EO Score</t>
  </si>
  <si>
    <t>GHG Mitigation Performance Measure Score</t>
  </si>
  <si>
    <t>Instructions for Conducting a Trade-off Analysis Using the San Diego Basin Study Customize Trade-Off Analysis Tool</t>
  </si>
  <si>
    <t>Analysis Steps</t>
  </si>
  <si>
    <t>Tab Descriptions</t>
  </si>
  <si>
    <t xml:space="preserve">Instructions </t>
  </si>
  <si>
    <t>User Inputs</t>
  </si>
  <si>
    <t>EO [Evaluation Objective Name]</t>
  </si>
  <si>
    <t>About</t>
  </si>
  <si>
    <t>Information about the spreadsheet</t>
  </si>
  <si>
    <r>
      <t xml:space="preserve">Includes three input components to trade-off analysis: Weights of different Evaluation Objectives, Evaluation Objectives Included in Trade-Off Analysis, Concepts Included in Trade-Off Analysis
</t>
    </r>
    <r>
      <rPr>
        <i/>
        <sz val="11"/>
        <color theme="1"/>
        <rFont val="Cambria"/>
        <family val="1"/>
      </rPr>
      <t>Note: Weights of importance included in User Inputs tab are from results of survey conducted by the City of San Diego. Other weights can be entered by user if desired.</t>
    </r>
  </si>
  <si>
    <t>Sea Level Rise Vulnerability Performance Measure Score</t>
  </si>
  <si>
    <t>Flood Risk Management Performance Measure
Score</t>
  </si>
  <si>
    <r>
      <t>Calculated Climate Resilience Evaluation Objective
Score</t>
    </r>
    <r>
      <rPr>
        <b/>
        <vertAlign val="superscript"/>
        <sz val="11"/>
        <color theme="1"/>
        <rFont val="Calibri"/>
        <family val="2"/>
        <scheme val="minor"/>
      </rPr>
      <t>1</t>
    </r>
  </si>
  <si>
    <r>
      <t>Climate Resilience Evaluation Objective Unweighted Score (rescaled)</t>
    </r>
    <r>
      <rPr>
        <b/>
        <vertAlign val="superscript"/>
        <sz val="11"/>
        <color theme="1"/>
        <rFont val="Calibri"/>
        <family val="2"/>
        <scheme val="minor"/>
      </rPr>
      <t>2</t>
    </r>
  </si>
  <si>
    <r>
      <rPr>
        <vertAlign val="superscript"/>
        <sz val="11"/>
        <color theme="1"/>
        <rFont val="Calibri"/>
        <family val="2"/>
        <scheme val="minor"/>
      </rPr>
      <t>1</t>
    </r>
    <r>
      <rPr>
        <sz val="11"/>
        <color theme="1"/>
        <rFont val="Calibri"/>
        <family val="2"/>
        <scheme val="minor"/>
      </rPr>
      <t xml:space="preserve"> Climate Resilience Calculated Score = (average of Sea Level Rise Resilience and Flood Risk Management Scores) × Warming and Fire Resilience Score</t>
    </r>
  </si>
  <si>
    <r>
      <rPr>
        <vertAlign val="superscript"/>
        <sz val="11"/>
        <color theme="1"/>
        <rFont val="Calibri"/>
        <family val="2"/>
        <scheme val="minor"/>
      </rPr>
      <t>2</t>
    </r>
    <r>
      <rPr>
        <sz val="11"/>
        <color theme="1"/>
        <rFont val="Calibri"/>
        <family val="2"/>
        <scheme val="minor"/>
      </rPr>
      <t xml:space="preserve"> Score scaled from 1 to 5</t>
    </r>
  </si>
  <si>
    <t>Project-level
Survey
Results for O&amp;M Costs</t>
  </si>
  <si>
    <t>Concept-level
Survey
Results for O&amp;M Costs</t>
  </si>
  <si>
    <t>O&amp;M Costs
Performance Measure Scores</t>
  </si>
  <si>
    <t>Project-level Survey Results for Capital Costs</t>
  </si>
  <si>
    <t>Concept-level Survey Results for Capital Costs</t>
  </si>
  <si>
    <t xml:space="preserve">
Capital Costs Performance Measure Scores</t>
  </si>
  <si>
    <t>External Funding
Performance Measure Scores</t>
  </si>
  <si>
    <t>Project-Level Survey Results for Potential for External Funding</t>
  </si>
  <si>
    <t>Cost Effectiveness Evaluation Objective Unweighted
Scores</t>
  </si>
  <si>
    <t>Environmental 
Justice Performance Measure Scores</t>
  </si>
  <si>
    <t>DACs Performance Measure Scores</t>
  </si>
  <si>
    <t>Environmental Justice
Evaluation Objective Unweighted Scores</t>
  </si>
  <si>
    <t>Project-level Survey
Results for Optimize Local Supplies</t>
  </si>
  <si>
    <t>Concept-level Survey
Results for Optimize Local Supplies</t>
  </si>
  <si>
    <t>Optimize Local Supplies Evaluation Objective Unweighted
Score</t>
  </si>
  <si>
    <t>Evaluation Objective (EO): Optimize Local Supplies</t>
  </si>
  <si>
    <t>Project
Complexity Evaluation Objective Unweighted Scores</t>
  </si>
  <si>
    <t>Project
Complexity Performance Measure Scores</t>
  </si>
  <si>
    <t>Concept-level Survey Results for Project Complexity</t>
  </si>
  <si>
    <t>Project-level Survey Results for Project Complexity</t>
  </si>
  <si>
    <t>Scalability of Implementation Evaluation Objective Unweighted Score</t>
  </si>
  <si>
    <t>Project Phasing Performance Measure Score</t>
  </si>
  <si>
    <t>Project-level Survey Results for Project Phasing</t>
  </si>
  <si>
    <t>Concept-level Survey Results for Project Phasing</t>
  </si>
  <si>
    <t>Project-level Survey Results for Green Space/Open Space</t>
  </si>
  <si>
    <t>Concept-level Survey Results for Green Space/Open Space</t>
  </si>
  <si>
    <t>Green Space/Open Space Sub-scores</t>
  </si>
  <si>
    <t>Project-level Survey Results for Quality of Life</t>
  </si>
  <si>
    <t>Concept-level Survey Results for Quality of Life</t>
  </si>
  <si>
    <t>Quality of Life Sub-scores</t>
  </si>
  <si>
    <t>Project-level Survey Results for Recreation Opportunities</t>
  </si>
  <si>
    <t>Concept-level Survey Results for Recreation Opportunities</t>
  </si>
  <si>
    <t>Recreation Opportunities Sub-scores</t>
  </si>
  <si>
    <t>Recreation Opportunities
Performance Measure Scores</t>
  </si>
  <si>
    <t>Green Space/Open Space Performance Measure Scores</t>
  </si>
  <si>
    <t>Quality
of Life Evaluation Objective Unweighted
Scores</t>
  </si>
  <si>
    <t># of Project-Level Survey Responses</t>
  </si>
  <si>
    <t># of Concept-Level Survey Responses</t>
  </si>
  <si>
    <t>General Regional Economic Impact Sub-scores</t>
  </si>
  <si>
    <t>Regional Economic Impact Performance Measure and Evaluation Objective Unweighted Score</t>
  </si>
  <si>
    <t>Project- level Survey Results for General Regional Economic Impact</t>
  </si>
  <si>
    <t>Project-level Survey Results for Integration</t>
  </si>
  <si>
    <t>Concept-level Survey Results for Integration</t>
  </si>
  <si>
    <t>Integration Sub-Scores</t>
  </si>
  <si>
    <t>Leveraging Sub-Scores</t>
  </si>
  <si>
    <t>Project-level Survey Results for Leveraging</t>
  </si>
  <si>
    <t>Concept-level Survey Results for Leveraging</t>
  </si>
  <si>
    <t>Coordination Performance Measure Scores</t>
  </si>
  <si>
    <t>Project-Level Survey Scores for Education and Outreach</t>
  </si>
  <si>
    <t>Concept-Level Survey Scores for Education and Outreach</t>
  </si>
  <si>
    <t>Education and Outreach Performance Measure Scores</t>
  </si>
  <si>
    <t>Project-level Survey Results for Freshwater/ Estuarine Discharges</t>
  </si>
  <si>
    <t>Concept-level Survey Results for Freshwater/ Estuarine Discharges</t>
  </si>
  <si>
    <t>Freshwater/ Estuarine Discharges Sub-scores</t>
  </si>
  <si>
    <t>Project-level Survey Scores for Marine Discharges</t>
  </si>
  <si>
    <t>Concept-level Survey Scores for Marine Discharges</t>
  </si>
  <si>
    <t>Marine Discharges Sub-scores</t>
  </si>
  <si>
    <t>Stormwater and Wastewater Discharges Performance Measure Scores</t>
  </si>
  <si>
    <t>Surface Water Quality Performance Measure Scores</t>
  </si>
  <si>
    <t>Groundwater Quality Performance Measure Scores</t>
  </si>
  <si>
    <t>Surface Water Quality Performance Measure Score</t>
  </si>
  <si>
    <t>Groundwater Quality Performance Measure Score</t>
  </si>
  <si>
    <t>Water Quality and Watersheds Evaluation Objective Unweighted Score</t>
  </si>
  <si>
    <t xml:space="preserve">Project-level Survey Results for Ground Water Quality </t>
  </si>
  <si>
    <t>Project-Level GIS Results for Groundwater Quality</t>
  </si>
  <si>
    <t>Project-Level Groundwater Quality Performance Measure Scores</t>
  </si>
  <si>
    <t>Project-Level Surface Water Quality Performance Measure Scores</t>
  </si>
  <si>
    <t>Project-level Survey Results for Surface Water Quality</t>
  </si>
  <si>
    <t>Project-Level GIS Results for Surface Water Quality</t>
  </si>
  <si>
    <t>Surface Water Quality Performance Measure</t>
  </si>
  <si>
    <t>Groundwater Quality Performance Measure</t>
  </si>
  <si>
    <t>Impacts to Ecosystems Performance Measure Scores</t>
  </si>
  <si>
    <t>Protect Habitats, Wildlife, and Ecosystem Services Evaluation Objective Unweighted Scores</t>
  </si>
  <si>
    <r>
      <rPr>
        <vertAlign val="superscript"/>
        <sz val="11"/>
        <color theme="1"/>
        <rFont val="Calibri"/>
        <family val="2"/>
        <scheme val="minor"/>
      </rPr>
      <t>1</t>
    </r>
    <r>
      <rPr>
        <sz val="11"/>
        <color theme="1"/>
        <rFont val="Calibri"/>
        <family val="2"/>
        <scheme val="minor"/>
      </rPr>
      <t>Relative to Baseline</t>
    </r>
  </si>
  <si>
    <t>Water Shortage Volume Performance Measure Score (Shortage Reduction on a 1 to 5 scale)</t>
  </si>
  <si>
    <t>Project-level Survey Results for Diversity of Water Supply</t>
  </si>
  <si>
    <t>Concept-level Survey Results for Diversity of Water Supply</t>
  </si>
  <si>
    <t>Diversity of Water Supply Sub-scores</t>
  </si>
  <si>
    <t>Project-level Survey Results for Resilience of Conveyance System</t>
  </si>
  <si>
    <t>Concept-level Survey Results for Resilience of Conveyance System</t>
  </si>
  <si>
    <t>Resilience of Conveyance System Sub-scores</t>
  </si>
  <si>
    <t>Project-level Survey Results for Aging Infrastructure</t>
  </si>
  <si>
    <t>Concept-level Survey Results for Aging Infrastructure</t>
  </si>
  <si>
    <t>Aging Infrastructure Sub-scores</t>
  </si>
  <si>
    <t>Project-level Survey Results for Insufficient Wastewater Flows</t>
  </si>
  <si>
    <t>Concept-level Survey Results for Insufficient Wastewater Flows</t>
  </si>
  <si>
    <t>Insufficient Wastewater Flows Sub-scores</t>
  </si>
  <si>
    <t xml:space="preserve">Vulnerability of Water Supplies and Infrastructure Performance Measure Scores </t>
  </si>
  <si>
    <t>Project-level Survey Results for Carryover Storage</t>
  </si>
  <si>
    <t>Concept-level Survey Results for Carryover Storage</t>
  </si>
  <si>
    <t>Carryover Storage Performance Measure Scores</t>
  </si>
  <si>
    <t>Reliability and Robustness Evaluation Objective Unweighted Scores</t>
  </si>
  <si>
    <t>Vulnerability of Water Supply Facilities and Infrastructure Performance Measure Scores</t>
  </si>
  <si>
    <t>Water
Shortage Volume Performance Measure Scores</t>
  </si>
  <si>
    <t>Capital Costs Performance Measure Scores</t>
  </si>
  <si>
    <t>Default (SDBS Survey)</t>
  </si>
  <si>
    <t>Weighting Type</t>
  </si>
  <si>
    <t xml:space="preserve">SDBS Customized Trade-off Analysis Tool </t>
  </si>
  <si>
    <t>Default (Values from SDBS Importance Weight Survey</t>
  </si>
  <si>
    <t>Stepped Weight High</t>
  </si>
  <si>
    <t>Stepped Weight Low</t>
  </si>
  <si>
    <t>Weights Used in Trade-off Analysis</t>
  </si>
  <si>
    <t>Select Evaluation Objective Weights</t>
  </si>
  <si>
    <t>Optimize Local Supplies</t>
  </si>
  <si>
    <t>Evaluation Objective</t>
  </si>
  <si>
    <t>Select Evaluation Objectives to Use in the Trade-Off Analysis</t>
  </si>
  <si>
    <t>Use the dropdown to select which Evaluation Objectives should be used in the trade-off analysis.</t>
  </si>
  <si>
    <t>Use the dropdown to select which Concepts should be used in the trade-off analysis.</t>
  </si>
  <si>
    <t>Stepped Rankings</t>
  </si>
  <si>
    <t>Custom Weights</t>
  </si>
  <si>
    <t>Trade-off Analysis Results</t>
  </si>
  <si>
    <t>Expert Panel Results for General Regional Economic Impact</t>
  </si>
  <si>
    <t>Includes three tables: Total points for each concept evaluated in the trade-off analysis, weighted points for each Evaluation Objective by Concept, and unweighted points for each Evaluation Objective by Concept.</t>
  </si>
  <si>
    <t>Includes calculation tables and decision trees for each Evaluation Objective. See Definitions tab for a description of the Evaluation Objectives</t>
  </si>
  <si>
    <t>Definitions</t>
  </si>
  <si>
    <t>Provides definitions of the Evaluation Objectives and other terms used in this spreadsheet tool.</t>
  </si>
  <si>
    <t>Evaluation Objective  Definitions</t>
  </si>
  <si>
    <t>PM</t>
  </si>
  <si>
    <t>EO</t>
  </si>
  <si>
    <t>Performance Measure</t>
  </si>
  <si>
    <t>Abbreviations</t>
  </si>
  <si>
    <t>San Diego Basin Study (SDBS) Concepts represent groups of similar strategies or projects that could be used to meet the water demands of the region. These Concepts are used as the basis for analysis in the Study. Concepts were defined to characterize existing and potential future approaches. Concepts are defined by one or more Projects.</t>
  </si>
  <si>
    <t>Criteria developed through stakeholder input to characterize desired outcomes.</t>
  </si>
  <si>
    <t>Projects represent actual or theoretical proposed modifications to existing facilities, construction of new facilities, modifications to system operations, modifications to policy, or other proposed activities. Most SDBS Projects are based on actual proposed projects, including projects listed as verifiable, additional planned, and conceptual in the 2015 SDCWA Urban Water Management Plan (UWMP); the 2013 San Diego County Water Authority (SDCWA) Master Plan; the 2013 IRWM Plan; the 2017 Stormwater Resources Plan or other similar planning documents and lists. Other Projects represent a theoretical project idea or type of project, but are not tied to a specific proposed implementation.</t>
  </si>
  <si>
    <t xml:space="preserve">Concept </t>
  </si>
  <si>
    <t>Other Definitions</t>
  </si>
  <si>
    <t>Metric to calculate Evaluation Objective scores based upon a combination of survey responses, modeling results and/or GIS analyses.</t>
  </si>
  <si>
    <t>Project</t>
  </si>
  <si>
    <t>About the San Diego Basin Study Customized Trade-Off Analysis Tool:</t>
  </si>
  <si>
    <t>This tool has been made available as a product of the San Diego Basin Study Task 2.5 Report.</t>
  </si>
  <si>
    <t>Customizations?</t>
  </si>
  <si>
    <t>For additional questions or suggestions</t>
  </si>
  <si>
    <t>Version Information:</t>
  </si>
  <si>
    <t xml:space="preserve">Customization Notes: </t>
  </si>
  <si>
    <t>Tool Publication Date:</t>
  </si>
  <si>
    <t>Document customizations in order to more easily follow the impact of changes on trade-off analysis scores. Space is included on the About tab to record notes about customizations.</t>
  </si>
  <si>
    <t>Go to the Trade-off Analysis Results tab to view results by Evaluation Objective and in total. None of the Trade-off Analysis Results tab cells are modifiable.</t>
  </si>
  <si>
    <t xml:space="preserve">About Tab Customizations </t>
  </si>
  <si>
    <t>[Select Yes/No]</t>
  </si>
  <si>
    <t>Local Supply Performance Measure Score</t>
  </si>
  <si>
    <t>Gray Water use</t>
  </si>
  <si>
    <t xml:space="preserve">Project-Level GIS Results </t>
  </si>
  <si>
    <t xml:space="preserve">Project-level Survey Results </t>
  </si>
  <si>
    <t>Mission Trails Projects Alternative 1</t>
  </si>
  <si>
    <t>San Vicente 3rd Pump Drive and Power</t>
  </si>
  <si>
    <t>Second Crossover Pipeline</t>
  </si>
  <si>
    <t>San Luis Rey Groundwater Study</t>
  </si>
  <si>
    <t>New Local Supply Rincon del Diablo - Hale Avenue RRF/ City of Escondido/WRFs</t>
  </si>
  <si>
    <t>North WWTP Landscape Application</t>
  </si>
  <si>
    <t>Hale Avenue Resource Recovery Facility (HARRF) - Landscape, Agriculture, Industrial, PR</t>
  </si>
  <si>
    <t>Lilac Hills Ranch WRF</t>
  </si>
  <si>
    <t>Lower Moosa Canyon WRF</t>
  </si>
  <si>
    <t>Meadowlark WRF</t>
  </si>
  <si>
    <t>North City WRP - Project 1</t>
  </si>
  <si>
    <t>North City WRP - Project 2</t>
  </si>
  <si>
    <t>North Village WRF</t>
  </si>
  <si>
    <t>Safari Drought Response and Outreach</t>
  </si>
  <si>
    <t>Santa Maria WRP</t>
  </si>
  <si>
    <t>Shadowridge WRP</t>
  </si>
  <si>
    <t>Welk WRF</t>
  </si>
  <si>
    <t>Woods Valley Ranch WRF Phase 3</t>
  </si>
  <si>
    <t>Re-rating of Carlsbad Desalination for higher flow</t>
  </si>
  <si>
    <t>Sweetwater River Park Bioretention</t>
  </si>
  <si>
    <t>Massachusetts Blvd Green Street</t>
  </si>
  <si>
    <t>Sustaining Healthy Tributaries to the Upper San Diego River and Protecting Local Water Supplies</t>
  </si>
  <si>
    <t>MISSING</t>
  </si>
  <si>
    <t/>
  </si>
  <si>
    <t>Pipeline 3/Pipeline 4 Conversion</t>
  </si>
  <si>
    <t xml:space="preserve">Enhanced Conservation </t>
  </si>
  <si>
    <t>Graywater pilot project</t>
  </si>
  <si>
    <t>Middle Sweetwater River Basin Groundwater Well System</t>
  </si>
  <si>
    <t>Mission Valley Brackish Groundwater Recovery Project</t>
  </si>
  <si>
    <t>Otay River Valley GW Aquifer Studies &amp; Field Investigations</t>
  </si>
  <si>
    <t>San Diego Formation - Southeaster San Diego, including Mt Hope</t>
  </si>
  <si>
    <t>San Dieguito River Basin Brackish GW Recovery and Treatment</t>
  </si>
  <si>
    <t>Santa Margarita Conjunctive-Use Project - Local surface water recharge and expansion of Camp Pendleton groundwater recovery program</t>
  </si>
  <si>
    <t>Cadiz additional imported supplies</t>
  </si>
  <si>
    <t xml:space="preserve">Potable Reuse/Hale Avenue Resource Recovery Facility (HARRF) </t>
  </si>
  <si>
    <t xml:space="preserve">Pure Water San Diego Phase 1 - North City </t>
  </si>
  <si>
    <t>South WWTP - Indirect Potable Recharge</t>
  </si>
  <si>
    <t>Extension 153 Phase I</t>
  </si>
  <si>
    <t>Extension 153 Phase II</t>
  </si>
  <si>
    <t>Integrated Water Resource Solutions for the Carlsbad Watershed</t>
  </si>
  <si>
    <t>Intergrated Water Resource Solutions for the Carlsbad Watershed</t>
  </si>
  <si>
    <t>Meadowood WRF</t>
  </si>
  <si>
    <t>North San Diego County Regional Recycled Water Project-Phase ll</t>
  </si>
  <si>
    <t>South WWTP - Injection to Las Flores Basin</t>
  </si>
  <si>
    <t>South WWTP - Injection to Santa Margarita Basin</t>
  </si>
  <si>
    <t>TBD - Evaluation Multiple Options/TBD - Supply/ Source Treatment Plant/Agency for recycled water</t>
  </si>
  <si>
    <t>W+157:181RP/Recycled Water Distribution System</t>
  </si>
  <si>
    <t>Rosarito Beach Desalination</t>
  </si>
  <si>
    <t>Alternative Compliance Retrofit Project El Norte Parkway and Rincon
Villa Drive, Escondido</t>
  </si>
  <si>
    <t>Alternative Compliance Retrofit Project Mountain View Park, Escondido</t>
  </si>
  <si>
    <t>Broadway Channel Flood Risk Reduction and Water Quality
Improvements</t>
  </si>
  <si>
    <t>City of Oceanside Loma Alta Slough Restoration Project</t>
  </si>
  <si>
    <t>Las Colinas Channel Improvments</t>
  </si>
  <si>
    <t>Lemon Grove Avenue Green Streets</t>
  </si>
  <si>
    <t>Lincoln St Green Street</t>
  </si>
  <si>
    <t xml:space="preserve">Low Impact Development Urban Runoff Control Projects for the Tijuana Estuary </t>
  </si>
  <si>
    <t>Madera St Green Street</t>
  </si>
  <si>
    <t>Main Street Promenade Extension</t>
  </si>
  <si>
    <t>Mapleview Street ‐ Green Infrastructure and Stormwater QualityImprovement Project</t>
  </si>
  <si>
    <t>Pure Water - Los Penasquitos Creek Urban Dry-Weather Water Harvesting</t>
  </si>
  <si>
    <t>Safari Park Storm Water Capture and Reuse Project</t>
  </si>
  <si>
    <t>Safari Park Water Reuse Sustainability and Watershed Protection Prgram</t>
  </si>
  <si>
    <t>San Marino Drive Green Street and Dry Weather Flow Management Sweetwater</t>
  </si>
  <si>
    <t>San Marino Drive Green Street and Dry Weather Flow Management Vallecitos</t>
  </si>
  <si>
    <t>San Miguel Green Street</t>
  </si>
  <si>
    <t>Skyline Dr and Kempt St Green Streets</t>
  </si>
  <si>
    <t>Spruce Street Channel Improvement Project</t>
  </si>
  <si>
    <t>Storm water Capture off San Diego River along Alvarado Canyon and Fairmont Canyon to Fish and Wildlife site</t>
  </si>
  <si>
    <t>Sweetwater Rd Green Street</t>
  </si>
  <si>
    <t>Telegraph Canyon Channel Improvement Project</t>
  </si>
  <si>
    <t>Woodside Avenue Complete Green Street</t>
  </si>
  <si>
    <t>Rainwater harvesting</t>
  </si>
  <si>
    <t xml:space="preserve">Ms. Smarty-Plants Grows Water-Wise Schools </t>
  </si>
  <si>
    <t>Rincon Customer-Driven Demand Management Program</t>
  </si>
  <si>
    <t>San Diego Water Conservation Program</t>
  </si>
  <si>
    <t>San Diego Water Use Reduction Program</t>
  </si>
  <si>
    <t>69th St Green Street</t>
  </si>
  <si>
    <t>Alternative Compliance Retrofit Project Avenida Del Diablo Park,
Escondido</t>
  </si>
  <si>
    <t>Central Avenue Green Street</t>
  </si>
  <si>
    <t>Mt. Vernon St Green Street</t>
  </si>
  <si>
    <t>Nestor Creek Channel Restoration</t>
  </si>
  <si>
    <t>Palm St Green Street</t>
  </si>
  <si>
    <t>Sweetwater Reservoir Wetlands Habitat Recovery</t>
  </si>
  <si>
    <t>Tijuana River Floating Trash Capture System</t>
  </si>
  <si>
    <t>No Response</t>
  </si>
  <si>
    <t>Respondent</t>
  </si>
  <si>
    <t>Respondent 1</t>
  </si>
  <si>
    <t>Drought Restriction/Allocation</t>
  </si>
  <si>
    <t>Firm Water Supply Agreements</t>
  </si>
  <si>
    <t>Local Surface Water Reservoirs</t>
  </si>
  <si>
    <t>Respondent 2</t>
  </si>
  <si>
    <t>Respondent 3</t>
  </si>
  <si>
    <t>Respondent 4</t>
  </si>
  <si>
    <t>Respondent 5</t>
  </si>
  <si>
    <t>Respondent 6</t>
  </si>
  <si>
    <t>Respondent 7</t>
  </si>
  <si>
    <t>Respondent 8</t>
  </si>
  <si>
    <t>Respondent 9</t>
  </si>
  <si>
    <t>Respondent 10</t>
  </si>
  <si>
    <t>Respondent 11</t>
  </si>
  <si>
    <t>Respondent 12</t>
  </si>
  <si>
    <t>Respondent 13</t>
  </si>
  <si>
    <t>Respondent 14</t>
  </si>
  <si>
    <t>Respondent 15</t>
  </si>
  <si>
    <t>Respondent 16</t>
  </si>
  <si>
    <t>Concept-Level Survey Data for Water Quality and Watersheds Evaluation Objectiv</t>
  </si>
  <si>
    <t>RR-V-1</t>
  </si>
  <si>
    <t>RR-V-2</t>
  </si>
  <si>
    <t>RR-V-3</t>
  </si>
  <si>
    <t>RR-V-4</t>
  </si>
  <si>
    <t>RR-CS-1</t>
  </si>
  <si>
    <t>Column13</t>
  </si>
  <si>
    <t>OLS-LS-1</t>
  </si>
  <si>
    <t>CE-CC-1</t>
  </si>
  <si>
    <t>CE-CC-2</t>
  </si>
  <si>
    <t>CE-OM-1</t>
  </si>
  <si>
    <t>CE-OM-2</t>
  </si>
  <si>
    <t>CE-EF-1</t>
  </si>
  <si>
    <t>RI-C-1</t>
  </si>
  <si>
    <t>RI-C-2</t>
  </si>
  <si>
    <t>RI-C-3</t>
  </si>
  <si>
    <t>RI-EO-1</t>
  </si>
  <si>
    <t>SI-PP-1</t>
  </si>
  <si>
    <t>PC-CF-1</t>
  </si>
  <si>
    <t>QR-GS-1</t>
  </si>
  <si>
    <t>QR-GS-12</t>
  </si>
  <si>
    <t>QR-RO-1</t>
  </si>
  <si>
    <t>EJ-EJ-1</t>
  </si>
  <si>
    <t>EJ-EJ-2</t>
  </si>
  <si>
    <t>EJ-EJ-3</t>
  </si>
  <si>
    <t>EJ-DC-1</t>
  </si>
  <si>
    <t>EI-EI-1</t>
  </si>
  <si>
    <t>EI-EI-2</t>
  </si>
  <si>
    <t>EI-EI-3</t>
  </si>
  <si>
    <t>EI-EI-4</t>
  </si>
  <si>
    <t>HW-ES-1</t>
  </si>
  <si>
    <t>HW-ES-2</t>
  </si>
  <si>
    <t>HW-E-1</t>
  </si>
  <si>
    <t>HW-E-2</t>
  </si>
  <si>
    <t>HW-E-3</t>
  </si>
  <si>
    <t>HW-E-4</t>
  </si>
  <si>
    <t>HW-E-5</t>
  </si>
  <si>
    <t>WQ-SW-1</t>
  </si>
  <si>
    <t>WQ-GW-1</t>
  </si>
  <si>
    <t>WQ-WW-1</t>
  </si>
  <si>
    <t>WQ-WW-2</t>
  </si>
  <si>
    <t>GHG-GM-1</t>
  </si>
  <si>
    <t>GHG-GM-2</t>
  </si>
  <si>
    <t>GHG-GM-3</t>
  </si>
  <si>
    <t>Fire</t>
  </si>
  <si>
    <t>Ecosystems</t>
  </si>
  <si>
    <t>Flood</t>
  </si>
  <si>
    <t>Sea Level Rise</t>
  </si>
  <si>
    <t>Disadvantaged Communities (DAC)</t>
  </si>
  <si>
    <t>Impacts to Surface Waters</t>
  </si>
  <si>
    <t>Impacts to Engaregered/Threatened Species</t>
  </si>
  <si>
    <t>Impacts to Native Species (ie Abbundance)</t>
  </si>
  <si>
    <t>PROVIDE RELIABILITY AND ROBUSTNESS</t>
  </si>
  <si>
    <t>OPTIMIZE LOCAL SUPPLIES/ INDEPENDENCE</t>
  </si>
  <si>
    <t>COST EFFECTIVENESS</t>
  </si>
  <si>
    <t>REGIONAL INTEGRATION AND COORDINATION</t>
  </si>
  <si>
    <t>PROVIDE FOR SCALABILTIY OF IMPLEMENTATION</t>
  </si>
  <si>
    <t xml:space="preserve">PROJECT COMPLEXITY </t>
  </si>
  <si>
    <t xml:space="preserve">QUALITY OF LIFE/RECREATION </t>
  </si>
  <si>
    <t>ENVIRONMENTAL JUSTICE</t>
  </si>
  <si>
    <t>REGIONAL ECONOMIC IMPACT</t>
  </si>
  <si>
    <t>PROTECT HABITATS, WILDLIFE, AND ECOSYSTEMS</t>
  </si>
  <si>
    <t>WATER QUALITY AND WATERSHEDS</t>
  </si>
  <si>
    <t>ADDRESS CLIMATE CHANGE THROUGH GHG REDUCTION</t>
  </si>
  <si>
    <t xml:space="preserve">
Vulnerability of Water Supply Facilities and Infrastructure
</t>
  </si>
  <si>
    <t xml:space="preserve"> Carryover Storage and Reservoir Augmentation</t>
  </si>
  <si>
    <t xml:space="preserve"> Local Supply</t>
  </si>
  <si>
    <t>Capital Costs</t>
  </si>
  <si>
    <t>O&amp;M Costs</t>
  </si>
  <si>
    <t>Potential for External Funding</t>
  </si>
  <si>
    <t xml:space="preserve"> Coordination</t>
  </si>
  <si>
    <t xml:space="preserve"> Education and Outreach</t>
  </si>
  <si>
    <t xml:space="preserve"> Project Phasing</t>
  </si>
  <si>
    <t>Project Complexity and Feasibility</t>
  </si>
  <si>
    <t>Green Space/Open Space</t>
  </si>
  <si>
    <t xml:space="preserve"> Recreation Opportunities</t>
  </si>
  <si>
    <t xml:space="preserve"> Disadvantaged Communities</t>
  </si>
  <si>
    <t xml:space="preserve"> Regional Economic Impact</t>
  </si>
  <si>
    <t xml:space="preserve"> Impacts to Endangered/ Threatened Species</t>
  </si>
  <si>
    <t xml:space="preserve"> Impacts to Ecosystems</t>
  </si>
  <si>
    <t>Surface Water Quality</t>
  </si>
  <si>
    <t xml:space="preserve"> Groundwater Quality</t>
  </si>
  <si>
    <t>Stormwater and Wastewater Discharges</t>
  </si>
  <si>
    <t>GHG Mitigation</t>
  </si>
  <si>
    <t>1 = Very High FHSZ, 1.5 = High FHSZ, 2 = Moderate FHSZ, 3 = Outside FHSZ</t>
  </si>
  <si>
    <t>1 = Within Zone V, VE, V1. 1.5 = Within Zone A, AE, A1-30, AH, or AO. 2 = Within Zone A99, B or X-0.2%. 2.5 = Within Zone C or X. 3 = Within Zone D</t>
  </si>
  <si>
    <t>1 = Yes, project is vulnerable to inundation. 3 = No, project is not vulnerable to inundation</t>
  </si>
  <si>
    <t>Does this project increase the diversity of water supply?</t>
  </si>
  <si>
    <t xml:space="preserve">Does the project increase the resilience of the conveyance system (e.g., ability to withstand or recover from impacts, pipeline failures, etc.)? </t>
  </si>
  <si>
    <t>How does the project impact aging infrastructure? (Consider structural integrity, safety, maintenance, etc.)</t>
  </si>
  <si>
    <t>What effect does this project have on problems associated with insufficient wastewater flows to move solid waste (e.g., increased odor production, rate of corrosion, settling and blockages, and number of O&amp;M work orders in the wastewater conveyance system</t>
  </si>
  <si>
    <t>What effect, if any, does this project have on the ability to use the storage capacity of surface storage reservoirs for carryover storage, emergency storage, surface water capture, potable reuse and/or optimizing supplies in drought situations?</t>
  </si>
  <si>
    <t>Does this project increase local water supply?</t>
  </si>
  <si>
    <t>In general, what are the capital costs associated with implementation of this project?</t>
  </si>
  <si>
    <t xml:space="preserve">Specifically, what are the capital costs associated with this project?
</t>
  </si>
  <si>
    <t>In general, what are the operation and maintenance costs associated with implementation of this project?</t>
  </si>
  <si>
    <t xml:space="preserve">Specifically, what are the O&amp;M costs associated with this project?
</t>
  </si>
  <si>
    <t>Did this project or is it expected to receive external funding?</t>
  </si>
  <si>
    <t xml:space="preserve">In general, what level of integration or coordination with other projects/entities was/is required to implement this project? </t>
  </si>
  <si>
    <t>Did/does this project leverage existing assets or bolter existing projects?</t>
  </si>
  <si>
    <t>Are any regulatory barriers removed by the project? (Consider effect on pathways for implementation of water projects, including identifying and obtaining local and regional funds and overcoming regulatory obstacles and mandates.)</t>
  </si>
  <si>
    <t>In general, what level of education and outreach will be achieved by this project? (Consider opportunities or plans for outreach events, educational or promotional materials, K-12 education, workshops and trainings, creating space for community gathering,</t>
  </si>
  <si>
    <t xml:space="preserve">How does/did the project lend itself to project phasing and expansions? </t>
  </si>
  <si>
    <t>In general, what is the feasibility and/or complexity of project implementation? (Consider the following: complexity and feasibility related to regulatory compliance, number of agencies/approvers involved, property ownership, public opinion/acceptance/pra</t>
  </si>
  <si>
    <t>To what extent does the project increase green space or open space or increase the quality of existing green space or open space?</t>
  </si>
  <si>
    <t>To what extent does this project increase quality of life? (Consider impacts such as air pollution, noise/nuisance impacts, increased urbanization, view obstruction or enhancement, cultural enrichment, etc.)</t>
  </si>
  <si>
    <t>To what extent does this project increase recreational opportunities? (Consider impact on recreation opportunities such as trails/hiking, community gathering space, wildlife watching, swimming, boating, fishing as an incidental benefit to water supply sto</t>
  </si>
  <si>
    <t>What is the likely environmental impact of this project?</t>
  </si>
  <si>
    <t>What is the likely magnitude of the project’s environmental impact (1 to 5 relative scale)?</t>
  </si>
  <si>
    <t>To what extent will this project generate environmental impacts?</t>
  </si>
  <si>
    <t>What is the likely impact of this project on disadvantaged communities?</t>
  </si>
  <si>
    <t>Will this project generate regional economic impacts (affect employment, income, or regional production)?</t>
  </si>
  <si>
    <t>Will this project generate regional impacts beyond capital and operation and maintenance expenditures?</t>
  </si>
  <si>
    <t>To what extent does the project have the potential to generate regional economic impacts beyond capital and operation and maintenance expenditures?</t>
  </si>
  <si>
    <t>To what extent does the project have the potential to increase or decrease water rates?</t>
  </si>
  <si>
    <t>What likely impact does the project have on endangered/threatened species?</t>
  </si>
  <si>
    <t>What likely impact does the project have on native species?</t>
  </si>
  <si>
    <t>Does the project restore or degrade habitat?</t>
  </si>
  <si>
    <t xml:space="preserve">Does this project involve mitigation? </t>
  </si>
  <si>
    <t>What is the surface area of impact?</t>
  </si>
  <si>
    <t>What is the exact surface area of impact? (provide acreage of project impact area)</t>
  </si>
  <si>
    <t xml:space="preserve">What impact does this project have on ecosystems? </t>
  </si>
  <si>
    <t>What impact does the project have on surface water quality?</t>
  </si>
  <si>
    <t>What impact does the project have on groundwater quality?</t>
  </si>
  <si>
    <t>To what extent does the project impact the volume of, or ecological resilience to stormwater and wastewater discharges to freshwater or estuarine receiving water bodies?</t>
  </si>
  <si>
    <t>To what extend does the project impact the volume of, or ecological resilience to stormwater and wastewater discharges to marine receiving water bodies?</t>
  </si>
  <si>
    <t>To what extent does this project mitigate greenhouse gas emissions through carbon storage and sequestration (e.g., habitat conservation and/or restoration)? (Note: Mitigation in this context refers to carbon sequestration and does not refer to legal mitigation activities required through CEQA)</t>
  </si>
  <si>
    <t>How many acres of habitat was conserved or restored by this project?</t>
  </si>
  <si>
    <t xml:space="preserve">What is the habitat type (i.e.riparian, wetland, estuarine, N/A)?
</t>
  </si>
  <si>
    <t>Name</t>
  </si>
  <si>
    <t>Population</t>
  </si>
  <si>
    <t>Survey?</t>
  </si>
  <si>
    <t>Column1</t>
  </si>
  <si>
    <t>Column132</t>
  </si>
  <si>
    <t>Column133</t>
  </si>
  <si>
    <t>Column134</t>
  </si>
  <si>
    <t>Column135</t>
  </si>
  <si>
    <t>Column136</t>
  </si>
  <si>
    <t>Column137</t>
  </si>
  <si>
    <t>Column138</t>
  </si>
  <si>
    <t>Column139</t>
  </si>
  <si>
    <t>Column1310</t>
  </si>
  <si>
    <t>Column1311</t>
  </si>
  <si>
    <t>Degraded</t>
  </si>
  <si>
    <t>&gt;1</t>
  </si>
  <si>
    <t>86,202,482 sq. ft.</t>
  </si>
  <si>
    <t>43.9-53.1M</t>
  </si>
  <si>
    <t>c.      Inexpensive/low cost</t>
  </si>
  <si>
    <t>Neutral</t>
  </si>
  <si>
    <t>4-6 acres</t>
  </si>
  <si>
    <t>Unknown</t>
  </si>
  <si>
    <t>269B</t>
  </si>
  <si>
    <t>b.      Moderate or variable costs</t>
  </si>
  <si>
    <t>&lt;1</t>
  </si>
  <si>
    <t>16-32M</t>
  </si>
  <si>
    <t>371M</t>
  </si>
  <si>
    <t>$150,000 from grant</t>
  </si>
  <si>
    <t>Variable</t>
  </si>
  <si>
    <t>Unknown at this time</t>
  </si>
  <si>
    <t>None expected</t>
  </si>
  <si>
    <t>Estimated Cost: $15 million. Estimated Timeline: 4-5 years.
$13.9 Million</t>
  </si>
  <si>
    <t>$2.0 M/yr (x 4 or 5)</t>
  </si>
  <si>
    <t>a.      Very costly/high cost</t>
  </si>
  <si>
    <t>N/A</t>
  </si>
  <si>
    <t>Extraction Only: $4.1 M
ASR (Aquifer Storage and Recovery): $29.9 M</t>
  </si>
  <si>
    <t>Extraction Only: $200k/yr
ASR (Aquifer Storage and Recovery): $1.0 M/yr</t>
  </si>
  <si>
    <t>To be determined</t>
  </si>
  <si>
    <t>None</t>
  </si>
  <si>
    <t>System Infrastructure $55.2 M: Wastewater Plant $26.8 M:  Advanced GW Treatment Plant 9.8 M: Total Cap Cost $91.8 M (Opti)</t>
  </si>
  <si>
    <t>$3,792,000/yr (Opti): $2,235,000 Less WWT Savings</t>
  </si>
  <si>
    <t>1,500+ ac</t>
  </si>
  <si>
    <t>5-10 ac</t>
  </si>
  <si>
    <t>riparian (seasonal)</t>
  </si>
  <si>
    <t>The cost per acre-foot of water has not yet been determined</t>
  </si>
  <si>
    <t>$206 M</t>
  </si>
  <si>
    <t xml:space="preserve">Currently under Analysis </t>
  </si>
  <si>
    <t>$255 M</t>
  </si>
  <si>
    <t>Currently under Anlysis</t>
  </si>
  <si>
    <t>$166 M</t>
  </si>
  <si>
    <t>$1,417/ac-ft</t>
  </si>
  <si>
    <t>disturbed field</t>
  </si>
  <si>
    <t xml:space="preserve">1.4B
 </t>
  </si>
  <si>
    <t>$200M</t>
  </si>
  <si>
    <t>~22 acres</t>
  </si>
  <si>
    <t>ask Keli Belo</t>
  </si>
  <si>
    <t>Vernal pools at the Sander Site (part of mitigation)</t>
  </si>
  <si>
    <t>&gt;1.4B (Based off of 1.4B per 30 MGD for Phase I, we estimate 2.7 B for Pure Phase II)</t>
  </si>
  <si>
    <t>&gt;200M (Based off of 200 M per 30 MGD for Phase I, we estimate 353 M for Pure Phase II)</t>
  </si>
  <si>
    <t>$29,000,000  (This will be shared by multiple agencies and the total AFY is double the SFID amount shown)</t>
  </si>
  <si>
    <t>$575/AF  ($690,000/yr)</t>
  </si>
  <si>
    <t>$20M</t>
  </si>
  <si>
    <t>A treatment plant expansion of 328 afy (or approximately 0.3 mgd plant capacity) would probably run $1.5-2M, plus some additional pipelines to connect new non-potable reuse customers</t>
  </si>
  <si>
    <t>Maybe $50k/year for operators, chemicals, power, etc. It's an existing plant, so there's some economy of scale</t>
  </si>
  <si>
    <t>n/a</t>
  </si>
  <si>
    <t>$420,000 ($2015)</t>
  </si>
  <si>
    <t>$1,600,000 OMWD share</t>
  </si>
  <si>
    <t>OMWD</t>
  </si>
  <si>
    <t>TBD</t>
  </si>
  <si>
    <t>$3M</t>
  </si>
  <si>
    <t>Capital Cost Paid for Developer</t>
  </si>
  <si>
    <t>$9M</t>
  </si>
  <si>
    <t>$8M</t>
  </si>
  <si>
    <t>$5,000/Yr</t>
  </si>
  <si>
    <t>1.43-3.26B</t>
  </si>
  <si>
    <t>70-200M</t>
  </si>
  <si>
    <t>$30 Million</t>
  </si>
  <si>
    <t>Year 1-5 $50,000 to $75,000 per year. Year 5+  $15,000 per year.</t>
  </si>
  <si>
    <t>Restored</t>
  </si>
  <si>
    <t>2.5 acres</t>
  </si>
  <si>
    <t>Riparian</t>
  </si>
  <si>
    <t>$2.0 million</t>
  </si>
  <si>
    <t>$25,000 ANNUALLY</t>
  </si>
  <si>
    <t>4 Ac</t>
  </si>
  <si>
    <t>ripirian</t>
  </si>
  <si>
    <t>$15,000/yr</t>
  </si>
  <si>
    <t>7.2 acres</t>
  </si>
  <si>
    <t>&lt; 1 acre</t>
  </si>
  <si>
    <t>$4.9 million</t>
  </si>
  <si>
    <t>unknown</t>
  </si>
  <si>
    <t>5,208 SF</t>
  </si>
  <si>
    <t>wetland</t>
  </si>
  <si>
    <t>24.9 acres</t>
  </si>
  <si>
    <t>3.5 acres</t>
  </si>
  <si>
    <t>6.0 acres</t>
  </si>
  <si>
    <t>$20,000/yr</t>
  </si>
  <si>
    <t>21.4 acres</t>
  </si>
  <si>
    <t>~3</t>
  </si>
  <si>
    <t>Green Street</t>
  </si>
  <si>
    <t>Non-native Grassland</t>
  </si>
  <si>
    <t>$2,078,000 (Opti)
Centralized Stormwater Capture: $9.1 M</t>
  </si>
  <si>
    <t>Centralized Stormwater Capture: $200k/yr ($5,000 - 15,000 annual maintenance cost (Opti))</t>
  </si>
  <si>
    <t>Riparian and Salt Marsh</t>
  </si>
  <si>
    <t>$9600/yr</t>
  </si>
  <si>
    <t xml:space="preserve">~1.8 </t>
  </si>
  <si>
    <t>18.0 acres</t>
  </si>
  <si>
    <t>$30 million</t>
  </si>
  <si>
    <t xml:space="preserve">This was a redevelopment project with transportation, stormwater quality, and  utility improvements. Impacts to habitat were made at initial construction, not redevelopment.  </t>
  </si>
  <si>
    <t>The Regenerative Storm Water Conveyance alternative: $4.3-7.1 million</t>
  </si>
  <si>
    <t xml:space="preserve"> The Regenerative Storm Water Conveyance alternative: $40,000/yr 
</t>
  </si>
  <si>
    <t>31 acres</t>
  </si>
  <si>
    <t>riparian and potential wetland</t>
  </si>
  <si>
    <t>5.4 acres</t>
  </si>
  <si>
    <t>~13</t>
  </si>
  <si>
    <t>$150,000 from Stormwater</t>
  </si>
  <si>
    <t>$1.3 million</t>
  </si>
  <si>
    <t>UNKNOWN</t>
  </si>
  <si>
    <t xml:space="preserve">660k (1,000$ per af) (ten year lifespan) </t>
  </si>
  <si>
    <t xml:space="preserve">Reduce net production of GHGs – 334 MT CO2e per year
Cumulative GHG reduction over project lifetime: 3,345 MT Co2e
Energy savings from project  980 MWh/year
</t>
  </si>
  <si>
    <t>425K from the grant</t>
  </si>
  <si>
    <t>3M</t>
  </si>
  <si>
    <t>$30,000/year</t>
  </si>
  <si>
    <t>1 acre</t>
  </si>
  <si>
    <t>Tijuana River Valley</t>
  </si>
  <si>
    <t>Total Cost: $2,885,000</t>
  </si>
  <si>
    <t>0.6 aces</t>
  </si>
  <si>
    <t>c.      No or unknown effect on the volume of or ecological resilience to stormwater or wastewater discharged to receiving waters.</t>
  </si>
  <si>
    <t>40.7 acres</t>
  </si>
  <si>
    <t>6.5 acres</t>
  </si>
  <si>
    <t>6 acres</t>
  </si>
  <si>
    <t>3.74 acres</t>
  </si>
  <si>
    <t>TBD - both HOS and NTS</t>
  </si>
  <si>
    <t>Natural Treatment Wetland</t>
  </si>
  <si>
    <t>16.8 acres</t>
  </si>
  <si>
    <t>9.44 acres</t>
  </si>
  <si>
    <t>8.2 acres</t>
  </si>
  <si>
    <t>7.6 acrs</t>
  </si>
  <si>
    <t>Southern Costal Salt Marsh</t>
  </si>
  <si>
    <t>Does this Adaptation Concept increase the diversity of water supply?</t>
  </si>
  <si>
    <t xml:space="preserve">Does the Adaptation Concept increase the resilience of the conveyance system (e.g., ability to withstand or recover from impacts, pipeline failures, etc.)? </t>
  </si>
  <si>
    <t>How does the Adaptation Concept impact aging infrastructure? (Consider structural integrity, safety, maintenance, etc.)</t>
  </si>
  <si>
    <t xml:space="preserve">What effect does this Adaptation Concept have on problems associated with insufficient wastewater flows to move solid waste (e.g., increased odor production, rate of corrosion, settling and blockages, and number of O&amp;M work orders in the wastewater conveyance system)? </t>
  </si>
  <si>
    <t>What effect, if any, does this Adaptation Concept have on the ability to use the storage capacity of surface storage reservoirs for carryover storage, emergency storage, surface water capture, potable reuse and/or optimizing supplies in drought situations?</t>
  </si>
  <si>
    <t>Does this Adaptation Concept increase local water supply?</t>
  </si>
  <si>
    <t>In general, what are the capital costs associated with implementation of projects in this Adaptation Concept?</t>
  </si>
  <si>
    <t xml:space="preserve">In general, what are the operation and maintenance costs associated with implementation of projects in this Adaptation Concept? </t>
  </si>
  <si>
    <t xml:space="preserve">In general, what level of integration or coordination with other projects/entities is required to implement a project within this Adaptation Concept? </t>
  </si>
  <si>
    <t>Generally, in order to implement a project within this Adaptation Concept, does it require leveraging existing assets or bolstering existing projects?</t>
  </si>
  <si>
    <t>Are any regulatory barriers removed by the projects within this Adaptation Concept? (Consider effect on pathways for implementation of water projects, including identifying and obtaining local and regional funds and overcoming regulatory obstacles and mandates.)</t>
  </si>
  <si>
    <t>In general, what level of education and outreach will be achieved by projects within this Adaptation Concept? (Consider opportunities or plans for outreach events, educational or promotional materials, K-12 education, workshops and trainings, creating space for community gathering, etc.)</t>
  </si>
  <si>
    <t xml:space="preserve">In general, how does the Adaptation Concept lend itself to project phasing and expansions? </t>
  </si>
  <si>
    <t>In general, what is the feasibility and/or complexity of project implementation within this Adaptation Concept? (Consider the following: complexity and feasibility related to regulatory compliance, number of agencies/approvers involved, property ownership, public opinion/acceptance/practicality of implementation)</t>
  </si>
  <si>
    <t>To what extent does the Adaptation Concept increase green space or open space or increase the quality of existing green space or open space?</t>
  </si>
  <si>
    <t>To what extent does this Adaptation Concept increase quality of life? (Consider impacts such as air pollution, noise/nuisance impacts, increased urbanization, view obstruction or enhancement, cultural enrichment, etc.)</t>
  </si>
  <si>
    <t>To what extent do projects within the Adaptation Concept increase recreational opportunities? (Consider impact on recreation opportunities such as trails/hiking, community gathering space, wildlife watching, swimming, boating, fishing as an incidental benefit to water supply storage and conveyance)</t>
  </si>
  <si>
    <t>To what extent does the Adaptation Concept the volume of or ecological resilience to stormwater and wastewater discharges to freshwater or estuarine receiving water bodies?</t>
  </si>
  <si>
    <t>To what extend does the Adaptation Concept impact the volume of or ecological resilience to stormwater and wastewater discharges to marine receiving water bodies?</t>
  </si>
  <si>
    <t>To what extent does this Adaptation Concept mitigate greenhouse gas emissions through carbon storage and sequestration (e.g., habitat conservation and/or restoration)?</t>
  </si>
  <si>
    <t>Definition</t>
  </si>
  <si>
    <t>Column12</t>
  </si>
  <si>
    <t>Column14</t>
  </si>
  <si>
    <t>Column15</t>
  </si>
  <si>
    <t>Column16</t>
  </si>
  <si>
    <t>Column17</t>
  </si>
  <si>
    <t>Column18</t>
  </si>
  <si>
    <t>Column19</t>
  </si>
  <si>
    <t>Improve local and regional conveyance systems to increase supply reliability, increase operational flexibility, and reduce GHG emissions by utilizing existing conveyance facilities and natural water courses and constructing or modifying existing pump stations, pipelines, interties and bypasses.</t>
  </si>
  <si>
    <t xml:space="preserve">Implement temporary restrictions in water use to decrease demand or shift to other supply sources during periods of drought. Restrictions or allocations may be imposed at the local, regional, or State levels, and may include restrictions or allocations by water purveyors such as MWD. </t>
  </si>
  <si>
    <t>Provide water supply by forming agreements for firm water supply volumes to be provided from external sources, such as the Quantification Settlement Agreement.</t>
  </si>
  <si>
    <t xml:space="preserve">Offset potable water usage by encouraging, supporting and/or providing incentives for gray water system installation by residential customers.   </t>
  </si>
  <si>
    <t xml:space="preserve">Provide water supply by extracting and treating and/or desalinating groundwater from local freshwater and brackish aquifers and maintain sustainable groundwater supplies through implementation of projects to recharge groundwater basins with injected or infiltrated rainfall, recycled water, imported water, or a combination thereof.  </t>
  </si>
  <si>
    <t>Provide water supply by purchasing treated or untreated water from a water wholesaler outside of the region, such as the Metropolitan Water District of Southern California.</t>
  </si>
  <si>
    <t>Provide water supply by capturing, storing, and treating surface water runoff in lakes or reservoirs</t>
  </si>
  <si>
    <t>Provide water supply by producing advanced treated water from wastewater for direct or indirect (e.g. reservoir or groundwater augmentation) potable use.</t>
  </si>
  <si>
    <t xml:space="preserve">Offset potable water use by providing non-potable recycled water use for landscape irrigation, industrial purposes or to recharge groundwater. </t>
  </si>
  <si>
    <t>Provide water supply by utilizing or expanding existing facilities or constructing new facilities to remove salts from seawater.</t>
  </si>
  <si>
    <t xml:space="preserve">Reduce adverse water quality impacts of stormwater through implementation of stormwater Best Management Practices (BMPs). BMPs are structural, vegetative or management practices used to treat, prevent or reduce stormwater runoff and pollution. </t>
  </si>
  <si>
    <t xml:space="preserve">Provide water supply by capturing stormwater through both centralized projects and regional decentralized efforts and treating it for both potable and non-potable uses. </t>
  </si>
  <si>
    <t xml:space="preserve">Increase water use efficiency by encouraging long-term behavioral change and implementing water use efficiency programs (e.g. rain barrel rebates, turf replacement credits, rebates for more efficient irrigation or plumbing fixtures, graywater system rebates).    </t>
  </si>
  <si>
    <t xml:space="preserve">Promote sustainable, high quality local water supplies through practices that support healthy ecosystems and improve or restore the condition of landscapes and biological communities. Such practices may include invasive species removal, restoration of native ecosystems, land acquisition for protection or enhancement, brush/forest management for wildfire risk reduction, remediation of aquifer and reservoir water quality through engineered or biological controls, management of non-point and point source pollution, and low impact development. </t>
  </si>
  <si>
    <t>Project-Level Survey and GIS Data for Water Quality and Watersheds Evaluation Objective</t>
  </si>
  <si>
    <t>Vulnerability of Water Supply Facilities and Infrastructure Performance Measure</t>
  </si>
  <si>
    <t xml:space="preserve">Carryover Storage Performance Measure </t>
  </si>
  <si>
    <t>REMOVED</t>
  </si>
  <si>
    <t>Coordination Performance Measure</t>
  </si>
  <si>
    <t xml:space="preserve">Eduation and Outreach Performance Measure </t>
  </si>
  <si>
    <t>Concept-Level Survey Data for Regional Integration and Coordination Evaluation Objective</t>
  </si>
  <si>
    <t>Participant</t>
  </si>
  <si>
    <t>Adaptation Concept</t>
  </si>
  <si>
    <t>Score</t>
  </si>
  <si>
    <t>Participant 1</t>
  </si>
  <si>
    <t>Participant 2</t>
  </si>
  <si>
    <t>Participant 3</t>
  </si>
  <si>
    <t>Participant 4</t>
  </si>
  <si>
    <t>Participant 5</t>
  </si>
  <si>
    <t>Notes</t>
  </si>
  <si>
    <t>(private/Cadiz)</t>
  </si>
  <si>
    <t>(general)</t>
  </si>
  <si>
    <t>Concept-Level Regional Economic Impact Workshop Data for Regional Economic Impact Evaluation Objective</t>
  </si>
  <si>
    <t>Imported Water Purchases - Specific Project</t>
  </si>
  <si>
    <t>Project-Level Survey Data for Regional Economic Impact Evaluation Objective</t>
  </si>
  <si>
    <t>Project-Level Survey Data for Regional Integration and Coordination Evaluation Objective</t>
  </si>
  <si>
    <t>Project-Level Survey Data for Reliability and Robustness Evaluation Objective</t>
  </si>
  <si>
    <t>Concept-Level Survey Data for Reliability and Robustness Evaluation Objective</t>
  </si>
  <si>
    <t>Project-Level Survey Data for Quality of Life/Recreation Evaluation Objective</t>
  </si>
  <si>
    <t>Concept-Level Survey Data for Quality of Life/Recreation Evaluation Objective</t>
  </si>
  <si>
    <t>Concept-Level Survey Data for Scalability of Implementation Evaluation Objective</t>
  </si>
  <si>
    <t>Project-Level Survey Data for Scalability of Implementation Evaluation Objective</t>
  </si>
  <si>
    <t>Project-Level Survey Data for Project Complexity Evaluation Objective</t>
  </si>
  <si>
    <t>1 = Direct Impact in Managed Habitat, 2 = Idirect Impact to Managed Habitat (ie 500' Buffer), 3 = Outside Managed Habitats and Buffer</t>
  </si>
  <si>
    <t>1 = Located within Severve DAC, 2 = Located within DAC, 3 = Outside DAC</t>
  </si>
  <si>
    <t>1 = Census Tracts &gt;70 Percentile CalEnvirscreen Groundwater Score, 2 = Census Tracts &lt; 70 Percentile CalEnvirscreen Groundwater Score</t>
  </si>
  <si>
    <t>1 = Census Tracts &gt;70 Percentile CalEnvirscreen Impaired Water Score, 2 = Census Tracts &lt; 70 Percentile CalEnvirscreen Impaired Water Score</t>
  </si>
  <si>
    <t>1 = Endagered/Threatened Species, 2 = At Risk Species, 3 = Not listed as sensitive species</t>
  </si>
  <si>
    <t>1 = &gt; 3 species present, 2 = &lt; 3 species present</t>
  </si>
  <si>
    <t>Census Tract</t>
  </si>
  <si>
    <t>Pollution Burden</t>
  </si>
  <si>
    <t>Population Characterstic</t>
  </si>
  <si>
    <t>CalEnviroScreen Score</t>
  </si>
  <si>
    <t>NOT MAPPED</t>
  </si>
  <si>
    <t>Carlsbad WRF - Landscape, Agriculture 2025</t>
  </si>
  <si>
    <t>Carlsbad WRF - Landscape, Agriculture 2050</t>
  </si>
  <si>
    <t>Rancho del Rey Groundwater Well Development (capacity)</t>
  </si>
  <si>
    <t>Pasted from Aligned Survey and GIS Data 2019-03-13. Tab "For input to Tradeoff Analysis"</t>
  </si>
  <si>
    <t>Project-level Impacts to Ecosystems Performance Measure Scores</t>
  </si>
  <si>
    <r>
      <t xml:space="preserve">Impacts to Ecosystems
</t>
    </r>
    <r>
      <rPr>
        <u/>
        <sz val="11"/>
        <color theme="1"/>
        <rFont val="Calibri"/>
        <family val="2"/>
        <scheme val="minor"/>
      </rPr>
      <t xml:space="preserve">Scoring Key for GIS : </t>
    </r>
    <r>
      <rPr>
        <sz val="11"/>
        <color theme="1"/>
        <rFont val="Calibri"/>
        <family val="2"/>
        <scheme val="minor"/>
      </rPr>
      <t xml:space="preserve">
1 = Direct Impact in Managed Habitat, 
2 = Indirect Impact to Managed Habitat (ie 500' Buffer), 
3 = Outside Managed Habitats and Buffer
</t>
    </r>
    <r>
      <rPr>
        <u/>
        <sz val="11"/>
        <color theme="1"/>
        <rFont val="Calibri"/>
        <family val="2"/>
        <scheme val="minor"/>
      </rPr>
      <t xml:space="preserve">Scoring Key for Survey : </t>
    </r>
    <r>
      <rPr>
        <sz val="11"/>
        <color theme="1"/>
        <rFont val="Calibri"/>
        <family val="2"/>
        <scheme val="minor"/>
      </rPr>
      <t xml:space="preserve">
1 = Negative Impact, 
3 = Neutral or unknown Impact, 
5 = Positive Impact</t>
    </r>
  </si>
  <si>
    <r>
      <t xml:space="preserve">Impacts to Endangered/Threatened Species
</t>
    </r>
    <r>
      <rPr>
        <u/>
        <sz val="11"/>
        <color theme="1"/>
        <rFont val="Calibri"/>
        <family val="2"/>
        <scheme val="minor"/>
      </rPr>
      <t xml:space="preserve">Scoring Key for GIS : </t>
    </r>
    <r>
      <rPr>
        <sz val="11"/>
        <color theme="1"/>
        <rFont val="Calibri"/>
        <family val="2"/>
        <scheme val="minor"/>
      </rPr>
      <t xml:space="preserve">
1 = Endangered/Threatened Species, 
2 = At Risk Species, 
3 = Not listed as sensitive species
</t>
    </r>
    <r>
      <rPr>
        <u/>
        <sz val="11"/>
        <color theme="1"/>
        <rFont val="Calibri"/>
        <family val="2"/>
        <scheme val="minor"/>
      </rPr>
      <t xml:space="preserve">Scoring Key for Survey: 
</t>
    </r>
    <r>
      <rPr>
        <sz val="11"/>
        <color theme="1"/>
        <rFont val="Calibri"/>
        <family val="2"/>
        <scheme val="minor"/>
      </rPr>
      <t>1 = Negative Impact, 
3 = Neutral or unknown Impact, 
5 = Positive Impact</t>
    </r>
  </si>
  <si>
    <t>Project-level Impacts on Threatened and Endangered
Performance Measure Scores</t>
  </si>
  <si>
    <t>Project-level Impacts on Native Species Performance Measure Scores</t>
  </si>
  <si>
    <t>Project-Level Survey Data for Optimize Local Supplies Evaluation Objective</t>
  </si>
  <si>
    <t>Project-level Survey Results for Optimize Local Supplies</t>
  </si>
  <si>
    <t>Concept-level Survey Results for Optimize Local Supplies</t>
  </si>
  <si>
    <t>Concept-level
Survey
Results for Capital Costs</t>
  </si>
  <si>
    <t>Project-Level GIS Results for Sea Level Rise Vulnerability</t>
  </si>
  <si>
    <t>Project-level
GIS
Results for Flood Risk Management</t>
  </si>
  <si>
    <t>Project-level GIS Results for Warming and Fire Vulnerability</t>
  </si>
  <si>
    <t># of GIS results for Impacts to Ecosystems Performance Measure</t>
  </si>
  <si>
    <t># of Project-Level Survey Results for Impacts to Ecosystems Performance Measure</t>
  </si>
  <si>
    <t># of GIS results for Impacts to Native Species Performance Measure</t>
  </si>
  <si>
    <t># of Project-Level Survey Results for Impacts to Native Species Performance Measure</t>
  </si>
  <si>
    <t>% 3.0 scores for Impacts to Ecosystems Performance Measure</t>
  </si>
  <si>
    <t>% 3.0 scores for Impacts to Native Species Performance Measure</t>
  </si>
  <si>
    <t># of GIS results for Impacts to Endangered/ Threatened Species Performance Measure</t>
  </si>
  <si>
    <t># of Project-Level Survey Results for Impacts to Endangered/ Threatened Species Performance Measure</t>
  </si>
  <si>
    <t>% 3.0 scores for Impacts to Endangered/ Threatened Species Performance Measure</t>
  </si>
  <si>
    <r>
      <t xml:space="preserve">Impacts to Native Species
</t>
    </r>
    <r>
      <rPr>
        <u/>
        <sz val="11"/>
        <color theme="1"/>
        <rFont val="Calibri"/>
        <family val="2"/>
        <scheme val="minor"/>
      </rPr>
      <t xml:space="preserve">Scoring Key for GIS : </t>
    </r>
    <r>
      <rPr>
        <sz val="11"/>
        <color theme="1"/>
        <rFont val="Calibri"/>
        <family val="2"/>
        <scheme val="minor"/>
      </rPr>
      <t xml:space="preserve">
1 = &gt; 3 species present, 
2 = &lt; 3 species present
3 = No species present
S</t>
    </r>
    <r>
      <rPr>
        <u/>
        <sz val="11"/>
        <color theme="1"/>
        <rFont val="Calibri"/>
        <family val="2"/>
        <scheme val="minor"/>
      </rPr>
      <t xml:space="preserve">coring Key for Survey s: </t>
    </r>
    <r>
      <rPr>
        <sz val="11"/>
        <color theme="1"/>
        <rFont val="Calibri"/>
        <family val="2"/>
        <scheme val="minor"/>
      </rPr>
      <t xml:space="preserve">
1 = Negative Impact, 
3 = Neutral or unknown Impact, 
5 = Positive Impact</t>
    </r>
  </si>
  <si>
    <t>Total number of GIS results and Survey Responses for Performance Measures associated with the Protect Habitats, Wildlife, and Ecosystem Services Evaluation Objective</t>
  </si>
  <si>
    <t>Percentage 3.0 Performance Measure Scores (neutral/unknown/No effect) associated with the Protect Habitats, Wildlife, and Ecosystem Services Evaluation Objective</t>
  </si>
  <si>
    <t>Project-level GIS and Survey data for Impacts to Ecosystems, Impacts to Endangered/Threatened Species, and Impacts to Native Species</t>
  </si>
  <si>
    <t>GIS Results for Disadvantaged Communities</t>
  </si>
  <si>
    <t>1 = Minor impact
2 =  Less than average impact
3 = Average impact
4 =  Moderately large impact
5 = Large impact</t>
  </si>
  <si>
    <t>Maximum Possible Points</t>
  </si>
  <si>
    <t>Green Space/Open Space Performance Measure</t>
  </si>
  <si>
    <t>Recreation Opportunities Performance Measure</t>
  </si>
  <si>
    <t>Capital Costs Performance Measure</t>
  </si>
  <si>
    <t>O&amp;M Costs Performance Measure</t>
  </si>
  <si>
    <t>External Funding Performance Measure</t>
  </si>
  <si>
    <t>Warming and Fire Vulnerability Performance Measure
Score</t>
  </si>
  <si>
    <t>Warming and Fire Vulnerability Performance Measure</t>
  </si>
  <si>
    <t>Flood Risk Management Performance Measure</t>
  </si>
  <si>
    <t>Sea Level Rise Vulnerability Performance Measure</t>
  </si>
  <si>
    <t>Project-Level Survey Data for Address Climate Change through GHG Mitigation Evaluation Objective</t>
  </si>
  <si>
    <t>Project-Level Survey Data for Climate Resilience Evaluation Objective</t>
  </si>
  <si>
    <t>Rank</t>
  </si>
  <si>
    <t>Median Methods</t>
  </si>
  <si>
    <t>Median of All</t>
  </si>
  <si>
    <t>Median of Groups</t>
  </si>
  <si>
    <t>Project-Level/Concept-Level Survey Median Method</t>
  </si>
  <si>
    <t xml:space="preserve">Regional Integration and Coordination Evaluation Objective Unweighted Score  </t>
  </si>
  <si>
    <t>Freshwater/ Estuarine Discharges Sub-scores  based on Medians</t>
  </si>
  <si>
    <t>Marine Discharges Sub-scores   based on Medians</t>
  </si>
  <si>
    <t>Stormwater and Wastewater Discharges Performance Measure Scores   based on Medians</t>
  </si>
  <si>
    <t>Water Quality and Watersheds Evaluation Objective Unweighted Score   based on Medians</t>
  </si>
  <si>
    <t>CalEnviroScreen Pollution Burden</t>
  </si>
  <si>
    <t>Population Sensitivity Indicator</t>
  </si>
  <si>
    <t>Environmental Sensitivity Indicator</t>
  </si>
  <si>
    <t>20th percentile</t>
  </si>
  <si>
    <t>40th percentile</t>
  </si>
  <si>
    <t>60th percentile</t>
  </si>
  <si>
    <t>80th percentile</t>
  </si>
  <si>
    <t>100th percentile</t>
  </si>
  <si>
    <t>1= Negative Impact
3 = No or unknown impact
5 = Positive impact</t>
  </si>
  <si>
    <t>Project-level Survey Results for Magnitude of Environmental Impact</t>
  </si>
  <si>
    <t>Project-level DACs Performance Measure Scores</t>
  </si>
  <si>
    <t>Project-Level Survey Results for Disadvantaged Communities</t>
  </si>
  <si>
    <t>Number of Evaluation Objectives Scored</t>
  </si>
  <si>
    <t>Project-level Survey Results for Environmental Impact</t>
  </si>
  <si>
    <t>Project-level Survey-Based Environmental Impact
Performance Measure Scores</t>
  </si>
  <si>
    <t>Difference between Project-level and Concept-level Survey Responses</t>
  </si>
  <si>
    <t>CalEnviroScreen Population Characteristic</t>
  </si>
  <si>
    <t>Project-level Environental Justice Sensitivity Sub-Score</t>
  </si>
  <si>
    <t>Project-Level Magnitude of Environmental Impact Indicator</t>
  </si>
  <si>
    <t>Unweighted Scores for Climate Resilience</t>
  </si>
  <si>
    <t>Unweighted Scores for Cost Effectiveness</t>
  </si>
  <si>
    <t>Unweighted Scores for Environmental Justice</t>
  </si>
  <si>
    <t>Unweighted Scores for Optimize Local Supplies</t>
  </si>
  <si>
    <t>Unweighted Scores for Project Complexity</t>
  </si>
  <si>
    <t>Unweighted Scores for Protect Habitats, Wildlife, Ecosystems</t>
  </si>
  <si>
    <t>Unweighted Scores for Provide for Scalability of Implementation</t>
  </si>
  <si>
    <t>Unweighted Scores for Quality of Life/Recreation</t>
  </si>
  <si>
    <t>Unweighted Scores for Regional Economic Impact</t>
  </si>
  <si>
    <t>Unweighted Scores for Regional Integration and Coordination</t>
  </si>
  <si>
    <t>Unweighted Scores for Reliability and Robustness</t>
  </si>
  <si>
    <t>Unweighted Scores for Water Quality and Watersheds</t>
  </si>
  <si>
    <t>Unweighted Scores for Address Climate Change through Greenhouse Gas (GHG) Reduction</t>
  </si>
  <si>
    <t>Cumulative Weighted Scores</t>
  </si>
  <si>
    <t>Ranks of Unweighted Scores for  Address Climate Change through Greenhouse Gas (GHG) Reduction</t>
  </si>
  <si>
    <t>Ranks of Unweighted Scores for Climate Resilience</t>
  </si>
  <si>
    <t>Ranks of Unweighted Scores for Optimize Local Supplies</t>
  </si>
  <si>
    <t>Ranks of Unweighted Scores for Environmental Justice</t>
  </si>
  <si>
    <t>Ranks of Unweighted Scores for Cost Effectiveness</t>
  </si>
  <si>
    <t>Ranks of Unweighted Scores for Project Complexity</t>
  </si>
  <si>
    <t>Ranks of Unweighted Scores for Protect Habitats, Wildlife, Ecosystems</t>
  </si>
  <si>
    <t>Ranks of Unweighted Scores for Provide for Scalability of Implementation</t>
  </si>
  <si>
    <t>Ranks of Unweighted Scores for Quality of Life/Recreation</t>
  </si>
  <si>
    <t>Ranks of Unweighted Scores for Regional Economic Impact</t>
  </si>
  <si>
    <t>Ranks of Unweighted Scores for Regional Integration and Coordination</t>
  </si>
  <si>
    <t>Ranks of Unweighted Scores for Reliability and Robustness</t>
  </si>
  <si>
    <t>Ranks of Unweighted Scores for Water Quality and Watersheds</t>
  </si>
  <si>
    <t>Minimum Unweighted Score</t>
  </si>
  <si>
    <t>Maximum Unweighted Score</t>
  </si>
  <si>
    <t>Range of Scores</t>
  </si>
  <si>
    <t>Range of Unweighted Scores</t>
  </si>
  <si>
    <t>Summary Statistics</t>
  </si>
  <si>
    <t>Minimum Score</t>
  </si>
  <si>
    <t>Maximum Score</t>
  </si>
  <si>
    <t>Highest Scoring Concept</t>
  </si>
  <si>
    <t>Lowest Scoring Concept</t>
  </si>
  <si>
    <t>Statistic</t>
  </si>
  <si>
    <t>Stormwater and Wastewater Discharges Performance Measure Scores based on Medians</t>
  </si>
  <si>
    <t>Urban &amp; Ag. Water Use Efficiency</t>
  </si>
  <si>
    <t>Average of Unweighted Scores</t>
  </si>
  <si>
    <t>Number of Missing</t>
  </si>
  <si>
    <t>Number of No Response</t>
  </si>
  <si>
    <t>Number of Not Mapped</t>
  </si>
  <si>
    <t>Number of Removed</t>
  </si>
  <si>
    <t>Number numeric</t>
  </si>
  <si>
    <t>Number of Missing/Not Mapped</t>
  </si>
  <si>
    <t>Second Highest Score</t>
  </si>
  <si>
    <t>Second Highest Scoring Concept</t>
  </si>
  <si>
    <t>Second Lowest Scoring Concept</t>
  </si>
  <si>
    <t>Second Lowest Score</t>
  </si>
  <si>
    <t>Average Score</t>
  </si>
  <si>
    <t>Percentage of Projects with "Indirect Impact on Managed Habitat" (Score of 2) from GIS results for Impacts to Ecosystems Performance Measure</t>
  </si>
  <si>
    <t>Percentage of Projects with "Direct Impact on Managed Habitat" (Score of 1) from GIS results for Impacts to Ecosystems Performance Measure</t>
  </si>
  <si>
    <t>Percentage of Projects with "Negative Impact " (Score of 1) on Ecosystems from Project-Level Survey Results for Impacts to Ecosystems Performance Measure</t>
  </si>
  <si>
    <t>Percentage of Projects with "Positive Impact" (Score of 5) on Ecosystems from Project-Level Survey Results for Impacts to Ecosystems Performance Measure</t>
  </si>
  <si>
    <t>Percentage of Projects located "Outside of Managed Habitat" (Score of 3) from GIS results for Impacts to Ecosystems Performance Measure</t>
  </si>
  <si>
    <t>Percentage of Projects with "Neutral or Unknown Impact" (Score of 3) on Ecosystems from Project-Level Survey Results for Impacts to Ecosystems Performance Measure</t>
  </si>
  <si>
    <t>Percentage of Projects with "Impacts to At Risk Species" (Score of 2) from GIS results for Impacts to Endangered/ Threatened Species Performance Measure</t>
  </si>
  <si>
    <t>Percentage of Projects with "Impacts to Endangered/ Threatened Species" (Score of 1) from GIS results for Impacts to Endangered/ Threatened Species Performance Measure</t>
  </si>
  <si>
    <t>Percentage of Projects with "Negative Impact " (Score of 1) on Threatened/ Endangered Species from Project-Level Survey Results for Impacts to Endangered/ Threatened Species Performance Measure</t>
  </si>
  <si>
    <t>Percentage of Projects with "Neutral or Unknown Impact" (Score of 3) on Native Species from Project-Level Survey Results for Impacts to Native Species Performance Measure</t>
  </si>
  <si>
    <t>Percentage of Projects located where there are "No species present" (Score of 3) from GIS results for Impacts to Native Species Performance Measure</t>
  </si>
  <si>
    <t>Percentage of Projects with "Neutral or Unknown Impact" (Score of 3) on Ecosystems from Project-Level Survey Results for Impacts to Threatened/Endangered Species Performance Measure</t>
  </si>
  <si>
    <t>Percentage of Projects located where there are "No Sensitive Species" (Score of 3) from GIS results for Impacts to Threatened/ Endangered Species Performance Measure</t>
  </si>
  <si>
    <t>Percentage of Projects with "Positive Impact " (Score of 5) on Ecosystems from Project-Level Survey Results for Impacts to Endangered/ Threatened Species Performance Measure</t>
  </si>
  <si>
    <t>Percentage Direct Impact( 1) GIS results and Negative Impact (1) Survey Responses for Performance Measures associated with the Protect Habitats, Wildlife, and Ecosystem Services Evaluation Objective</t>
  </si>
  <si>
    <t>Percentage Indirect Impact (2) GIS results and Positive Impact (2)Survey Responses for Performance Measures associated with the Protect Habitats, Wildlife, and Ecosystem Services Evaluation Objective</t>
  </si>
  <si>
    <t>Percentage Outside Managed Habitat/No Species (3) GIS results and Neutral/Unknown (3) Survey Responses for Performance Measures associated with the Protect Habitats, Wildlife, and Ecosystem Services Evaluation Objective</t>
  </si>
  <si>
    <t>Percentage of Projects with "Negative Impact " (Score of 1) on Surface Water from Project-Level Survey Results for Surface Water Quality Performance Measure</t>
  </si>
  <si>
    <t>Percentage of Projects with "Negative Impact " (Score of 1) on Groundwater Quality from Project-Level Survey Results for Groundwater Quality Performance Measure</t>
  </si>
  <si>
    <t>Percentage of Projects with "Positive Impact " (Score of 5) on Groundwater Quality from Project-Level Survey Results for Groundwater Quality Performance Measure</t>
  </si>
  <si>
    <t>Percentage of Projects with "Impaired Water Bodies Score below 70th Percentile" (Score of 2) from GIS results for Surface Water Quality Performance Measure</t>
  </si>
  <si>
    <t>Percentage of Projects with "Impaired Water Bodies Score in 70-100th Percentile Range" (Score of 1) from GIS results for Surface Water Quality Performance Measure</t>
  </si>
  <si>
    <t>Percentage of Projects with "Positive Impact" (Score of 5) on Groundwater Quality from Project-Level Survey Results for Surface Water Quality Performance Measure</t>
  </si>
  <si>
    <t>Percentage of Projects with "Impaired Water Bodies Score below 70th Percentile" (Score of 2) from GIS results for Groundwater Quality Performance Measure</t>
  </si>
  <si>
    <t>Percentage of Projects with "Impaired Water Bodies Score in 70-100th Percentile Range" (Score of 1) from GIS results for Groundwater Quality Performance Measure</t>
  </si>
  <si>
    <t>Percentage of Projects with "Neutral or Unknown Impact" (Score of 3) on Surface Water from Project-Level Survey Results for Surface Water Quality Performance Measure</t>
  </si>
  <si>
    <t>Percentage of Projects with "Neutral or Unknown Impact" (Score of 3) on Groundwater Quality from Project-Level Survey Results for Groundwater Quality Performance Measure</t>
  </si>
  <si>
    <t>% 3.0 scores for Surface Water Quality Performance Measure</t>
  </si>
  <si>
    <t>% 3.0 scores for Groundwater Quality Performance Measure</t>
  </si>
  <si>
    <t>Estimated Change in Recreation Visitation (Number of Visits)</t>
  </si>
  <si>
    <t>Percent Change in Recreation Visitation Relative to Baseline</t>
  </si>
  <si>
    <t>Visitation Impacts Sub-Score</t>
  </si>
  <si>
    <t>Protect Habitats, Wildlife, and  Ecosystems</t>
  </si>
  <si>
    <t>Select Concepts to Use in the Trade-Off Analysis</t>
  </si>
  <si>
    <t>Evaluation Objective Weights 3</t>
  </si>
  <si>
    <t>Evaluation Objective Weights 2</t>
  </si>
  <si>
    <t>Evaluation Objectives to Use 3</t>
  </si>
  <si>
    <t>Evaluation Objectives to Use 2</t>
  </si>
  <si>
    <t>Concepts to Use 2</t>
  </si>
  <si>
    <t>Concepts to Use 3</t>
  </si>
  <si>
    <t>Trade-off Analysis 3</t>
  </si>
  <si>
    <t>Trade-off Analysis 2</t>
  </si>
  <si>
    <t>Instructions</t>
  </si>
  <si>
    <t>Customization 3 Notes</t>
  </si>
  <si>
    <t>Customization 2 Notes</t>
  </si>
  <si>
    <t>Customization 3 Name</t>
  </si>
  <si>
    <t>Customization 2 Name</t>
  </si>
  <si>
    <t>San Diego Basin Study Trade-Off Analysis with Cost and Feasibility Evaluation Objectives</t>
  </si>
  <si>
    <t>San Diego Basin Study Trade-Off Analysis with Environmentally-Related Evaluation Objectives</t>
  </si>
  <si>
    <t>Includes Evaluation Objectives that evaluate cost and feasibility: Cost Effectiveness; Project Complexity; Provide for Scalability of Implementation; and Regional Integration and Coordination. Uses weights from San Diego Basin Study Weighting Survey.</t>
  </si>
  <si>
    <t>Includes Evaluation Objectives that evaluate environmentally related factors: Address Climate Change through GHG Reduction; Climate Resilience; Environmental Justice; Protect Habitats, Wildlife, and Ecosystem Services; and Water Quality and Watersheds. Uses weights from San Diego Basin Study Weighting Survey.</t>
  </si>
  <si>
    <t>Summary Statistics for Unweighted Evaluation Objective Scores - Trade-Off Analysis 1</t>
  </si>
  <si>
    <t>Ranks of Unweighted Scores  - Trade-Off Analysis 1</t>
  </si>
  <si>
    <t>Maximum Possible Weighted Scores  - Trade-Off Analysis 1</t>
  </si>
  <si>
    <t>Address Climate Change through GHG Reduction</t>
  </si>
  <si>
    <t>Average Rank</t>
  </si>
  <si>
    <t>Concept Weighted rank</t>
  </si>
  <si>
    <t>Count of 1s, 2s, and 3s</t>
  </si>
  <si>
    <t>Range</t>
  </si>
  <si>
    <t>Percentage of Projects with "Positive Impact " (Score of 5) on Ecosystems from Project-Level Survey Results for Impacts to Native Species Performance Measure</t>
  </si>
  <si>
    <t>Percentage of Projects with "Impacts to &lt;3 Species" (Score of 2) from GIS results for Impacts to Native Species Performance Measure</t>
  </si>
  <si>
    <t>Percentage of Projects with "Impacts to &gt;3 Species" (Score of 1) from GIS results for Impacts to Native Species Performance Measure</t>
  </si>
  <si>
    <t>Percentage of Projects with "Negative Impact " (Score of 1) on Ecosystems from Project-Level Survey Results for Impacts to Native Species Performance Measure</t>
  </si>
  <si>
    <r>
      <t xml:space="preserve">Concepts that directly or indirectly improve the regional resilience to the impacts of climate change: sea level rise, flooding, wildfire, and extreme heat. (Note: Regional resilience to drought is included in the Evaluation Objective, Provide Reliability and Robustness)
</t>
    </r>
    <r>
      <rPr>
        <i/>
        <sz val="11"/>
        <color theme="1"/>
        <rFont val="Cambria"/>
        <family val="1"/>
      </rPr>
      <t>Note that data for directly evaluating resilience was not readily available or known for the majority of projects and, thus, an analysis of a project’s ability to increase climate resilience was outside the scope of the study. Therefore, the Performance Measures in the Climate Resilience Evaluation Objective are focused on evaluating the vulnerability of individual projects to the impacts of climate change (e.g., warming and fire, sea level rise, and flooding). Also note that Regional resilience to drought is included in the Evaluation Objective, Reliability and Robustness.</t>
    </r>
  </si>
  <si>
    <t>Weights</t>
  </si>
  <si>
    <t>Relative Points</t>
  </si>
  <si>
    <t>Unweighted Score</t>
  </si>
  <si>
    <t>Weighted Score</t>
  </si>
  <si>
    <t>Project-Level Survey Results</t>
  </si>
  <si>
    <t>Concept-Level Survey Results</t>
  </si>
  <si>
    <t>The average of the project-level survey results received for projects in a particular Concept</t>
  </si>
  <si>
    <t>The average of the Concept-level survey results received for a particular Concept.</t>
  </si>
  <si>
    <r>
      <t xml:space="preserve">The method of combining project-level and Concept-level survey results to obtain a single value for each Concept
</t>
    </r>
    <r>
      <rPr>
        <b/>
        <sz val="11"/>
        <color theme="1"/>
        <rFont val="Cambria"/>
        <family val="1"/>
      </rPr>
      <t xml:space="preserve">Average All: </t>
    </r>
    <r>
      <rPr>
        <sz val="11"/>
        <color theme="1"/>
        <rFont val="Cambria"/>
        <family val="1"/>
      </rPr>
      <t xml:space="preserve">Average all project-level and Concept-level survey results together without distinguishing between project-level and Concept-level to obtain the value for the Concept
</t>
    </r>
    <r>
      <rPr>
        <b/>
        <sz val="11"/>
        <color theme="1"/>
        <rFont val="Cambria"/>
        <family val="1"/>
      </rPr>
      <t xml:space="preserve">Group Then Average: </t>
    </r>
    <r>
      <rPr>
        <sz val="11"/>
        <color theme="1"/>
        <rFont val="Cambria"/>
        <family val="1"/>
      </rPr>
      <t>Calculate the average project-level survey result and the average Concept-level survey result then take the average of the two groups to obtain the value for the Concept</t>
    </r>
  </si>
  <si>
    <t>The score calculated from its Performance Measures as described by the decision trees and in Chapter 3 in the Task 2.5 Interim Report.</t>
  </si>
  <si>
    <t>Stepped Weights High and Low</t>
  </si>
  <si>
    <t>The sum of the weighted scores for all Evaluation Objectives for each Concept</t>
  </si>
  <si>
    <t>The maximum possible cumulative points that could be achieved by an Concept. Calculated by multiplying the maximum unweighted score on each Evaluation Objective (5.0) by the weight for each Evaluation Objective, dividing by 10, then summing for all Evaluation Objectives</t>
  </si>
  <si>
    <t>The cumulative points converted to a 100-point scale. Calculated by dividing the cumulative points by the maximum possible points and multiplying by 100.</t>
  </si>
  <si>
    <t>Not Applicable. Used when a score cannot be calculated for a Performance Measure or Evaluation Objective</t>
  </si>
  <si>
    <t xml:space="preserve">Go to the "User Inputs" tab. Select the importance weights (Default, Stepped, or Custom), Evaluation Objectives to be included in analysis, and Concepts to be included in analysis. Modifiable input data cells are color coded.
</t>
  </si>
  <si>
    <t>Go to one of the 13 Evaluation Objective Tabs to view results for individual Evaluation Objectives. None of the cells on these tabs are modifiable.</t>
  </si>
  <si>
    <t>Contact Leslie Cleveland at the Bureau of Reclamation at lcleveland@usbr.gov.</t>
  </si>
  <si>
    <t xml:space="preserve">This spreadsheet provides a framework for modifying the trade-off analysis by allowing modifications to the weights of importance of Evaluation Objectives, changes in the Evaluation Objectives included in the analysis, and changes in the Concepts included in the analysis. </t>
  </si>
  <si>
    <t>It is not possible to change survey scores, GIS data, or model results through this tool. Therefore, it is not possible to change Performance Measure Scores or Unweighted Evaluation Objective Scores. If this functionality is desired, the full calculation spreadsheet including editable project-level and Concept-level data can be provided. Please send a request to Leslie Cleveland at the Bureau of Reclamation at lcleveland@usbr.gov.</t>
  </si>
  <si>
    <r>
      <t>Reduction in Average Annual Shortage (AF/y)</t>
    </r>
    <r>
      <rPr>
        <b/>
        <vertAlign val="superscript"/>
        <sz val="11"/>
        <rFont val="Calibri"/>
        <family val="2"/>
        <scheme val="minor"/>
      </rPr>
      <t>1</t>
    </r>
  </si>
  <si>
    <t xml:space="preserve">Scoring Key for Magnitude of Environmental Impact Survey Question: </t>
  </si>
  <si>
    <t xml:space="preserve">
Percentiles for Population Characteristic
</t>
  </si>
  <si>
    <t xml:space="preserve">
Percentiles for Pollution Burden
</t>
  </si>
  <si>
    <t xml:space="preserve">
Scoring Key for Environmental Impact Survey Question: </t>
  </si>
  <si>
    <t>Scoring Key for GIS:</t>
  </si>
  <si>
    <t>Scoring Key for Surveys</t>
  </si>
  <si>
    <r>
      <t xml:space="preserve">
1 = Negative Impact, 
3 = Neutral or unknown Impact, 
5 = Positive Impact
</t>
    </r>
    <r>
      <rPr>
        <u/>
        <sz val="11"/>
        <color theme="1"/>
        <rFont val="Calibri"/>
        <family val="2"/>
        <scheme val="minor"/>
      </rPr>
      <t xml:space="preserve"> </t>
    </r>
    <r>
      <rPr>
        <sz val="11"/>
        <color theme="1"/>
        <rFont val="Calibri"/>
        <family val="2"/>
        <scheme val="minor"/>
      </rPr>
      <t xml:space="preserve">
</t>
    </r>
  </si>
  <si>
    <t>1 = Located within Severe DAC, 
2 = Located within DAC, 
3 = Outside DAC</t>
  </si>
  <si>
    <t>Disadvantaged Communities Performance Measure</t>
  </si>
  <si>
    <t>Environmental Justice Performance Measure</t>
  </si>
  <si>
    <t>Calculation Tables</t>
  </si>
  <si>
    <t>PM: Environmental Justice Performance Measure</t>
  </si>
  <si>
    <t>PM: DACs Performance Measure</t>
  </si>
  <si>
    <t>EO:  Environmental Justice Evaluation Objective</t>
  </si>
  <si>
    <t>PM &amp; EO: GHG Mitigation Performance Measure and Address Climate Change through GHG Mitigation Evaluation Objective</t>
  </si>
  <si>
    <t>EO: Climate Resilience Evaluation Objective</t>
  </si>
  <si>
    <t>PM: Capital Costs Performance Measure</t>
  </si>
  <si>
    <t>PM: O&amp;M Costs Performance Measure</t>
  </si>
  <si>
    <t>PM: Potential for External Funding Performance Measure</t>
  </si>
  <si>
    <t>EO: Cost Effectiveness Evaluation Objective</t>
  </si>
  <si>
    <t>EO:  Optimize Local Supplies Evaluation Objective</t>
  </si>
  <si>
    <t>EO:  Project Complexity Evaluation Objective</t>
  </si>
  <si>
    <t>EO: Protect Habitats, Wildlife, and Ecosystem Services Evaluation Objective</t>
  </si>
  <si>
    <t>EO Provide for Scalability of Implementation Evaluation Objective</t>
  </si>
  <si>
    <t>PM:  Water Shortage Volume Performance Measure</t>
  </si>
  <si>
    <t>Sub-Score: Diversity of Water Supply Sub-score</t>
  </si>
  <si>
    <t>Sub-Score: Resilience of Conveyance System Sub-score</t>
  </si>
  <si>
    <t>Sub-Score Aging Infrastructure Sub-score</t>
  </si>
  <si>
    <t>Sub-Score: Insufficient Wastewater Flows Sub-score</t>
  </si>
  <si>
    <t>PM: Vulnerability of Water Supply Facilities and Infrastructure Performance Measure</t>
  </si>
  <si>
    <t>PM: Carryover Storage Performance Measure</t>
  </si>
  <si>
    <t>EO:  Reliability and Robustness Evaluation Objective</t>
  </si>
  <si>
    <t>Sub-Score: Green Space/Open Space Sub-Score within the Green Space/Open Space Performance Measure</t>
  </si>
  <si>
    <t>Sub-Score: Quality of Life Sub-Score within the Green Space/Open Space Performance Measure</t>
  </si>
  <si>
    <t>PM: Green Space/Open Space Performance Measure</t>
  </si>
  <si>
    <t>Sub-Score: Recreation Opportunities Sub-Scores</t>
  </si>
  <si>
    <t>Sub-Score Recreation Visitation Sub-Score</t>
  </si>
  <si>
    <t>PM: Recreation Opportunities Performance Measure</t>
  </si>
  <si>
    <t>EO: Quality of Life/Recreation Evaluation Objective</t>
  </si>
  <si>
    <t>PM: Regional Economic Impact Performance Measure</t>
  </si>
  <si>
    <t>EO: Regional Economic Impact Evaluation Objective</t>
  </si>
  <si>
    <t>Sub-Score: Integration Sub-Score within the Coordination Performance Measure</t>
  </si>
  <si>
    <t>Sub-Score Leveraging Sub-Score within the Coordination Performance Measure</t>
  </si>
  <si>
    <t>PM: Coordination Performance Measure</t>
  </si>
  <si>
    <t>PM: Education and Outreach Performance Measure</t>
  </si>
  <si>
    <t>EO: Regional Integration and Coordination Evaluation Objective</t>
  </si>
  <si>
    <t>PM: Stormwater and Wastwater Discharges Performance Measure</t>
  </si>
  <si>
    <t>PM: Surface Water Quality Performance Measure</t>
  </si>
  <si>
    <t>Sub-Score: Marine Discharges Sub-Score within the Stormwater and Wastewater Discharges Performance Measure</t>
  </si>
  <si>
    <t>Sub-Score: Freshwater/Estuarine Discharges Sub-Score within the Stormwater and Wastewater Discharges Performance Measure</t>
  </si>
  <si>
    <t>PM: Groundwater Quality Performance Measure</t>
  </si>
  <si>
    <t>EO: Water Quality and Watersheds Evaluation Objective</t>
  </si>
  <si>
    <t>A method for determining weights. The user must assign a rank to each Concept and set the minimum and maximum weight value that is desired. A set of equally spaced weights between the minimum and maximum weights in the order of the rankings will be automatically calculated.</t>
  </si>
  <si>
    <t>Evaluation Objective: Regional Integration and Coordination</t>
  </si>
  <si>
    <t>The unweighted score multiplied by the weight divied by the maximum weight (10.0)</t>
  </si>
  <si>
    <t>Numeric values representing the relative importance of each Evaluation Objective. A maximum weight of 10.0 is possible.</t>
  </si>
  <si>
    <t>Select the type of Evaluation Objective weights to use and input required information: 
      ▪   If Default is selected, no additional inputs are needed. The trade-off analysis will use the weights determined in the SDBS importance ranking survey.
      ▪   If Stepped is selected, input the highest and lowest weight values (between 1 and 10) and input rankings between 1 and 13 into the Stepped Weights
             column. Note that multiple Evaluation Objectives may have the same ranking.
      ▪   If Custom is selected, input weight values between 1 and 10 into the Custom Weights column.</t>
  </si>
  <si>
    <t>Evaluation Objective (EO): Reliability and Robustness</t>
  </si>
  <si>
    <t>Trade-Off Analysis Results</t>
  </si>
  <si>
    <t>Summary Scores for Evaluation Objectives Weighted by Importance</t>
  </si>
  <si>
    <t>Weighted Evaluation Objective Scores</t>
  </si>
  <si>
    <t>Unweighted Evaluation Objective Scores</t>
  </si>
  <si>
    <t>Trade-off Analysis</t>
  </si>
  <si>
    <t>Customization Name</t>
  </si>
  <si>
    <t>Customization Notes</t>
  </si>
  <si>
    <t>Evaluatation Objective Weights</t>
  </si>
  <si>
    <t>Evaluation Objectives to Use</t>
  </si>
  <si>
    <t>Concepts to Use</t>
  </si>
  <si>
    <t>Legend</t>
  </si>
  <si>
    <t>Editable cell</t>
  </si>
  <si>
    <t>Cell containing data sourced from CWASim modeling performed as part of the San Diego Basin Study.</t>
  </si>
  <si>
    <t>Cell containing data sourced from project- or Concept-level surveys performed as part of the San Diego Basin Study.</t>
  </si>
  <si>
    <t>Cell containing data sourced from GIS analysis performed as part of the San Diego Basin Study.</t>
  </si>
  <si>
    <r>
      <t xml:space="preserve">Cell for specifying the averaging method for project-level and Concept-level surveys. 
If Average All: The average unweighted score is calculated as the average of all Concept and project survey scores combined
If Group then Average: The average of the mean Concept score and the mean project survey score
</t>
    </r>
    <r>
      <rPr>
        <i/>
        <sz val="11"/>
        <color theme="1"/>
        <rFont val="Cambria"/>
        <family val="1"/>
      </rPr>
      <t xml:space="preserve">Note: The "Average All" option can be used to avoid disproportionate influence of a small number of project-level survey responses. </t>
    </r>
  </si>
  <si>
    <t>Impacts to Threatened and Endangered
Performance Measure Scores</t>
  </si>
  <si>
    <t>Impacts to Native Species Performance Measure Scores</t>
  </si>
  <si>
    <t>Customized By:</t>
  </si>
  <si>
    <t>Tool Version</t>
  </si>
  <si>
    <t xml:space="preserve">Customization Name: </t>
  </si>
  <si>
    <t>Customization Date:</t>
  </si>
  <si>
    <t>Review_Draft_05-19</t>
  </si>
  <si>
    <t>Enter the date, your name, a name for the customized analysis, and description of the customized settings and/or purpose of customization of the trade-off analysis</t>
  </si>
  <si>
    <t>Describe Customization on About Tab</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</si>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</sst>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0_);[Red]\(&quot;$&quot;#,##0\)"/>
    <numFmt numFmtId="43" formatCode="_(* #,##0.00_);_(* \(#,##0.00\);_(* &quot;-&quot;??_);_(@_)"/>
    <numFmt numFmtId="164" formatCode="0.0000"/>
    <numFmt numFmtId="165" formatCode="0.0"/>
    <numFmt numFmtId="166" formatCode="&quot;$&quot;#,##0"/>
  </numFmts>
  <fonts count="59" x14ac:knownFonts="1">
    <font>
      <sz val="11"/>
      <color theme="1"/>
      <name val="Calibri"/>
      <family val="2"/>
      <scheme val="minor"/>
    </font>
    <font>
      <b/>
      <sz val="11"/>
      <color theme="1"/>
      <name val="Calibri"/>
      <family val="2"/>
      <scheme val="minor"/>
    </font>
    <font>
      <b/>
      <sz val="22"/>
      <color theme="1"/>
      <name val="Calibri"/>
      <family val="2"/>
      <scheme val="minor"/>
    </font>
    <font>
      <b/>
      <sz val="24"/>
      <color theme="1"/>
      <name val="Calibri"/>
      <family val="2"/>
      <scheme val="minor"/>
    </font>
    <font>
      <b/>
      <sz val="14"/>
      <color theme="1"/>
      <name val="Calibri"/>
      <family val="2"/>
      <scheme val="minor"/>
    </font>
    <font>
      <sz val="11"/>
      <color rgb="FFFF0000"/>
      <name val="Calibri"/>
      <family val="2"/>
      <scheme val="minor"/>
    </font>
    <font>
      <b/>
      <sz val="12"/>
      <color theme="1"/>
      <name val="Calibri"/>
      <family val="2"/>
      <scheme val="minor"/>
    </font>
    <font>
      <b/>
      <sz val="28"/>
      <color theme="1"/>
      <name val="Arial"/>
      <family val="2"/>
    </font>
    <font>
      <sz val="11"/>
      <color theme="1"/>
      <name val="Calibri"/>
      <family val="2"/>
      <scheme val="minor"/>
    </font>
    <font>
      <sz val="11"/>
      <color theme="1"/>
      <name val="Cambria"/>
      <family val="1"/>
    </font>
    <font>
      <i/>
      <sz val="11"/>
      <color theme="1"/>
      <name val="Cambria"/>
      <family val="1"/>
    </font>
    <font>
      <b/>
      <vertAlign val="superscript"/>
      <sz val="11"/>
      <color theme="1"/>
      <name val="Calibri"/>
      <family val="2"/>
      <scheme val="minor"/>
    </font>
    <font>
      <vertAlign val="superscript"/>
      <sz val="11"/>
      <color theme="1"/>
      <name val="Calibri"/>
      <family val="2"/>
      <scheme val="minor"/>
    </font>
    <font>
      <b/>
      <sz val="10"/>
      <color rgb="FFFF0000"/>
      <name val="Calibri"/>
      <family val="2"/>
      <scheme val="minor"/>
    </font>
    <font>
      <sz val="10"/>
      <color theme="1"/>
      <name val="Calibri"/>
      <family val="2"/>
      <scheme val="minor"/>
    </font>
    <font>
      <b/>
      <sz val="10"/>
      <color theme="1"/>
      <name val="Calibri"/>
      <family val="2"/>
      <scheme val="minor"/>
    </font>
    <font>
      <sz val="11"/>
      <name val="Calibri"/>
      <family val="2"/>
      <scheme val="minor"/>
    </font>
    <font>
      <b/>
      <sz val="20"/>
      <name val="Calibri"/>
      <family val="2"/>
      <scheme val="minor"/>
    </font>
    <font>
      <b/>
      <sz val="11"/>
      <color theme="1"/>
      <name val="Cambria"/>
      <family val="1"/>
    </font>
    <font>
      <b/>
      <sz val="20"/>
      <color theme="1"/>
      <name val="Calibri"/>
      <family val="2"/>
      <scheme val="minor"/>
    </font>
    <font>
      <sz val="20"/>
      <color theme="1"/>
      <name val="Calibri"/>
      <family val="2"/>
      <scheme val="minor"/>
    </font>
    <font>
      <b/>
      <sz val="16"/>
      <color theme="1"/>
      <name val="Arial"/>
      <family val="2"/>
    </font>
    <font>
      <b/>
      <sz val="12"/>
      <color theme="1"/>
      <name val="Arial"/>
      <family val="2"/>
    </font>
    <font>
      <sz val="12"/>
      <color theme="1"/>
      <name val="Calibri"/>
      <family val="2"/>
      <scheme val="minor"/>
    </font>
    <font>
      <sz val="10"/>
      <color theme="1"/>
      <name val="Times New Roman"/>
      <family val="1"/>
    </font>
    <font>
      <sz val="10"/>
      <name val="Calibri"/>
      <family val="2"/>
    </font>
    <font>
      <b/>
      <sz val="12"/>
      <color rgb="FFFFFFFF"/>
      <name val="Times New Roman"/>
      <family val="1"/>
    </font>
    <font>
      <b/>
      <sz val="12"/>
      <color theme="2" tint="-0.499984740745262"/>
      <name val="Times New Roman"/>
      <family val="1"/>
    </font>
    <font>
      <sz val="10"/>
      <color rgb="FF000000"/>
      <name val="Calibri"/>
      <family val="2"/>
    </font>
    <font>
      <sz val="10"/>
      <color theme="2" tint="-0.499984740745262"/>
      <name val="Calibri"/>
      <family val="2"/>
    </font>
    <font>
      <sz val="6"/>
      <color theme="1"/>
      <name val="Calibri"/>
      <family val="2"/>
      <scheme val="minor"/>
    </font>
    <font>
      <b/>
      <sz val="10"/>
      <color theme="1"/>
      <name val="Calibri"/>
      <family val="2"/>
    </font>
    <font>
      <b/>
      <sz val="10"/>
      <color theme="2" tint="-0.499984740745262"/>
      <name val="Calibri"/>
      <family val="2"/>
    </font>
    <font>
      <sz val="6.5"/>
      <color rgb="FF000000"/>
      <name val="Calibri"/>
      <family val="2"/>
    </font>
    <font>
      <sz val="6.5"/>
      <color theme="2" tint="-0.499984740745262"/>
      <name val="Calibri"/>
      <family val="2"/>
    </font>
    <font>
      <sz val="6.5"/>
      <color theme="1"/>
      <name val="Calibri"/>
      <family val="2"/>
      <scheme val="minor"/>
    </font>
    <font>
      <b/>
      <sz val="10"/>
      <name val="Calibri"/>
      <family val="2"/>
    </font>
    <font>
      <sz val="11"/>
      <name val="Calibri"/>
      <family val="2"/>
    </font>
    <font>
      <sz val="11"/>
      <color theme="1"/>
      <name val="Calibri"/>
      <family val="2"/>
    </font>
    <font>
      <strike/>
      <sz val="11"/>
      <color rgb="FF000000"/>
      <name val="Calibri"/>
      <family val="2"/>
    </font>
    <font>
      <sz val="11"/>
      <color rgb="FF000000"/>
      <name val="Calibri"/>
      <family val="2"/>
    </font>
    <font>
      <sz val="10"/>
      <color theme="2" tint="-0.499984740745262"/>
      <name val="Times New Roman"/>
      <family val="1"/>
    </font>
    <font>
      <sz val="10"/>
      <name val="Times New Roman"/>
      <family val="1"/>
    </font>
    <font>
      <sz val="11"/>
      <color theme="2" tint="-0.499984740745262"/>
      <name val="Calibri"/>
      <family val="2"/>
      <scheme val="minor"/>
    </font>
    <font>
      <i/>
      <sz val="10"/>
      <name val="Calibri"/>
      <family val="2"/>
    </font>
    <font>
      <i/>
      <sz val="10"/>
      <color rgb="FF000000"/>
      <name val="Calibri"/>
      <family val="2"/>
    </font>
    <font>
      <b/>
      <sz val="10"/>
      <color rgb="FF000000"/>
      <name val="Calibri"/>
      <family val="2"/>
    </font>
    <font>
      <b/>
      <sz val="10"/>
      <name val="Calibri Light"/>
      <family val="2"/>
      <scheme val="major"/>
    </font>
    <font>
      <b/>
      <sz val="11"/>
      <name val="Calibri"/>
      <family val="2"/>
      <scheme val="minor"/>
    </font>
    <font>
      <u/>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8"/>
      <color theme="1"/>
      <name val="Calibri"/>
      <family val="2"/>
      <scheme val="minor"/>
    </font>
    <font>
      <b/>
      <u/>
      <sz val="14"/>
      <color theme="1"/>
      <name val="Calibri"/>
      <family val="2"/>
      <scheme val="minor"/>
    </font>
    <font>
      <sz val="16"/>
      <color theme="1"/>
      <name val="Calibri"/>
      <family val="2"/>
      <scheme val="minor"/>
    </font>
    <font>
      <u/>
      <sz val="11"/>
      <name val="Calibri"/>
      <family val="2"/>
      <scheme val="minor"/>
    </font>
    <font>
      <b/>
      <vertAlign val="superscript"/>
      <sz val="11"/>
      <name val="Calibri"/>
      <family val="2"/>
      <scheme val="minor"/>
    </font>
    <font>
      <b/>
      <u/>
      <sz val="11"/>
      <color theme="1"/>
      <name val="Calibri"/>
      <family val="2"/>
      <scheme val="minor"/>
    </font>
  </fonts>
  <fills count="20">
    <fill>
      <patternFill patternType="none"/>
    </fill>
    <fill>
      <patternFill patternType="gray125"/>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79998168889431442"/>
        <bgColor rgb="FFD8D8D8"/>
      </patternFill>
    </fill>
    <fill>
      <patternFill patternType="solid">
        <fgColor theme="0"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76">
    <border>
      <left/>
      <right/>
      <top/>
      <bottom/>
      <diagonal/>
    </border>
    <border>
      <left/>
      <right/>
      <top style="thin">
        <color indexed="64"/>
      </top>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s>
  <cellStyleXfs count="3">
    <xf numFmtId="0" fontId="0" fillId="0" borderId="0"/>
    <xf numFmtId="9" fontId="8" fillId="0" borderId="0" applyFont="0" applyFill="0" applyBorder="0" applyAlignment="0" applyProtection="0"/>
    <xf numFmtId="43" fontId="8" fillId="0" borderId="0" applyFont="0" applyFill="0" applyBorder="0" applyAlignment="0" applyProtection="0"/>
  </cellStyleXfs>
  <cellXfs count="862">
    <xf numFmtId="0" fontId="0" fillId="0" borderId="0" xfId="0"/>
    <xf numFmtId="0" fontId="1" fillId="0" borderId="0" xfId="0" applyFont="1"/>
    <xf numFmtId="0" fontId="0" fillId="0" borderId="0" xfId="0" applyAlignment="1">
      <alignment wrapText="1"/>
    </xf>
    <xf numFmtId="0" fontId="1" fillId="0" borderId="0" xfId="0" applyFont="1" applyAlignment="1">
      <alignment wrapText="1"/>
    </xf>
    <xf numFmtId="0" fontId="0" fillId="0" borderId="0" xfId="0" quotePrefix="1"/>
    <xf numFmtId="2" fontId="0" fillId="0" borderId="0" xfId="0" applyNumberFormat="1"/>
    <xf numFmtId="2" fontId="0" fillId="0" borderId="0" xfId="0" quotePrefix="1" applyNumberFormat="1"/>
    <xf numFmtId="164" fontId="0" fillId="0" borderId="0" xfId="0" quotePrefix="1" applyNumberFormat="1"/>
    <xf numFmtId="0" fontId="0" fillId="0" borderId="0" xfId="0" applyAlignment="1"/>
    <xf numFmtId="0" fontId="0" fillId="0" borderId="0" xfId="0" applyFont="1" applyFill="1"/>
    <xf numFmtId="0" fontId="0" fillId="0" borderId="0" xfId="0" applyFont="1"/>
    <xf numFmtId="0" fontId="0" fillId="0" borderId="0" xfId="0" applyBorder="1"/>
    <xf numFmtId="0" fontId="1" fillId="0" borderId="0" xfId="0" applyFont="1" applyAlignment="1"/>
    <xf numFmtId="0" fontId="1" fillId="0" borderId="0" xfId="0" applyFont="1" applyAlignment="1">
      <alignment vertical="center" wrapText="1"/>
    </xf>
    <xf numFmtId="0" fontId="0" fillId="0" borderId="0" xfId="0" applyAlignment="1">
      <alignment vertical="center" wrapText="1"/>
    </xf>
    <xf numFmtId="0" fontId="0" fillId="0" borderId="0" xfId="0" quotePrefix="1" applyAlignment="1">
      <alignment vertical="center" wrapText="1"/>
    </xf>
    <xf numFmtId="0" fontId="0" fillId="0" borderId="0" xfId="0" applyAlignment="1">
      <alignment vertical="center"/>
    </xf>
    <xf numFmtId="0" fontId="0" fillId="0" borderId="0" xfId="0" applyFont="1" applyAlignment="1">
      <alignment vertical="center"/>
    </xf>
    <xf numFmtId="0" fontId="0" fillId="0" borderId="0" xfId="0" applyAlignment="1">
      <alignment horizontal="center"/>
    </xf>
    <xf numFmtId="0" fontId="0" fillId="0" borderId="3" xfId="0" applyBorder="1"/>
    <xf numFmtId="0" fontId="0" fillId="0" borderId="5" xfId="0" applyBorder="1"/>
    <xf numFmtId="0" fontId="1" fillId="0" borderId="8" xfId="0" applyFont="1" applyFill="1" applyBorder="1" applyAlignment="1">
      <alignment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0" fillId="0" borderId="8" xfId="0" applyBorder="1" applyAlignment="1">
      <alignment vertical="center"/>
    </xf>
    <xf numFmtId="0" fontId="1" fillId="0" borderId="8" xfId="0" applyFont="1" applyBorder="1" applyAlignment="1">
      <alignment vertical="center" wrapText="1"/>
    </xf>
    <xf numFmtId="0" fontId="0" fillId="0" borderId="0" xfId="0" applyFill="1"/>
    <xf numFmtId="0" fontId="1" fillId="0" borderId="8" xfId="0" applyFont="1" applyBorder="1" applyAlignment="1">
      <alignment wrapText="1"/>
    </xf>
    <xf numFmtId="0" fontId="0" fillId="0" borderId="13" xfId="0" applyBorder="1"/>
    <xf numFmtId="0" fontId="0" fillId="0" borderId="14" xfId="0" applyBorder="1"/>
    <xf numFmtId="0" fontId="0" fillId="0" borderId="15" xfId="0" applyBorder="1"/>
    <xf numFmtId="0" fontId="6" fillId="0" borderId="0" xfId="0" applyFont="1" applyAlignment="1"/>
    <xf numFmtId="0" fontId="7" fillId="0" borderId="0" xfId="0" applyFont="1"/>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0" fillId="0" borderId="0" xfId="0" applyBorder="1" applyAlignment="1">
      <alignment horizontal="center"/>
    </xf>
    <xf numFmtId="0" fontId="0" fillId="0" borderId="6" xfId="0" applyBorder="1" applyAlignment="1">
      <alignment horizontal="center"/>
    </xf>
    <xf numFmtId="2" fontId="0" fillId="0" borderId="0" xfId="0" quotePrefix="1" applyNumberFormat="1" applyBorder="1" applyAlignment="1">
      <alignment horizontal="center"/>
    </xf>
    <xf numFmtId="2" fontId="0" fillId="0" borderId="0" xfId="0" applyNumberFormat="1" applyBorder="1" applyAlignment="1">
      <alignment horizontal="center"/>
    </xf>
    <xf numFmtId="2" fontId="0" fillId="0" borderId="4" xfId="0" quotePrefix="1" applyNumberFormat="1" applyBorder="1" applyAlignment="1">
      <alignment horizontal="center"/>
    </xf>
    <xf numFmtId="2" fontId="0" fillId="0" borderId="6" xfId="0" quotePrefix="1" applyNumberFormat="1" applyBorder="1" applyAlignment="1">
      <alignment horizontal="center"/>
    </xf>
    <xf numFmtId="2" fontId="0" fillId="0" borderId="6" xfId="0" applyNumberFormat="1" applyBorder="1" applyAlignment="1">
      <alignment horizontal="center"/>
    </xf>
    <xf numFmtId="2" fontId="0" fillId="0" borderId="7" xfId="0" quotePrefix="1" applyNumberFormat="1" applyBorder="1" applyAlignment="1">
      <alignment horizontal="center"/>
    </xf>
    <xf numFmtId="2" fontId="0" fillId="0" borderId="4" xfId="0" applyNumberFormat="1" applyBorder="1" applyAlignment="1">
      <alignment horizontal="center"/>
    </xf>
    <xf numFmtId="2" fontId="0" fillId="0" borderId="7" xfId="0" applyNumberFormat="1" applyBorder="1" applyAlignment="1">
      <alignment horizontal="center"/>
    </xf>
    <xf numFmtId="0" fontId="4" fillId="0" borderId="0" xfId="0" applyFont="1" applyAlignment="1">
      <alignment horizontal="left"/>
    </xf>
    <xf numFmtId="0" fontId="1" fillId="0" borderId="0" xfId="0" applyFont="1" applyAlignment="1">
      <alignment horizontal="left"/>
    </xf>
    <xf numFmtId="0" fontId="4" fillId="0" borderId="0" xfId="0" applyFont="1" applyFill="1"/>
    <xf numFmtId="0" fontId="3" fillId="6" borderId="0" xfId="0" applyFont="1" applyFill="1" applyAlignment="1">
      <alignment horizontal="left"/>
    </xf>
    <xf numFmtId="0" fontId="0" fillId="6" borderId="0" xfId="0" applyFill="1"/>
    <xf numFmtId="0" fontId="0" fillId="6" borderId="0" xfId="0" applyFont="1" applyFill="1"/>
    <xf numFmtId="0" fontId="0" fillId="6" borderId="0" xfId="0" applyFill="1" applyAlignment="1">
      <alignment vertical="center" wrapText="1"/>
    </xf>
    <xf numFmtId="0" fontId="0" fillId="6" borderId="0" xfId="0" quotePrefix="1" applyFill="1"/>
    <xf numFmtId="0" fontId="3" fillId="6" borderId="0" xfId="0" applyFont="1" applyFill="1" applyAlignment="1"/>
    <xf numFmtId="0" fontId="0" fillId="0" borderId="0" xfId="0" applyFill="1" applyBorder="1"/>
    <xf numFmtId="0" fontId="2" fillId="0" borderId="0" xfId="0" applyFont="1" applyAlignment="1">
      <alignment vertical="center"/>
    </xf>
    <xf numFmtId="0" fontId="6" fillId="0" borderId="0" xfId="0" applyFont="1"/>
    <xf numFmtId="0" fontId="1" fillId="0" borderId="18" xfId="0" applyFont="1" applyBorder="1" applyAlignment="1">
      <alignment horizontal="right" vertical="center" wrapText="1"/>
    </xf>
    <xf numFmtId="0" fontId="1" fillId="0" borderId="18" xfId="0" applyFont="1" applyBorder="1" applyAlignment="1">
      <alignment horizontal="center" vertical="center" wrapText="1"/>
    </xf>
    <xf numFmtId="0" fontId="9" fillId="0" borderId="19" xfId="0" applyFont="1" applyBorder="1" applyAlignment="1">
      <alignment vertical="center" wrapText="1"/>
    </xf>
    <xf numFmtId="0" fontId="9" fillId="0" borderId="19" xfId="0" applyFont="1" applyBorder="1" applyAlignment="1">
      <alignment horizontal="left" vertical="center" wrapText="1"/>
    </xf>
    <xf numFmtId="0" fontId="1" fillId="0" borderId="0" xfId="0" applyFont="1" applyFill="1"/>
    <xf numFmtId="2" fontId="0" fillId="8" borderId="17" xfId="0" applyNumberFormat="1" applyFill="1" applyBorder="1" applyAlignment="1" applyProtection="1">
      <alignment horizontal="center"/>
      <protection locked="0"/>
    </xf>
    <xf numFmtId="2" fontId="0" fillId="7" borderId="17" xfId="0" applyNumberFormat="1" applyFill="1" applyBorder="1" applyAlignment="1" applyProtection="1">
      <alignment horizontal="center"/>
      <protection locked="0"/>
    </xf>
    <xf numFmtId="2" fontId="0" fillId="7" borderId="25" xfId="0" applyNumberFormat="1" applyFill="1" applyBorder="1" applyAlignment="1" applyProtection="1">
      <alignment horizontal="center"/>
      <protection locked="0"/>
    </xf>
    <xf numFmtId="0" fontId="0" fillId="0" borderId="3" xfId="0" applyFill="1" applyBorder="1"/>
    <xf numFmtId="9" fontId="0" fillId="0" borderId="0" xfId="1" quotePrefix="1" applyFont="1" applyBorder="1" applyAlignment="1">
      <alignment horizontal="center"/>
    </xf>
    <xf numFmtId="9" fontId="0" fillId="0" borderId="6" xfId="1" quotePrefix="1" applyFont="1" applyBorder="1" applyAlignment="1">
      <alignment horizontal="center"/>
    </xf>
    <xf numFmtId="2" fontId="0" fillId="0" borderId="0" xfId="0" applyNumberFormat="1" applyFill="1" applyBorder="1" applyAlignment="1" applyProtection="1">
      <alignment horizontal="center"/>
      <protection locked="0"/>
    </xf>
    <xf numFmtId="2" fontId="5" fillId="0" borderId="0" xfId="0" applyNumberFormat="1" applyFont="1" applyAlignment="1">
      <alignment horizontal="center"/>
    </xf>
    <xf numFmtId="0" fontId="1" fillId="0" borderId="27" xfId="0" applyFont="1" applyBorder="1" applyAlignment="1">
      <alignment horizontal="center" vertical="center" wrapText="1"/>
    </xf>
    <xf numFmtId="1" fontId="0" fillId="0" borderId="0" xfId="0" applyNumberFormat="1" applyBorder="1" applyAlignment="1">
      <alignment horizontal="center"/>
    </xf>
    <xf numFmtId="2" fontId="5" fillId="0" borderId="0" xfId="0" applyNumberFormat="1" applyFont="1" applyBorder="1" applyAlignment="1">
      <alignment horizontal="center"/>
    </xf>
    <xf numFmtId="1" fontId="0" fillId="0" borderId="6" xfId="0" applyNumberFormat="1" applyBorder="1" applyAlignment="1">
      <alignment horizontal="center"/>
    </xf>
    <xf numFmtId="2" fontId="0" fillId="0" borderId="0" xfId="0" applyNumberFormat="1" applyFill="1" applyBorder="1" applyProtection="1">
      <protection locked="0"/>
    </xf>
    <xf numFmtId="0" fontId="13" fillId="0" borderId="0" xfId="0" applyFont="1" applyBorder="1" applyAlignment="1">
      <alignment horizontal="center" vertical="center" wrapText="1"/>
    </xf>
    <xf numFmtId="0" fontId="0" fillId="0" borderId="2" xfId="0" applyBorder="1" applyAlignment="1">
      <alignment horizontal="center"/>
    </xf>
    <xf numFmtId="0" fontId="0" fillId="0" borderId="12" xfId="0" applyBorder="1" applyAlignment="1">
      <alignment horizontal="center"/>
    </xf>
    <xf numFmtId="1" fontId="0" fillId="0" borderId="0" xfId="0" applyNumberFormat="1" applyFill="1" applyBorder="1" applyAlignment="1" applyProtection="1">
      <alignment horizontal="center"/>
      <protection locked="0"/>
    </xf>
    <xf numFmtId="1" fontId="0" fillId="0" borderId="6" xfId="0" applyNumberFormat="1" applyFill="1" applyBorder="1" applyAlignment="1" applyProtection="1">
      <alignment horizontal="center"/>
      <protection locked="0"/>
    </xf>
    <xf numFmtId="0" fontId="0" fillId="7" borderId="17" xfId="0" applyFill="1" applyBorder="1" applyAlignment="1" applyProtection="1">
      <alignment horizontal="center" vertical="center"/>
      <protection locked="0"/>
    </xf>
    <xf numFmtId="0" fontId="0" fillId="0" borderId="0" xfId="0" applyBorder="1" applyAlignment="1">
      <alignment vertical="center"/>
    </xf>
    <xf numFmtId="1" fontId="0" fillId="0" borderId="2" xfId="0" applyNumberFormat="1" applyFill="1" applyBorder="1" applyAlignment="1" applyProtection="1">
      <alignment horizontal="center"/>
      <protection locked="0"/>
    </xf>
    <xf numFmtId="1" fontId="0" fillId="0" borderId="12" xfId="0" applyNumberFormat="1" applyFill="1" applyBorder="1" applyAlignment="1" applyProtection="1">
      <alignment horizontal="center"/>
      <protection locked="0"/>
    </xf>
    <xf numFmtId="0" fontId="0" fillId="0" borderId="0" xfId="0" applyBorder="1" applyAlignment="1">
      <alignment vertical="center" wrapText="1"/>
    </xf>
    <xf numFmtId="0" fontId="0" fillId="6" borderId="0" xfId="0" applyFill="1" applyBorder="1"/>
    <xf numFmtId="0" fontId="0" fillId="0" borderId="0" xfId="0" applyFill="1" applyBorder="1" applyAlignment="1">
      <alignment vertical="center"/>
    </xf>
    <xf numFmtId="2" fontId="0" fillId="0" borderId="0" xfId="0" applyNumberFormat="1" applyFill="1" applyBorder="1" applyAlignment="1">
      <alignment horizontal="center"/>
    </xf>
    <xf numFmtId="2" fontId="0" fillId="0" borderId="6" xfId="0" applyNumberFormat="1" applyFill="1" applyBorder="1" applyAlignment="1">
      <alignment horizontal="center"/>
    </xf>
    <xf numFmtId="0" fontId="1" fillId="0" borderId="8" xfId="0" applyFont="1" applyBorder="1" applyAlignment="1"/>
    <xf numFmtId="0" fontId="0" fillId="0" borderId="0" xfId="0" applyFill="1" applyBorder="1" applyAlignment="1" applyProtection="1">
      <alignment horizontal="center"/>
      <protection locked="0"/>
    </xf>
    <xf numFmtId="0" fontId="1" fillId="0" borderId="0" xfId="0" applyFont="1" applyFill="1" applyBorder="1" applyAlignment="1">
      <alignment vertical="center" wrapText="1"/>
    </xf>
    <xf numFmtId="0" fontId="0" fillId="0" borderId="0" xfId="0" applyFill="1" applyBorder="1" applyProtection="1">
      <protection locked="0"/>
    </xf>
    <xf numFmtId="0" fontId="14" fillId="0" borderId="0" xfId="0" applyFont="1"/>
    <xf numFmtId="0" fontId="4" fillId="0" borderId="0" xfId="0" applyFont="1"/>
    <xf numFmtId="0" fontId="3" fillId="0" borderId="0" xfId="0" applyFont="1" applyAlignment="1">
      <alignment vertical="center"/>
    </xf>
    <xf numFmtId="0" fontId="16" fillId="0" borderId="0" xfId="0" applyFont="1" applyFill="1"/>
    <xf numFmtId="0" fontId="17" fillId="0" borderId="0" xfId="0" applyFont="1" applyFill="1"/>
    <xf numFmtId="2" fontId="0" fillId="0" borderId="4" xfId="0" applyNumberFormat="1" applyFont="1" applyBorder="1" applyAlignment="1">
      <alignment horizontal="center"/>
    </xf>
    <xf numFmtId="2" fontId="0" fillId="0" borderId="7" xfId="0" applyNumberFormat="1" applyFont="1" applyBorder="1" applyAlignment="1">
      <alignment horizontal="center"/>
    </xf>
    <xf numFmtId="0" fontId="4" fillId="0" borderId="0" xfId="0" applyFont="1" applyBorder="1" applyAlignment="1">
      <alignment horizontal="left"/>
    </xf>
    <xf numFmtId="0" fontId="4" fillId="0" borderId="0" xfId="0" applyFont="1" applyBorder="1" applyAlignment="1">
      <alignment vertical="center"/>
    </xf>
    <xf numFmtId="2" fontId="0" fillId="0" borderId="0" xfId="0" quotePrefix="1" applyNumberFormat="1" applyFill="1" applyBorder="1" applyAlignment="1">
      <alignment horizontal="center"/>
    </xf>
    <xf numFmtId="2" fontId="0" fillId="0" borderId="4" xfId="0" quotePrefix="1" applyNumberFormat="1" applyFill="1" applyBorder="1" applyAlignment="1">
      <alignment horizontal="center"/>
    </xf>
    <xf numFmtId="2" fontId="0" fillId="0" borderId="4" xfId="0" applyNumberFormat="1" applyFill="1" applyBorder="1" applyAlignment="1">
      <alignment horizontal="center"/>
    </xf>
    <xf numFmtId="0" fontId="0" fillId="0" borderId="5" xfId="0" applyFont="1" applyFill="1" applyBorder="1"/>
    <xf numFmtId="2" fontId="0" fillId="0" borderId="7" xfId="0" applyNumberFormat="1" applyFill="1" applyBorder="1" applyAlignment="1">
      <alignment horizontal="center"/>
    </xf>
    <xf numFmtId="0" fontId="0" fillId="0" borderId="5" xfId="0" applyFill="1" applyBorder="1"/>
    <xf numFmtId="2" fontId="0" fillId="0" borderId="6" xfId="0" quotePrefix="1" applyNumberFormat="1" applyFill="1" applyBorder="1" applyAlignment="1">
      <alignment horizontal="center"/>
    </xf>
    <xf numFmtId="2" fontId="0" fillId="0" borderId="7" xfId="0" quotePrefix="1" applyNumberFormat="1" applyFill="1" applyBorder="1" applyAlignment="1">
      <alignment horizontal="center"/>
    </xf>
    <xf numFmtId="0" fontId="1" fillId="0" borderId="0" xfId="0" applyFont="1" applyFill="1" applyAlignment="1">
      <alignment horizontal="left"/>
    </xf>
    <xf numFmtId="0" fontId="19" fillId="0" borderId="0" xfId="0" applyFont="1" applyAlignment="1">
      <alignment vertical="center"/>
    </xf>
    <xf numFmtId="0" fontId="19" fillId="0" borderId="0" xfId="0" applyFont="1"/>
    <xf numFmtId="0" fontId="1" fillId="7" borderId="17" xfId="0" applyFont="1" applyFill="1" applyBorder="1" applyAlignment="1">
      <alignment wrapText="1"/>
    </xf>
    <xf numFmtId="0" fontId="1" fillId="8" borderId="17" xfId="0" applyFont="1" applyFill="1" applyBorder="1" applyAlignment="1">
      <alignment wrapText="1"/>
    </xf>
    <xf numFmtId="0" fontId="0" fillId="9" borderId="17" xfId="0" applyFill="1" applyBorder="1" applyAlignment="1">
      <alignment wrapText="1"/>
    </xf>
    <xf numFmtId="0" fontId="0" fillId="10" borderId="17" xfId="0" applyFill="1" applyBorder="1" applyAlignment="1" applyProtection="1">
      <alignment horizontal="center"/>
      <protection locked="0"/>
    </xf>
    <xf numFmtId="0" fontId="0" fillId="10" borderId="25" xfId="0" applyFill="1" applyBorder="1" applyAlignment="1" applyProtection="1">
      <alignment horizontal="center"/>
      <protection locked="0"/>
    </xf>
    <xf numFmtId="0" fontId="0" fillId="10" borderId="17" xfId="0" applyFill="1" applyBorder="1" applyAlignment="1">
      <alignment wrapText="1"/>
    </xf>
    <xf numFmtId="0" fontId="0" fillId="0" borderId="0" xfId="0" applyFill="1" applyAlignment="1">
      <alignment wrapText="1"/>
    </xf>
    <xf numFmtId="0" fontId="0" fillId="5" borderId="17"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protection locked="0"/>
    </xf>
    <xf numFmtId="0" fontId="0" fillId="5" borderId="25" xfId="0" applyFont="1" applyFill="1" applyBorder="1" applyAlignment="1" applyProtection="1">
      <alignment horizontal="center"/>
      <protection locked="0"/>
    </xf>
    <xf numFmtId="0" fontId="0" fillId="5" borderId="37" xfId="0" applyFont="1" applyFill="1" applyBorder="1" applyAlignment="1" applyProtection="1">
      <alignment horizontal="center"/>
      <protection locked="0"/>
    </xf>
    <xf numFmtId="0" fontId="0" fillId="5" borderId="41" xfId="0" applyFont="1" applyFill="1" applyBorder="1" applyAlignment="1" applyProtection="1">
      <alignment horizontal="center"/>
      <protection locked="0"/>
    </xf>
    <xf numFmtId="0" fontId="0" fillId="5" borderId="17" xfId="0" applyFont="1" applyFill="1" applyBorder="1" applyAlignment="1">
      <alignment wrapText="1"/>
    </xf>
    <xf numFmtId="0" fontId="9" fillId="0" borderId="17" xfId="0" applyFont="1" applyFill="1" applyBorder="1" applyAlignment="1">
      <alignment vertical="center" wrapText="1"/>
    </xf>
    <xf numFmtId="0" fontId="0" fillId="0" borderId="34" xfId="0" applyBorder="1"/>
    <xf numFmtId="0" fontId="0" fillId="0" borderId="26" xfId="0" applyBorder="1"/>
    <xf numFmtId="0" fontId="0" fillId="0" borderId="35" xfId="0" applyBorder="1"/>
    <xf numFmtId="0" fontId="19" fillId="0" borderId="0" xfId="0" applyFont="1" applyAlignment="1"/>
    <xf numFmtId="0" fontId="18" fillId="0" borderId="18" xfId="0" applyFont="1" applyBorder="1" applyAlignment="1">
      <alignment horizontal="left" vertical="center" wrapText="1"/>
    </xf>
    <xf numFmtId="0" fontId="18" fillId="0" borderId="17" xfId="0" applyFont="1" applyBorder="1" applyAlignment="1">
      <alignment vertical="center" wrapText="1"/>
    </xf>
    <xf numFmtId="0" fontId="9" fillId="0" borderId="17" xfId="0" applyFont="1" applyBorder="1" applyAlignment="1">
      <alignment vertical="center" wrapText="1"/>
    </xf>
    <xf numFmtId="0" fontId="18" fillId="0" borderId="17" xfId="0" applyFont="1" applyBorder="1" applyAlignment="1">
      <alignment horizontal="left" vertical="center" wrapText="1"/>
    </xf>
    <xf numFmtId="0" fontId="4" fillId="0" borderId="0" xfId="0" applyFont="1" applyAlignment="1"/>
    <xf numFmtId="0" fontId="21" fillId="0" borderId="0" xfId="0" applyFont="1"/>
    <xf numFmtId="0" fontId="22" fillId="0" borderId="0" xfId="0" applyFont="1"/>
    <xf numFmtId="0" fontId="23" fillId="0" borderId="0" xfId="0" applyFont="1"/>
    <xf numFmtId="0" fontId="9" fillId="0" borderId="0" xfId="0" applyFont="1" applyAlignment="1">
      <alignment vertical="center" wrapText="1"/>
    </xf>
    <xf numFmtId="0" fontId="9" fillId="0" borderId="20" xfId="0" applyFont="1" applyBorder="1" applyAlignment="1">
      <alignment vertical="center" wrapText="1"/>
    </xf>
    <xf numFmtId="0" fontId="1" fillId="0" borderId="23" xfId="0" applyFont="1" applyBorder="1" applyAlignment="1">
      <alignment vertical="center" wrapText="1"/>
    </xf>
    <xf numFmtId="0" fontId="18" fillId="0" borderId="17" xfId="0" applyFont="1" applyBorder="1" applyAlignment="1">
      <alignment horizontal="left" vertical="center" wrapText="1"/>
    </xf>
    <xf numFmtId="0" fontId="3" fillId="6" borderId="0" xfId="0" applyFont="1" applyFill="1" applyAlignment="1">
      <alignment horizontal="left"/>
    </xf>
    <xf numFmtId="3" fontId="0" fillId="9" borderId="17" xfId="0" applyNumberFormat="1" applyFill="1" applyBorder="1" applyAlignment="1" applyProtection="1">
      <alignment horizontal="center"/>
      <protection locked="0"/>
    </xf>
    <xf numFmtId="3" fontId="0" fillId="9" borderId="25" xfId="0" applyNumberFormat="1" applyFill="1" applyBorder="1" applyAlignment="1" applyProtection="1">
      <alignment horizontal="center"/>
      <protection locked="0"/>
    </xf>
    <xf numFmtId="2" fontId="16" fillId="0" borderId="4" xfId="0" quotePrefix="1" applyNumberFormat="1" applyFont="1" applyBorder="1" applyAlignment="1">
      <alignment horizontal="center"/>
    </xf>
    <xf numFmtId="0" fontId="0" fillId="0" borderId="3" xfId="0" applyBorder="1" applyAlignment="1">
      <alignment horizontal="left"/>
    </xf>
    <xf numFmtId="0" fontId="0" fillId="0" borderId="5" xfId="0" applyBorder="1" applyAlignment="1">
      <alignment horizontal="left"/>
    </xf>
    <xf numFmtId="0" fontId="1" fillId="0" borderId="8" xfId="0" applyFont="1" applyBorder="1" applyAlignment="1">
      <alignment horizontal="left" wrapText="1"/>
    </xf>
    <xf numFmtId="2" fontId="0" fillId="0" borderId="0" xfId="0" applyNumberFormat="1" applyFont="1" applyBorder="1" applyAlignment="1">
      <alignment horizontal="center"/>
    </xf>
    <xf numFmtId="2" fontId="0" fillId="0" borderId="6" xfId="0" applyNumberFormat="1" applyFont="1" applyBorder="1" applyAlignment="1">
      <alignment horizontal="center"/>
    </xf>
    <xf numFmtId="0" fontId="16" fillId="7" borderId="17" xfId="0" applyFont="1" applyFill="1" applyBorder="1" applyAlignment="1" applyProtection="1">
      <alignment horizontal="center" vertical="center"/>
      <protection locked="0"/>
    </xf>
    <xf numFmtId="0" fontId="25" fillId="0" borderId="17" xfId="0" applyFont="1" applyFill="1" applyBorder="1" applyAlignment="1">
      <alignment vertical="center" wrapText="1"/>
    </xf>
    <xf numFmtId="0" fontId="25" fillId="0" borderId="17" xfId="0" applyFont="1" applyFill="1" applyBorder="1" applyAlignment="1">
      <alignment horizontal="center" vertical="center" wrapText="1"/>
    </xf>
    <xf numFmtId="0" fontId="0" fillId="7" borderId="45" xfId="0" applyFont="1" applyFill="1" applyBorder="1" applyAlignment="1" applyProtection="1">
      <alignment horizontal="center" vertical="center" wrapText="1"/>
      <protection locked="0"/>
    </xf>
    <xf numFmtId="0" fontId="0" fillId="7" borderId="37" xfId="0" applyFont="1" applyFill="1" applyBorder="1" applyAlignment="1" applyProtection="1">
      <alignment horizontal="center" vertical="center" wrapText="1"/>
      <protection locked="0"/>
    </xf>
    <xf numFmtId="0" fontId="5" fillId="7" borderId="45" xfId="0" applyFont="1" applyFill="1" applyBorder="1" applyAlignment="1" applyProtection="1">
      <alignment horizontal="center" vertical="center" wrapText="1"/>
      <protection locked="0"/>
    </xf>
    <xf numFmtId="0" fontId="5" fillId="7" borderId="37" xfId="0" applyFont="1" applyFill="1" applyBorder="1" applyAlignment="1" applyProtection="1">
      <alignment horizontal="center" vertical="center" wrapText="1"/>
      <protection locked="0"/>
    </xf>
    <xf numFmtId="0" fontId="0" fillId="7" borderId="46" xfId="0" applyFont="1" applyFill="1" applyBorder="1" applyAlignment="1" applyProtection="1">
      <alignment horizontal="center" vertical="center" wrapText="1"/>
      <protection locked="0"/>
    </xf>
    <xf numFmtId="0" fontId="0" fillId="7" borderId="41" xfId="0" applyFont="1" applyFill="1" applyBorder="1" applyAlignment="1" applyProtection="1">
      <alignment horizontal="center" vertical="center" wrapText="1"/>
      <protection locked="0"/>
    </xf>
    <xf numFmtId="0" fontId="0" fillId="0" borderId="0" xfId="0"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wrapText="1"/>
    </xf>
    <xf numFmtId="0" fontId="27"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0" xfId="0" applyFont="1" applyFill="1" applyBorder="1" applyAlignment="1">
      <alignment horizontal="left" vertical="center"/>
    </xf>
    <xf numFmtId="0" fontId="0" fillId="0" borderId="0" xfId="0" applyFont="1" applyFill="1" applyAlignment="1"/>
    <xf numFmtId="0" fontId="28" fillId="0" borderId="0" xfId="0" applyFont="1" applyAlignment="1">
      <alignment vertical="center" wrapText="1"/>
    </xf>
    <xf numFmtId="0" fontId="29" fillId="0" borderId="0" xfId="0" applyFont="1" applyFill="1" applyAlignment="1">
      <alignment horizontal="center" vertical="center" wrapText="1"/>
    </xf>
    <xf numFmtId="0" fontId="29" fillId="12" borderId="0" xfId="0" applyFont="1" applyFill="1" applyAlignment="1">
      <alignment horizontal="center" vertical="center" wrapText="1"/>
    </xf>
    <xf numFmtId="0" fontId="28" fillId="0" borderId="0" xfId="0" applyFont="1" applyAlignment="1">
      <alignment horizontal="center" vertical="center" wrapText="1"/>
    </xf>
    <xf numFmtId="0" fontId="14" fillId="0" borderId="17" xfId="0" applyFont="1" applyBorder="1" applyAlignment="1">
      <alignment horizontal="center" vertical="center"/>
    </xf>
    <xf numFmtId="0" fontId="29" fillId="0" borderId="0" xfId="0" applyFont="1" applyFill="1" applyBorder="1" applyAlignment="1">
      <alignment horizontal="center" vertical="center" wrapText="1"/>
    </xf>
    <xf numFmtId="0" fontId="28" fillId="13" borderId="0" xfId="0" applyFont="1" applyFill="1" applyAlignment="1">
      <alignment horizontal="center" vertical="center" wrapText="1"/>
    </xf>
    <xf numFmtId="0" fontId="28" fillId="13" borderId="17" xfId="0" applyFont="1" applyFill="1" applyBorder="1" applyAlignment="1">
      <alignment horizontal="center" vertical="center" wrapText="1"/>
    </xf>
    <xf numFmtId="0" fontId="28" fillId="0" borderId="0" xfId="0" applyFont="1" applyAlignment="1">
      <alignment vertical="center"/>
    </xf>
    <xf numFmtId="0" fontId="0" fillId="13" borderId="17" xfId="0" applyFont="1" applyFill="1" applyBorder="1" applyAlignment="1">
      <alignment horizontal="center" wrapText="1"/>
    </xf>
    <xf numFmtId="0" fontId="30" fillId="0" borderId="0" xfId="0" applyFont="1"/>
    <xf numFmtId="0" fontId="31" fillId="0" borderId="0" xfId="0" applyFont="1" applyBorder="1" applyAlignment="1">
      <alignment vertical="center" wrapText="1"/>
    </xf>
    <xf numFmtId="0" fontId="31" fillId="0" borderId="2"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31" fillId="0" borderId="2" xfId="0" applyFont="1" applyBorder="1" applyAlignment="1">
      <alignment horizontal="center" vertical="center" wrapText="1"/>
    </xf>
    <xf numFmtId="0" fontId="24" fillId="0" borderId="42" xfId="0" applyFont="1" applyFill="1" applyBorder="1" applyAlignment="1" applyProtection="1">
      <alignment horizontal="center" vertical="center" wrapText="1"/>
      <protection locked="0"/>
    </xf>
    <xf numFmtId="0" fontId="29" fillId="12" borderId="17" xfId="0" applyFont="1" applyFill="1" applyBorder="1" applyAlignment="1">
      <alignment horizontal="center" vertical="center" wrapText="1"/>
    </xf>
    <xf numFmtId="6" fontId="29" fillId="12" borderId="17" xfId="0" applyNumberFormat="1" applyFont="1" applyFill="1" applyBorder="1" applyAlignment="1">
      <alignment horizontal="center" vertical="center" wrapText="1"/>
    </xf>
    <xf numFmtId="166" fontId="29" fillId="12" borderId="17" xfId="0" applyNumberFormat="1" applyFont="1" applyFill="1" applyBorder="1" applyAlignment="1">
      <alignment horizontal="center" vertical="center" wrapText="1"/>
    </xf>
    <xf numFmtId="0" fontId="0" fillId="0" borderId="0" xfId="0" applyFont="1" applyAlignment="1"/>
    <xf numFmtId="0" fontId="0" fillId="13" borderId="17" xfId="0" applyFont="1" applyFill="1" applyBorder="1" applyAlignment="1">
      <alignment horizontal="center"/>
    </xf>
    <xf numFmtId="0" fontId="33" fillId="0" borderId="0" xfId="0" applyFont="1" applyAlignment="1">
      <alignment vertical="center" wrapText="1"/>
    </xf>
    <xf numFmtId="0" fontId="34" fillId="0" borderId="26" xfId="0" applyFont="1" applyFill="1" applyBorder="1" applyAlignment="1">
      <alignment horizontal="center" vertical="center" wrapText="1"/>
    </xf>
    <xf numFmtId="0" fontId="34" fillId="12" borderId="0" xfId="0" applyFont="1" applyFill="1" applyAlignment="1">
      <alignment horizontal="center" vertical="center" wrapText="1"/>
    </xf>
    <xf numFmtId="0" fontId="33" fillId="13" borderId="2" xfId="0" applyFont="1" applyFill="1" applyBorder="1" applyAlignment="1">
      <alignment horizontal="center" vertical="center" wrapText="1"/>
    </xf>
    <xf numFmtId="0" fontId="33" fillId="13" borderId="0" xfId="0" applyFont="1" applyFill="1" applyAlignment="1">
      <alignment horizontal="center" vertical="center" wrapText="1"/>
    </xf>
    <xf numFmtId="0" fontId="33" fillId="13" borderId="17" xfId="0" applyFont="1" applyFill="1" applyBorder="1" applyAlignment="1">
      <alignment horizontal="center" vertical="center" wrapText="1"/>
    </xf>
    <xf numFmtId="0" fontId="35" fillId="13" borderId="2" xfId="0" applyFont="1" applyFill="1" applyBorder="1" applyAlignment="1">
      <alignment horizontal="center" vertical="center" wrapText="1"/>
    </xf>
    <xf numFmtId="0" fontId="35" fillId="13" borderId="17" xfId="0" applyFont="1" applyFill="1" applyBorder="1" applyAlignment="1">
      <alignment horizontal="center" vertical="center" wrapText="1"/>
    </xf>
    <xf numFmtId="0" fontId="35" fillId="0" borderId="0" xfId="0" applyFont="1" applyAlignment="1">
      <alignment vertical="center"/>
    </xf>
    <xf numFmtId="0" fontId="36" fillId="0" borderId="17" xfId="0" applyFont="1" applyFill="1" applyBorder="1" applyAlignment="1">
      <alignment vertical="center" wrapText="1"/>
    </xf>
    <xf numFmtId="0" fontId="37" fillId="0" borderId="0" xfId="0" applyFont="1" applyFill="1" applyAlignment="1"/>
    <xf numFmtId="0" fontId="38" fillId="0" borderId="0" xfId="0" applyFont="1" applyFill="1" applyAlignment="1"/>
    <xf numFmtId="0" fontId="37" fillId="11" borderId="0" xfId="0" applyFont="1" applyFill="1" applyAlignment="1"/>
    <xf numFmtId="0" fontId="37" fillId="4" borderId="0" xfId="0" applyFont="1" applyFill="1" applyAlignment="1"/>
    <xf numFmtId="0" fontId="39" fillId="0" borderId="0" xfId="0" applyFont="1" applyFill="1" applyAlignment="1"/>
    <xf numFmtId="0" fontId="40" fillId="0" borderId="0" xfId="0" applyFont="1" applyFill="1" applyAlignment="1"/>
    <xf numFmtId="3" fontId="29" fillId="12" borderId="17" xfId="0" applyNumberFormat="1" applyFont="1" applyFill="1" applyBorder="1" applyAlignment="1">
      <alignment horizontal="center" vertical="center" wrapText="1"/>
    </xf>
    <xf numFmtId="3" fontId="41" fillId="12" borderId="37" xfId="0" applyNumberFormat="1" applyFont="1" applyFill="1" applyBorder="1" applyAlignment="1" applyProtection="1">
      <alignment horizontal="center" vertical="center" wrapText="1"/>
      <protection locked="0"/>
    </xf>
    <xf numFmtId="0" fontId="36" fillId="0" borderId="18" xfId="0" applyNumberFormat="1" applyFont="1" applyFill="1" applyBorder="1" applyAlignment="1">
      <alignment vertical="center" wrapText="1"/>
    </xf>
    <xf numFmtId="0" fontId="41" fillId="0" borderId="42" xfId="0" applyNumberFormat="1" applyFont="1" applyFill="1" applyBorder="1" applyAlignment="1" applyProtection="1">
      <alignment horizontal="center" vertical="center" wrapText="1"/>
      <protection locked="0"/>
    </xf>
    <xf numFmtId="0" fontId="36" fillId="0" borderId="23" xfId="0" applyNumberFormat="1" applyFont="1" applyFill="1" applyBorder="1" applyAlignment="1">
      <alignment vertical="center" wrapText="1"/>
    </xf>
    <xf numFmtId="0" fontId="41" fillId="0" borderId="47" xfId="0" applyNumberFormat="1" applyFont="1" applyFill="1" applyBorder="1" applyAlignment="1" applyProtection="1">
      <alignment horizontal="center" vertical="center" wrapText="1"/>
      <protection locked="0"/>
    </xf>
    <xf numFmtId="3" fontId="41" fillId="12" borderId="48" xfId="0" applyNumberFormat="1"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2" fillId="0" borderId="42" xfId="0" applyFont="1" applyFill="1" applyBorder="1" applyAlignment="1" applyProtection="1">
      <alignment horizontal="center" vertical="center" wrapText="1"/>
      <protection locked="0"/>
    </xf>
    <xf numFmtId="0" fontId="29" fillId="0" borderId="0" xfId="0" applyFont="1" applyFill="1" applyAlignment="1">
      <alignment horizontal="center" vertical="center"/>
    </xf>
    <xf numFmtId="0" fontId="29" fillId="12" borderId="0" xfId="0" applyFont="1" applyFill="1" applyAlignment="1">
      <alignment horizontal="center" vertical="center"/>
    </xf>
    <xf numFmtId="0" fontId="28" fillId="0" borderId="0" xfId="0" applyFont="1" applyAlignment="1">
      <alignment horizontal="center" vertical="center"/>
    </xf>
    <xf numFmtId="0" fontId="43" fillId="0" borderId="0" xfId="0" applyFont="1" applyFill="1" applyAlignment="1">
      <alignment horizontal="center" vertical="center"/>
    </xf>
    <xf numFmtId="0" fontId="43" fillId="12" borderId="0" xfId="0" applyFont="1" applyFill="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43" fillId="0" borderId="0" xfId="0" applyFont="1" applyFill="1" applyAlignment="1">
      <alignment vertical="center"/>
    </xf>
    <xf numFmtId="0" fontId="43" fillId="12" borderId="0" xfId="0" applyFont="1" applyFill="1" applyAlignment="1">
      <alignment vertical="center"/>
    </xf>
    <xf numFmtId="0" fontId="0" fillId="0" borderId="17" xfId="0" applyBorder="1" applyAlignment="1">
      <alignment horizontal="center" vertical="center"/>
    </xf>
    <xf numFmtId="0" fontId="0" fillId="0" borderId="37" xfId="0" applyBorder="1" applyAlignment="1">
      <alignment horizontal="center" vertical="center"/>
    </xf>
    <xf numFmtId="0" fontId="0" fillId="0" borderId="41" xfId="0" applyBorder="1" applyAlignment="1">
      <alignment horizontal="center" vertical="center"/>
    </xf>
    <xf numFmtId="0" fontId="1" fillId="0" borderId="53" xfId="0" applyFont="1" applyBorder="1" applyAlignment="1">
      <alignment horizontal="center" vertical="center" wrapText="1"/>
    </xf>
    <xf numFmtId="0" fontId="25" fillId="0" borderId="45" xfId="0" applyFont="1" applyFill="1" applyBorder="1" applyAlignment="1">
      <alignment vertical="center" wrapText="1"/>
    </xf>
    <xf numFmtId="0" fontId="25" fillId="0" borderId="46" xfId="0" applyFont="1" applyFill="1" applyBorder="1" applyAlignment="1">
      <alignment vertical="center" wrapText="1"/>
    </xf>
    <xf numFmtId="2" fontId="0" fillId="7" borderId="17" xfId="0" applyNumberFormat="1" applyFont="1" applyFill="1" applyBorder="1" applyAlignment="1" applyProtection="1">
      <alignment horizontal="center"/>
      <protection locked="0"/>
    </xf>
    <xf numFmtId="0" fontId="1" fillId="0" borderId="3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vertical="center" wrapText="1"/>
    </xf>
    <xf numFmtId="0" fontId="1" fillId="0" borderId="11" xfId="0" applyFont="1" applyFill="1" applyBorder="1" applyAlignment="1">
      <alignment horizontal="center" vertical="center" wrapText="1"/>
    </xf>
    <xf numFmtId="2" fontId="0" fillId="7" borderId="25" xfId="0" applyNumberFormat="1" applyFont="1" applyFill="1" applyBorder="1" applyAlignment="1" applyProtection="1">
      <alignment horizontal="center"/>
      <protection locked="0"/>
    </xf>
    <xf numFmtId="1" fontId="0" fillId="0" borderId="2" xfId="0" applyNumberFormat="1" applyFont="1" applyFill="1" applyBorder="1" applyAlignment="1" applyProtection="1">
      <alignment horizontal="center"/>
      <protection locked="0"/>
    </xf>
    <xf numFmtId="1" fontId="0" fillId="0" borderId="0" xfId="0" applyNumberFormat="1" applyFont="1" applyFill="1" applyBorder="1" applyAlignment="1" applyProtection="1">
      <alignment horizontal="center"/>
      <protection locked="0"/>
    </xf>
    <xf numFmtId="0" fontId="0" fillId="10" borderId="17" xfId="0" applyFont="1" applyFill="1" applyBorder="1" applyAlignment="1" applyProtection="1">
      <alignment horizontal="center"/>
      <protection locked="0"/>
    </xf>
    <xf numFmtId="2" fontId="0" fillId="0" borderId="4" xfId="0" quotePrefix="1" applyNumberFormat="1" applyFont="1" applyBorder="1" applyAlignment="1">
      <alignment horizontal="center"/>
    </xf>
    <xf numFmtId="0" fontId="1" fillId="0" borderId="0" xfId="0" applyFont="1" applyBorder="1" applyAlignment="1"/>
    <xf numFmtId="0" fontId="0" fillId="0" borderId="0" xfId="0" applyBorder="1" applyAlignment="1">
      <alignment horizontal="center" vertical="center"/>
    </xf>
    <xf numFmtId="2" fontId="0" fillId="0" borderId="0" xfId="0" applyNumberFormat="1" applyBorder="1" applyAlignment="1">
      <alignment horizontal="center" vertical="center"/>
    </xf>
    <xf numFmtId="2" fontId="0" fillId="0" borderId="6" xfId="0" applyNumberFormat="1" applyBorder="1" applyAlignment="1">
      <alignment horizontal="center" vertical="center"/>
    </xf>
    <xf numFmtId="0" fontId="1" fillId="0" borderId="0" xfId="0" applyFont="1" applyBorder="1" applyAlignment="1">
      <alignment vertical="center"/>
    </xf>
    <xf numFmtId="0" fontId="15" fillId="14" borderId="17" xfId="0" applyFont="1" applyFill="1" applyBorder="1" applyAlignment="1">
      <alignment horizontal="center" vertical="center"/>
    </xf>
    <xf numFmtId="0" fontId="14" fillId="0" borderId="17" xfId="0" applyFont="1" applyBorder="1" applyAlignment="1">
      <alignment horizontal="left" vertical="center"/>
    </xf>
    <xf numFmtId="0" fontId="14" fillId="0" borderId="17" xfId="0" applyFont="1" applyBorder="1" applyAlignment="1">
      <alignment horizontal="center"/>
    </xf>
    <xf numFmtId="0" fontId="14" fillId="0" borderId="17" xfId="0" applyFont="1" applyFill="1" applyBorder="1" applyAlignment="1">
      <alignment horizontal="center"/>
    </xf>
    <xf numFmtId="0" fontId="14" fillId="11" borderId="17" xfId="0" applyFont="1" applyFill="1" applyBorder="1" applyAlignment="1">
      <alignment horizontal="center"/>
    </xf>
    <xf numFmtId="0" fontId="0" fillId="7" borderId="37" xfId="0" applyFill="1" applyBorder="1" applyAlignment="1">
      <alignment horizontal="center"/>
    </xf>
    <xf numFmtId="0" fontId="0" fillId="7" borderId="37" xfId="0" applyFill="1" applyBorder="1" applyAlignment="1" applyProtection="1">
      <alignment horizontal="center" vertical="center"/>
      <protection locked="0"/>
    </xf>
    <xf numFmtId="0" fontId="25" fillId="0" borderId="45" xfId="0" applyNumberFormat="1" applyFont="1" applyFill="1" applyBorder="1" applyAlignment="1">
      <alignment vertical="center" wrapText="1"/>
    </xf>
    <xf numFmtId="0" fontId="25" fillId="0" borderId="46" xfId="0" applyNumberFormat="1" applyFont="1" applyFill="1" applyBorder="1" applyAlignment="1">
      <alignment vertical="center" wrapText="1"/>
    </xf>
    <xf numFmtId="0" fontId="0" fillId="7" borderId="41" xfId="0" applyFill="1" applyBorder="1" applyAlignment="1">
      <alignment horizontal="center"/>
    </xf>
    <xf numFmtId="0" fontId="0" fillId="2" borderId="45" xfId="0" applyFill="1" applyBorder="1" applyAlignment="1" applyProtection="1">
      <alignment horizontal="center" vertical="center"/>
      <protection locked="0"/>
    </xf>
    <xf numFmtId="0" fontId="16" fillId="2" borderId="45" xfId="0" applyFont="1" applyFill="1" applyBorder="1" applyAlignment="1" applyProtection="1">
      <alignment horizontal="center" vertical="center"/>
      <protection locked="0"/>
    </xf>
    <xf numFmtId="0" fontId="25" fillId="0"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ill="1" applyBorder="1" applyAlignment="1">
      <alignment wrapText="1"/>
    </xf>
    <xf numFmtId="0" fontId="16" fillId="0" borderId="0" xfId="0" applyFont="1" applyFill="1" applyBorder="1" applyAlignment="1">
      <alignment wrapText="1"/>
    </xf>
    <xf numFmtId="0" fontId="34" fillId="12" borderId="17" xfId="0" applyFont="1" applyFill="1" applyBorder="1" applyAlignment="1">
      <alignment horizontal="center" vertical="center" wrapText="1"/>
    </xf>
    <xf numFmtId="0" fontId="32" fillId="12" borderId="17" xfId="0" applyFont="1" applyFill="1" applyBorder="1" applyAlignment="1">
      <alignment horizontal="center" vertical="center" wrapText="1"/>
    </xf>
    <xf numFmtId="0" fontId="24" fillId="0" borderId="17" xfId="0" applyFont="1" applyFill="1" applyBorder="1" applyAlignment="1" applyProtection="1">
      <alignment horizontal="center" vertical="center" wrapText="1"/>
      <protection locked="0"/>
    </xf>
    <xf numFmtId="0" fontId="28" fillId="0" borderId="17" xfId="0" applyFont="1" applyBorder="1" applyAlignment="1">
      <alignment horizontal="center" vertical="center"/>
    </xf>
    <xf numFmtId="0" fontId="24" fillId="11" borderId="17" xfId="0" applyFont="1" applyFill="1" applyBorder="1" applyAlignment="1" applyProtection="1">
      <alignment horizontal="center" vertical="center" wrapText="1"/>
      <protection locked="0"/>
    </xf>
    <xf numFmtId="0" fontId="0" fillId="3" borderId="17" xfId="0" applyFill="1" applyBorder="1" applyAlignment="1">
      <alignment horizontal="center" vertical="center"/>
    </xf>
    <xf numFmtId="0" fontId="29" fillId="11" borderId="17" xfId="0" applyFont="1" applyFill="1" applyBorder="1" applyAlignment="1">
      <alignment horizontal="center" vertical="center" wrapText="1"/>
    </xf>
    <xf numFmtId="0" fontId="0" fillId="0" borderId="0" xfId="0" applyAlignment="1">
      <alignment vertical="top" wrapText="1"/>
    </xf>
    <xf numFmtId="0" fontId="0" fillId="0" borderId="16" xfId="0" applyBorder="1" applyAlignment="1">
      <alignment vertical="top" wrapText="1"/>
    </xf>
    <xf numFmtId="0" fontId="47" fillId="0" borderId="17" xfId="0" applyNumberFormat="1" applyFont="1" applyFill="1" applyBorder="1" applyAlignment="1">
      <alignment wrapText="1"/>
    </xf>
    <xf numFmtId="0" fontId="45" fillId="16" borderId="17" xfId="0" applyFont="1" applyFill="1" applyBorder="1" applyAlignment="1">
      <alignment horizontal="center" vertical="center" wrapText="1"/>
    </xf>
    <xf numFmtId="0" fontId="44" fillId="16" borderId="17" xfId="0" applyFont="1" applyFill="1" applyBorder="1" applyAlignment="1">
      <alignment horizontal="center" vertical="center" wrapText="1"/>
    </xf>
    <xf numFmtId="0" fontId="46" fillId="15" borderId="17" xfId="0" applyFont="1" applyFill="1" applyBorder="1" applyAlignment="1">
      <alignment horizontal="center" vertical="center"/>
    </xf>
    <xf numFmtId="0" fontId="46" fillId="15" borderId="17" xfId="0" applyFont="1" applyFill="1" applyBorder="1" applyAlignment="1">
      <alignment horizontal="center" vertical="center" wrapText="1"/>
    </xf>
    <xf numFmtId="0" fontId="28" fillId="7" borderId="34" xfId="0" applyFont="1" applyFill="1" applyBorder="1" applyAlignment="1">
      <alignment horizontal="center" vertical="center" wrapText="1"/>
    </xf>
    <xf numFmtId="0" fontId="33" fillId="7" borderId="17" xfId="0" applyFont="1" applyFill="1" applyBorder="1" applyAlignment="1">
      <alignment horizontal="center" vertical="center" wrapText="1"/>
    </xf>
    <xf numFmtId="0" fontId="28" fillId="7" borderId="0" xfId="0" applyFont="1" applyFill="1" applyAlignment="1">
      <alignment horizontal="center" vertical="center" wrapText="1"/>
    </xf>
    <xf numFmtId="0" fontId="31" fillId="7" borderId="17"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35" fillId="7" borderId="17" xfId="0" applyFont="1" applyFill="1" applyBorder="1" applyAlignment="1">
      <alignment horizontal="center" vertical="center" wrapText="1"/>
    </xf>
    <xf numFmtId="0" fontId="0" fillId="7" borderId="34" xfId="0" applyFont="1" applyFill="1" applyBorder="1" applyAlignment="1">
      <alignment horizontal="center" vertical="center" wrapText="1"/>
    </xf>
    <xf numFmtId="0" fontId="14" fillId="0" borderId="17" xfId="0" applyFont="1" applyFill="1" applyBorder="1" applyAlignment="1">
      <alignment horizontal="center" vertical="center"/>
    </xf>
    <xf numFmtId="0" fontId="28" fillId="0" borderId="17" xfId="0" applyFont="1" applyFill="1" applyBorder="1" applyAlignment="1">
      <alignment horizontal="center" vertical="center"/>
    </xf>
    <xf numFmtId="0" fontId="25" fillId="0" borderId="17" xfId="0" applyFont="1" applyFill="1" applyBorder="1" applyAlignment="1">
      <alignment horizontal="center" vertical="center"/>
    </xf>
    <xf numFmtId="0" fontId="0" fillId="0" borderId="17" xfId="0" applyFill="1" applyBorder="1" applyAlignment="1">
      <alignment horizontal="center" vertical="center"/>
    </xf>
    <xf numFmtId="0" fontId="36" fillId="15" borderId="17" xfId="0" applyFont="1" applyFill="1" applyBorder="1" applyAlignment="1">
      <alignment vertical="center"/>
    </xf>
    <xf numFmtId="0" fontId="36" fillId="16" borderId="17" xfId="0" applyFont="1" applyFill="1" applyBorder="1" applyAlignment="1">
      <alignment horizontal="center" vertical="center" wrapText="1"/>
    </xf>
    <xf numFmtId="0" fontId="36" fillId="16" borderId="17" xfId="0" applyFont="1" applyFill="1" applyBorder="1" applyAlignment="1">
      <alignment horizontal="center" vertical="center"/>
    </xf>
    <xf numFmtId="0" fontId="1" fillId="17" borderId="17" xfId="0" applyFont="1" applyFill="1" applyBorder="1" applyAlignment="1">
      <alignment horizontal="center" vertical="center"/>
    </xf>
    <xf numFmtId="0" fontId="16" fillId="0" borderId="37" xfId="0" applyFont="1" applyBorder="1" applyAlignment="1">
      <alignment horizontal="center" vertical="center"/>
    </xf>
    <xf numFmtId="2" fontId="16" fillId="0" borderId="4" xfId="0" applyNumberFormat="1" applyFont="1" applyBorder="1" applyAlignment="1">
      <alignment horizontal="center"/>
    </xf>
    <xf numFmtId="0" fontId="16" fillId="7" borderId="45"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3" fillId="6" borderId="0" xfId="0" applyFont="1" applyFill="1" applyAlignment="1">
      <alignment horizontal="left"/>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center" vertical="center" wrapText="1"/>
    </xf>
    <xf numFmtId="1" fontId="0" fillId="0" borderId="0" xfId="0" quotePrefix="1" applyNumberFormat="1" applyFont="1" applyBorder="1" applyAlignment="1">
      <alignment horizontal="center"/>
    </xf>
    <xf numFmtId="1" fontId="0" fillId="0" borderId="3" xfId="0" quotePrefix="1" applyNumberFormat="1" applyFont="1" applyBorder="1" applyAlignment="1">
      <alignment horizontal="center"/>
    </xf>
    <xf numFmtId="1" fontId="0" fillId="0" borderId="4" xfId="0" quotePrefix="1" applyNumberFormat="1" applyFont="1" applyBorder="1" applyAlignment="1">
      <alignment horizontal="center"/>
    </xf>
    <xf numFmtId="0" fontId="0" fillId="0" borderId="0" xfId="0" applyFont="1" applyBorder="1" applyAlignment="1">
      <alignment horizontal="center"/>
    </xf>
    <xf numFmtId="0" fontId="0" fillId="0" borderId="4" xfId="0" applyFont="1" applyBorder="1" applyAlignment="1">
      <alignment horizontal="center"/>
    </xf>
    <xf numFmtId="1" fontId="0" fillId="0" borderId="6" xfId="0" quotePrefix="1" applyNumberFormat="1" applyFont="1" applyBorder="1" applyAlignment="1">
      <alignment horizontal="center"/>
    </xf>
    <xf numFmtId="0" fontId="0" fillId="0" borderId="6" xfId="0" applyFont="1" applyBorder="1" applyAlignment="1">
      <alignment horizontal="center"/>
    </xf>
    <xf numFmtId="1" fontId="0" fillId="0" borderId="5" xfId="0" quotePrefix="1" applyNumberFormat="1" applyFont="1" applyBorder="1" applyAlignment="1">
      <alignment horizontal="center"/>
    </xf>
    <xf numFmtId="0" fontId="0" fillId="0" borderId="7" xfId="0" applyFont="1" applyBorder="1" applyAlignment="1">
      <alignment horizontal="center"/>
    </xf>
    <xf numFmtId="9" fontId="0" fillId="0" borderId="3" xfId="1" quotePrefix="1" applyFont="1" applyBorder="1" applyAlignment="1">
      <alignment horizontal="center"/>
    </xf>
    <xf numFmtId="9" fontId="0" fillId="0" borderId="4" xfId="1" quotePrefix="1" applyFont="1" applyBorder="1" applyAlignment="1">
      <alignment horizontal="center"/>
    </xf>
    <xf numFmtId="9" fontId="0" fillId="0" borderId="5" xfId="1" quotePrefix="1" applyFont="1" applyBorder="1" applyAlignment="1">
      <alignment horizontal="center"/>
    </xf>
    <xf numFmtId="9" fontId="0" fillId="0" borderId="7" xfId="1" quotePrefix="1" applyFont="1" applyBorder="1" applyAlignment="1">
      <alignment horizontal="center"/>
    </xf>
    <xf numFmtId="9" fontId="0" fillId="0" borderId="62" xfId="1" quotePrefix="1" applyFont="1" applyBorder="1" applyAlignment="1">
      <alignment horizontal="center"/>
    </xf>
    <xf numFmtId="9" fontId="0" fillId="0" borderId="63" xfId="1" quotePrefix="1" applyFont="1" applyBorder="1" applyAlignment="1">
      <alignment horizontal="center"/>
    </xf>
    <xf numFmtId="0" fontId="1" fillId="0" borderId="9" xfId="0" applyFont="1" applyBorder="1" applyAlignment="1">
      <alignment horizontal="center" vertical="center" wrapText="1"/>
    </xf>
    <xf numFmtId="0" fontId="0" fillId="0" borderId="6" xfId="0" applyBorder="1"/>
    <xf numFmtId="2" fontId="0" fillId="0" borderId="1" xfId="0" applyNumberFormat="1" applyFont="1" applyFill="1" applyBorder="1" applyAlignment="1" applyProtection="1">
      <alignment horizontal="center"/>
    </xf>
    <xf numFmtId="2" fontId="50" fillId="0" borderId="1" xfId="0" applyNumberFormat="1" applyFont="1" applyFill="1" applyBorder="1" applyAlignment="1" applyProtection="1">
      <alignment horizontal="center"/>
    </xf>
    <xf numFmtId="2" fontId="0" fillId="0" borderId="0" xfId="0" applyNumberFormat="1" applyFont="1" applyFill="1" applyBorder="1" applyAlignment="1" applyProtection="1">
      <alignment horizontal="center"/>
    </xf>
    <xf numFmtId="2" fontId="50" fillId="0" borderId="0" xfId="0" applyNumberFormat="1" applyFont="1" applyFill="1" applyBorder="1" applyAlignment="1" applyProtection="1">
      <alignment horizontal="center"/>
    </xf>
    <xf numFmtId="2" fontId="0" fillId="0" borderId="0" xfId="0" quotePrefix="1" applyNumberFormat="1" applyFont="1" applyFill="1" applyBorder="1" applyAlignment="1">
      <alignment horizontal="center"/>
    </xf>
    <xf numFmtId="2" fontId="0" fillId="0" borderId="0" xfId="0" applyNumberFormat="1" applyFont="1" applyFill="1" applyBorder="1" applyAlignment="1">
      <alignment horizontal="center"/>
    </xf>
    <xf numFmtId="2" fontId="0" fillId="0" borderId="6" xfId="0" applyNumberFormat="1" applyFont="1" applyFill="1" applyBorder="1" applyAlignment="1">
      <alignment horizontal="center"/>
    </xf>
    <xf numFmtId="0" fontId="0" fillId="0" borderId="0" xfId="0" applyFont="1" applyAlignment="1">
      <alignment horizontal="center"/>
    </xf>
    <xf numFmtId="2" fontId="0" fillId="0" borderId="6" xfId="0" quotePrefix="1" applyNumberFormat="1" applyFont="1" applyFill="1" applyBorder="1" applyAlignment="1">
      <alignment horizontal="center"/>
    </xf>
    <xf numFmtId="0" fontId="0" fillId="0" borderId="0" xfId="0" applyFill="1" applyAlignment="1">
      <alignment vertical="center" wrapText="1"/>
    </xf>
    <xf numFmtId="0" fontId="16" fillId="6" borderId="0" xfId="0" applyFont="1" applyFill="1"/>
    <xf numFmtId="0" fontId="25" fillId="0" borderId="15" xfId="0" applyFont="1" applyFill="1" applyBorder="1" applyAlignment="1">
      <alignment vertical="center" wrapText="1"/>
    </xf>
    <xf numFmtId="0" fontId="25" fillId="0" borderId="40" xfId="0" applyFont="1" applyFill="1" applyBorder="1" applyAlignment="1">
      <alignment vertical="center" wrapText="1"/>
    </xf>
    <xf numFmtId="0" fontId="0" fillId="2" borderId="40" xfId="0" applyFill="1" applyBorder="1" applyAlignment="1" applyProtection="1">
      <alignment horizontal="center" vertical="center"/>
      <protection locked="0"/>
    </xf>
    <xf numFmtId="0" fontId="0" fillId="7" borderId="26" xfId="0" applyFill="1" applyBorder="1" applyAlignment="1" applyProtection="1">
      <alignment horizontal="center" vertical="center"/>
      <protection locked="0"/>
    </xf>
    <xf numFmtId="0" fontId="16" fillId="0" borderId="65" xfId="0" applyFont="1" applyBorder="1" applyAlignment="1">
      <alignment horizontal="center" vertical="center"/>
    </xf>
    <xf numFmtId="0" fontId="16" fillId="2" borderId="40" xfId="0" applyFont="1" applyFill="1" applyBorder="1" applyAlignment="1" applyProtection="1">
      <alignment horizontal="center" vertical="center"/>
      <protection locked="0"/>
    </xf>
    <xf numFmtId="0" fontId="16" fillId="7" borderId="26" xfId="0" applyFont="1" applyFill="1" applyBorder="1" applyAlignment="1" applyProtection="1">
      <alignment horizontal="center" vertical="center"/>
      <protection locked="0"/>
    </xf>
    <xf numFmtId="0" fontId="0" fillId="7" borderId="40" xfId="0" applyFont="1" applyFill="1" applyBorder="1" applyAlignment="1" applyProtection="1">
      <alignment horizontal="center" vertical="center" wrapText="1"/>
      <protection locked="0"/>
    </xf>
    <xf numFmtId="0" fontId="0" fillId="7" borderId="65" xfId="0" applyFont="1" applyFill="1" applyBorder="1" applyAlignment="1" applyProtection="1">
      <alignment horizontal="center" vertical="center" wrapText="1"/>
      <protection locked="0"/>
    </xf>
    <xf numFmtId="0" fontId="1" fillId="6" borderId="27" xfId="0" applyFont="1" applyFill="1" applyBorder="1" applyAlignment="1">
      <alignment vertical="center" wrapText="1"/>
    </xf>
    <xf numFmtId="0" fontId="1" fillId="6" borderId="28" xfId="0" applyFont="1" applyFill="1" applyBorder="1" applyAlignment="1">
      <alignment vertical="center" wrapText="1"/>
    </xf>
    <xf numFmtId="0" fontId="1" fillId="6" borderId="8" xfId="0" applyFont="1" applyFill="1" applyBorder="1" applyAlignment="1">
      <alignment horizontal="center" wrapText="1"/>
    </xf>
    <xf numFmtId="0" fontId="1" fillId="6" borderId="10" xfId="0" applyFont="1" applyFill="1" applyBorder="1" applyAlignment="1">
      <alignment horizontal="center" wrapText="1"/>
    </xf>
    <xf numFmtId="0" fontId="1" fillId="6" borderId="6" xfId="0" applyFont="1" applyFill="1" applyBorder="1" applyAlignment="1">
      <alignment wrapText="1"/>
    </xf>
    <xf numFmtId="0" fontId="1" fillId="6" borderId="7" xfId="0" applyFont="1" applyFill="1" applyBorder="1" applyAlignment="1">
      <alignment vertical="center" wrapText="1"/>
    </xf>
    <xf numFmtId="0" fontId="1" fillId="6" borderId="15" xfId="0" applyFont="1" applyFill="1" applyBorder="1" applyAlignment="1">
      <alignment horizontal="center" vertical="center" wrapText="1"/>
    </xf>
    <xf numFmtId="0" fontId="1" fillId="6" borderId="36"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69" xfId="0" applyFont="1" applyFill="1" applyBorder="1" applyAlignment="1">
      <alignment wrapText="1"/>
    </xf>
    <xf numFmtId="0" fontId="1" fillId="6" borderId="49" xfId="0" applyFont="1" applyFill="1" applyBorder="1" applyAlignment="1">
      <alignment horizontal="center" vertical="center" wrapText="1"/>
    </xf>
    <xf numFmtId="0" fontId="1" fillId="6" borderId="69" xfId="0" applyFont="1" applyFill="1" applyBorder="1" applyAlignment="1">
      <alignment horizontal="left" wrapText="1"/>
    </xf>
    <xf numFmtId="2" fontId="1" fillId="6" borderId="53" xfId="0" quotePrefix="1" applyNumberFormat="1" applyFont="1" applyFill="1" applyBorder="1" applyAlignment="1">
      <alignment horizontal="center" wrapText="1"/>
    </xf>
    <xf numFmtId="0" fontId="1" fillId="6" borderId="12" xfId="0" applyFont="1" applyFill="1" applyBorder="1" applyAlignment="1">
      <alignment horizontal="center" vertical="center" wrapText="1"/>
    </xf>
    <xf numFmtId="0" fontId="1" fillId="6" borderId="63" xfId="0" applyFont="1" applyFill="1" applyBorder="1" applyAlignment="1">
      <alignment horizontal="center" vertical="center" wrapText="1"/>
    </xf>
    <xf numFmtId="0" fontId="1" fillId="6" borderId="46"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6" xfId="0" applyFont="1" applyFill="1" applyBorder="1" applyAlignment="1">
      <alignment vertical="center" wrapText="1"/>
    </xf>
    <xf numFmtId="0" fontId="1" fillId="6" borderId="54" xfId="0" applyFont="1" applyFill="1" applyBorder="1" applyAlignment="1">
      <alignment horizontal="center" vertical="center" wrapText="1"/>
    </xf>
    <xf numFmtId="0" fontId="1" fillId="6" borderId="2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pplyProtection="1">
      <alignment horizontal="center" vertical="center" wrapText="1"/>
      <protection locked="0"/>
    </xf>
    <xf numFmtId="0" fontId="48" fillId="6" borderId="66" xfId="0" applyFont="1" applyFill="1" applyBorder="1" applyAlignment="1" applyProtection="1">
      <alignment horizontal="center" vertical="center" wrapText="1"/>
      <protection locked="0"/>
    </xf>
    <xf numFmtId="0" fontId="0" fillId="4" borderId="0" xfId="0" applyFill="1"/>
    <xf numFmtId="0" fontId="1" fillId="6" borderId="50" xfId="0" applyFont="1" applyFill="1" applyBorder="1" applyAlignment="1">
      <alignment horizontal="left" wrapText="1"/>
    </xf>
    <xf numFmtId="0" fontId="1" fillId="6" borderId="67" xfId="0" applyFont="1" applyFill="1" applyBorder="1" applyAlignment="1">
      <alignment horizontal="center" vertical="center" wrapText="1"/>
    </xf>
    <xf numFmtId="0" fontId="0" fillId="7" borderId="65" xfId="0" applyFill="1" applyBorder="1" applyAlignment="1">
      <alignment horizontal="center"/>
    </xf>
    <xf numFmtId="0" fontId="0" fillId="7" borderId="40" xfId="0" applyFill="1" applyBorder="1" applyAlignment="1">
      <alignment horizontal="center"/>
    </xf>
    <xf numFmtId="0" fontId="0" fillId="7" borderId="45" xfId="0" applyFill="1" applyBorder="1" applyAlignment="1">
      <alignment horizontal="center"/>
    </xf>
    <xf numFmtId="0" fontId="0" fillId="7" borderId="45" xfId="0" applyFill="1" applyBorder="1" applyAlignment="1" applyProtection="1">
      <alignment horizontal="center" vertical="center"/>
      <protection locked="0"/>
    </xf>
    <xf numFmtId="0" fontId="0" fillId="7" borderId="46" xfId="0" applyFill="1" applyBorder="1" applyAlignment="1">
      <alignment horizontal="center"/>
    </xf>
    <xf numFmtId="0" fontId="25" fillId="0" borderId="43" xfId="0" applyFont="1" applyFill="1" applyBorder="1" applyAlignment="1">
      <alignment vertical="center" wrapText="1"/>
    </xf>
    <xf numFmtId="0" fontId="1" fillId="6" borderId="52" xfId="0" applyFont="1" applyFill="1" applyBorder="1" applyAlignment="1">
      <alignment horizontal="center" vertical="center" wrapText="1"/>
    </xf>
    <xf numFmtId="0" fontId="1" fillId="6" borderId="44" xfId="0" applyFont="1" applyFill="1" applyBorder="1" applyAlignment="1">
      <alignment horizontal="center" vertical="center" wrapText="1"/>
    </xf>
    <xf numFmtId="2" fontId="1" fillId="6" borderId="53" xfId="0" quotePrefix="1" applyNumberFormat="1" applyFont="1" applyFill="1" applyBorder="1" applyAlignment="1">
      <alignment horizontal="center" vertical="center" wrapText="1"/>
    </xf>
    <xf numFmtId="0" fontId="0" fillId="7" borderId="40" xfId="0" applyFill="1" applyBorder="1" applyAlignment="1">
      <alignment horizontal="center" vertical="center"/>
    </xf>
    <xf numFmtId="0" fontId="0" fillId="7" borderId="26" xfId="0" applyFill="1" applyBorder="1" applyAlignment="1">
      <alignment horizontal="center" vertical="center"/>
    </xf>
    <xf numFmtId="0" fontId="0" fillId="7" borderId="65" xfId="0" applyFill="1" applyBorder="1" applyAlignment="1">
      <alignment horizontal="center" vertical="center"/>
    </xf>
    <xf numFmtId="0" fontId="0" fillId="7" borderId="61" xfId="0" applyFill="1" applyBorder="1" applyAlignment="1">
      <alignment horizontal="center" vertical="center"/>
    </xf>
    <xf numFmtId="0" fontId="0" fillId="7" borderId="45" xfId="0" applyFill="1" applyBorder="1" applyAlignment="1">
      <alignment horizontal="center" vertical="center"/>
    </xf>
    <xf numFmtId="0" fontId="0" fillId="7" borderId="17" xfId="0" applyFill="1" applyBorder="1" applyAlignment="1">
      <alignment horizontal="center" vertical="center"/>
    </xf>
    <xf numFmtId="0" fontId="0" fillId="7" borderId="37" xfId="0" applyFill="1" applyBorder="1" applyAlignment="1">
      <alignment horizontal="center" vertical="center"/>
    </xf>
    <xf numFmtId="0" fontId="0" fillId="7" borderId="42" xfId="0" applyFill="1" applyBorder="1" applyAlignment="1">
      <alignment horizontal="center" vertical="center"/>
    </xf>
    <xf numFmtId="0" fontId="0" fillId="7" borderId="46" xfId="0" applyFill="1" applyBorder="1" applyAlignment="1">
      <alignment horizontal="center" vertical="center"/>
    </xf>
    <xf numFmtId="0" fontId="0" fillId="7" borderId="25" xfId="0" applyFill="1" applyBorder="1" applyAlignment="1">
      <alignment horizontal="center" vertical="center"/>
    </xf>
    <xf numFmtId="0" fontId="0" fillId="7" borderId="41" xfId="0" applyFill="1" applyBorder="1" applyAlignment="1">
      <alignment horizontal="center" vertical="center"/>
    </xf>
    <xf numFmtId="0" fontId="0" fillId="7" borderId="54" xfId="0" applyFill="1" applyBorder="1" applyAlignment="1">
      <alignment horizontal="center" vertical="center"/>
    </xf>
    <xf numFmtId="0" fontId="0" fillId="7" borderId="24" xfId="0" applyFill="1" applyBorder="1" applyAlignment="1">
      <alignment horizontal="center" vertical="center"/>
    </xf>
    <xf numFmtId="0" fontId="0" fillId="7" borderId="18" xfId="0" applyFill="1" applyBorder="1" applyAlignment="1">
      <alignment horizontal="center" vertical="center"/>
    </xf>
    <xf numFmtId="0" fontId="0" fillId="7" borderId="57" xfId="0" applyFill="1" applyBorder="1" applyAlignment="1">
      <alignment horizontal="center" vertical="center"/>
    </xf>
    <xf numFmtId="0" fontId="0" fillId="7" borderId="44" xfId="0" applyFill="1" applyBorder="1" applyAlignment="1">
      <alignment horizontal="center" vertical="center"/>
    </xf>
    <xf numFmtId="0" fontId="0" fillId="7" borderId="64" xfId="0" applyFill="1" applyBorder="1" applyAlignment="1">
      <alignment horizontal="center" vertical="center"/>
    </xf>
    <xf numFmtId="0" fontId="0" fillId="7" borderId="68" xfId="0" applyFill="1" applyBorder="1" applyAlignment="1">
      <alignment horizontal="center" vertical="center"/>
    </xf>
    <xf numFmtId="0" fontId="25" fillId="0" borderId="0" xfId="0" applyNumberFormat="1" applyFont="1" applyFill="1" applyBorder="1" applyAlignment="1">
      <alignment vertical="center" wrapText="1"/>
    </xf>
    <xf numFmtId="0" fontId="0" fillId="8" borderId="17" xfId="0" applyFill="1" applyBorder="1" applyAlignment="1">
      <alignment horizontal="center" vertical="center"/>
    </xf>
    <xf numFmtId="0" fontId="0" fillId="8" borderId="25" xfId="0" applyFill="1" applyBorder="1" applyAlignment="1">
      <alignment horizontal="center" vertical="center"/>
    </xf>
    <xf numFmtId="0" fontId="0" fillId="8" borderId="45" xfId="0" applyFill="1" applyBorder="1" applyAlignment="1">
      <alignment horizontal="center" vertical="center"/>
    </xf>
    <xf numFmtId="0" fontId="0" fillId="8" borderId="46" xfId="0" applyFill="1" applyBorder="1" applyAlignment="1">
      <alignment horizontal="center" vertical="center"/>
    </xf>
    <xf numFmtId="0" fontId="48" fillId="6" borderId="56" xfId="0" applyFont="1" applyFill="1" applyBorder="1" applyAlignment="1">
      <alignment horizontal="center" vertical="center" wrapText="1"/>
    </xf>
    <xf numFmtId="0" fontId="0" fillId="7" borderId="53" xfId="0" applyFill="1" applyBorder="1" applyAlignment="1">
      <alignment horizontal="center" vertical="center"/>
    </xf>
    <xf numFmtId="0" fontId="0" fillId="8" borderId="37" xfId="0" applyFill="1" applyBorder="1" applyAlignment="1">
      <alignment horizontal="center" vertical="center"/>
    </xf>
    <xf numFmtId="0" fontId="0" fillId="8" borderId="41" xfId="0" applyFill="1" applyBorder="1" applyAlignment="1">
      <alignment horizontal="center" vertical="center"/>
    </xf>
    <xf numFmtId="0" fontId="16" fillId="0" borderId="41" xfId="0" applyFont="1" applyBorder="1" applyAlignment="1">
      <alignment horizontal="center" vertical="center"/>
    </xf>
    <xf numFmtId="2" fontId="0" fillId="0" borderId="7" xfId="0" quotePrefix="1" applyNumberFormat="1" applyFont="1" applyBorder="1" applyAlignment="1">
      <alignment horizontal="center"/>
    </xf>
    <xf numFmtId="0" fontId="0" fillId="0" borderId="0" xfId="0" applyFont="1" applyFill="1" applyBorder="1" applyAlignment="1">
      <alignment horizontal="center"/>
    </xf>
    <xf numFmtId="2" fontId="0" fillId="0" borderId="3" xfId="0" applyNumberFormat="1" applyBorder="1" applyAlignment="1">
      <alignment horizontal="center"/>
    </xf>
    <xf numFmtId="2" fontId="0" fillId="0" borderId="5" xfId="0" applyNumberFormat="1" applyBorder="1" applyAlignment="1">
      <alignment horizontal="center"/>
    </xf>
    <xf numFmtId="2" fontId="0" fillId="7" borderId="45" xfId="0" applyNumberFormat="1" applyFill="1" applyBorder="1" applyAlignment="1" applyProtection="1">
      <alignment horizontal="center"/>
      <protection locked="0"/>
    </xf>
    <xf numFmtId="0" fontId="1" fillId="0" borderId="0" xfId="0" quotePrefix="1" applyFont="1"/>
    <xf numFmtId="2" fontId="0" fillId="7" borderId="45" xfId="0" applyNumberFormat="1" applyFont="1" applyFill="1" applyBorder="1" applyAlignment="1" applyProtection="1">
      <alignment horizontal="center"/>
      <protection locked="0"/>
    </xf>
    <xf numFmtId="2" fontId="0" fillId="7" borderId="46" xfId="0" applyNumberFormat="1" applyFont="1" applyFill="1" applyBorder="1" applyAlignment="1" applyProtection="1">
      <alignment horizontal="center"/>
      <protection locked="0"/>
    </xf>
    <xf numFmtId="2" fontId="16" fillId="0" borderId="7" xfId="0" quotePrefix="1" applyNumberFormat="1" applyFont="1" applyBorder="1" applyAlignment="1">
      <alignment horizontal="center"/>
    </xf>
    <xf numFmtId="0" fontId="25" fillId="8" borderId="17"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9" xfId="0" applyFont="1" applyBorder="1" applyAlignment="1">
      <alignment horizontal="center" vertical="center" wrapText="1"/>
    </xf>
    <xf numFmtId="0" fontId="1" fillId="6" borderId="70" xfId="0" applyFont="1" applyFill="1" applyBorder="1" applyAlignment="1">
      <alignment wrapText="1"/>
    </xf>
    <xf numFmtId="0" fontId="1" fillId="6" borderId="71" xfId="0" applyFont="1" applyFill="1" applyBorder="1" applyAlignment="1">
      <alignment wrapText="1"/>
    </xf>
    <xf numFmtId="0" fontId="1" fillId="6" borderId="52" xfId="0" applyFont="1" applyFill="1" applyBorder="1" applyAlignment="1">
      <alignment horizontal="center" wrapText="1"/>
    </xf>
    <xf numFmtId="2" fontId="0" fillId="7" borderId="19" xfId="0" applyNumberFormat="1" applyFill="1" applyBorder="1" applyAlignment="1" applyProtection="1">
      <alignment horizontal="center"/>
      <protection locked="0"/>
    </xf>
    <xf numFmtId="2" fontId="0" fillId="8" borderId="25" xfId="0" applyNumberFormat="1" applyFill="1" applyBorder="1" applyAlignment="1" applyProtection="1">
      <alignment horizontal="center"/>
      <protection locked="0"/>
    </xf>
    <xf numFmtId="2" fontId="0" fillId="0" borderId="0" xfId="0" applyNumberFormat="1" applyFill="1"/>
    <xf numFmtId="0" fontId="0" fillId="6" borderId="17" xfId="0" applyFill="1" applyBorder="1" applyAlignment="1">
      <alignment horizontal="center" vertical="center"/>
    </xf>
    <xf numFmtId="0" fontId="48" fillId="0" borderId="9" xfId="0" applyFont="1" applyFill="1" applyBorder="1" applyAlignment="1">
      <alignment horizontal="center" vertical="center" wrapText="1"/>
    </xf>
    <xf numFmtId="2" fontId="16" fillId="0" borderId="0" xfId="0" quotePrefix="1" applyNumberFormat="1" applyFont="1" applyFill="1" applyBorder="1" applyAlignment="1">
      <alignment horizontal="center"/>
    </xf>
    <xf numFmtId="2" fontId="16" fillId="0" borderId="0" xfId="0" applyNumberFormat="1" applyFont="1" applyFill="1" applyBorder="1" applyAlignment="1">
      <alignment horizontal="center"/>
    </xf>
    <xf numFmtId="2" fontId="16" fillId="0" borderId="6" xfId="0" applyNumberFormat="1" applyFont="1" applyFill="1" applyBorder="1" applyAlignment="1">
      <alignment horizontal="center"/>
    </xf>
    <xf numFmtId="2" fontId="16" fillId="0" borderId="6" xfId="0" quotePrefix="1" applyNumberFormat="1" applyFont="1" applyFill="1" applyBorder="1" applyAlignment="1">
      <alignment horizontal="center"/>
    </xf>
    <xf numFmtId="2" fontId="0" fillId="0" borderId="6" xfId="0" applyNumberFormat="1" applyFont="1" applyFill="1" applyBorder="1" applyAlignment="1" applyProtection="1">
      <alignment horizontal="center"/>
    </xf>
    <xf numFmtId="0" fontId="0" fillId="0" borderId="73" xfId="0" applyFont="1" applyFill="1" applyBorder="1" applyProtection="1"/>
    <xf numFmtId="0" fontId="0" fillId="0" borderId="3" xfId="0" applyFont="1" applyFill="1" applyBorder="1" applyProtection="1"/>
    <xf numFmtId="0" fontId="1" fillId="0" borderId="31" xfId="0" applyFont="1" applyBorder="1" applyAlignment="1" applyProtection="1">
      <alignment vertical="center" wrapText="1"/>
      <protection locked="0"/>
    </xf>
    <xf numFmtId="0" fontId="1" fillId="0" borderId="27"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0" fontId="0" fillId="0" borderId="5" xfId="0" applyFont="1" applyFill="1" applyBorder="1" applyProtection="1"/>
    <xf numFmtId="1" fontId="16" fillId="0" borderId="6" xfId="0" applyNumberFormat="1" applyFont="1" applyFill="1" applyBorder="1" applyAlignment="1" applyProtection="1">
      <alignment horizontal="center"/>
    </xf>
    <xf numFmtId="2" fontId="16" fillId="0" borderId="6" xfId="0" applyNumberFormat="1" applyFont="1" applyFill="1" applyBorder="1" applyAlignment="1" applyProtection="1">
      <alignment horizontal="center"/>
    </xf>
    <xf numFmtId="2" fontId="50" fillId="0" borderId="6" xfId="0" applyNumberFormat="1" applyFont="1" applyFill="1" applyBorder="1" applyAlignment="1" applyProtection="1">
      <alignment horizontal="center"/>
    </xf>
    <xf numFmtId="1" fontId="16" fillId="0" borderId="0" xfId="0" applyNumberFormat="1" applyFont="1" applyFill="1" applyBorder="1" applyAlignment="1" applyProtection="1">
      <alignment horizontal="center"/>
    </xf>
    <xf numFmtId="0" fontId="0" fillId="0" borderId="4" xfId="0" applyFont="1" applyFill="1" applyBorder="1" applyAlignment="1" applyProtection="1">
      <alignment horizontal="center"/>
    </xf>
    <xf numFmtId="2" fontId="16" fillId="0" borderId="0" xfId="0" applyNumberFormat="1" applyFont="1" applyFill="1" applyBorder="1" applyAlignment="1" applyProtection="1">
      <alignment horizontal="center"/>
    </xf>
    <xf numFmtId="0" fontId="0" fillId="0" borderId="7" xfId="0" applyFont="1" applyFill="1" applyBorder="1" applyAlignment="1" applyProtection="1">
      <alignment horizontal="center"/>
    </xf>
    <xf numFmtId="0" fontId="0" fillId="6" borderId="0" xfId="0" applyFill="1" applyAlignment="1">
      <alignment horizontal="center"/>
    </xf>
    <xf numFmtId="0" fontId="0" fillId="6" borderId="0" xfId="0" applyFill="1" applyAlignment="1">
      <alignment vertical="center"/>
    </xf>
    <xf numFmtId="0" fontId="3" fillId="6" borderId="0" xfId="0" applyFont="1" applyFill="1" applyAlignment="1">
      <alignment vertical="center"/>
    </xf>
    <xf numFmtId="0" fontId="14" fillId="0" borderId="0" xfId="0" applyFont="1" applyFill="1"/>
    <xf numFmtId="1" fontId="0" fillId="0" borderId="0" xfId="0" quotePrefix="1" applyNumberFormat="1" applyFill="1" applyBorder="1" applyAlignment="1">
      <alignment horizontal="center"/>
    </xf>
    <xf numFmtId="1" fontId="16" fillId="0" borderId="0" xfId="0" quotePrefix="1" applyNumberFormat="1" applyFont="1" applyFill="1" applyBorder="1" applyAlignment="1">
      <alignment horizontal="center"/>
    </xf>
    <xf numFmtId="1" fontId="0" fillId="0" borderId="0" xfId="0" quotePrefix="1" applyNumberFormat="1" applyFont="1" applyFill="1" applyBorder="1" applyAlignment="1">
      <alignment horizontal="center"/>
    </xf>
    <xf numFmtId="1" fontId="0" fillId="0" borderId="4" xfId="0" quotePrefix="1" applyNumberFormat="1" applyFill="1" applyBorder="1" applyAlignment="1">
      <alignment horizontal="center"/>
    </xf>
    <xf numFmtId="1" fontId="0" fillId="0" borderId="0" xfId="0" applyNumberFormat="1" applyFont="1" applyAlignment="1">
      <alignment horizontal="center"/>
    </xf>
    <xf numFmtId="1" fontId="0" fillId="0" borderId="17" xfId="0" quotePrefix="1" applyNumberFormat="1" applyFill="1" applyBorder="1" applyAlignment="1">
      <alignment horizontal="center" vertical="center" wrapText="1"/>
    </xf>
    <xf numFmtId="1" fontId="0" fillId="0" borderId="37" xfId="0" quotePrefix="1" applyNumberFormat="1" applyFill="1" applyBorder="1" applyAlignment="1">
      <alignment horizontal="center" vertical="center" wrapText="1"/>
    </xf>
    <xf numFmtId="1" fontId="0" fillId="0" borderId="25" xfId="0" quotePrefix="1" applyNumberFormat="1" applyFill="1" applyBorder="1" applyAlignment="1">
      <alignment horizontal="center" vertical="center" wrapText="1"/>
    </xf>
    <xf numFmtId="1" fontId="0" fillId="0" borderId="41" xfId="0" quotePrefix="1" applyNumberFormat="1" applyFill="1" applyBorder="1" applyAlignment="1">
      <alignment horizontal="center" vertical="center" wrapText="1"/>
    </xf>
    <xf numFmtId="0" fontId="0" fillId="0" borderId="45" xfId="0" applyFill="1" applyBorder="1" applyAlignment="1">
      <alignment horizontal="center" vertical="center"/>
    </xf>
    <xf numFmtId="0" fontId="0" fillId="0" borderId="46" xfId="0" applyFill="1" applyBorder="1" applyAlignment="1">
      <alignment horizontal="center" vertical="center"/>
    </xf>
    <xf numFmtId="2" fontId="0" fillId="0" borderId="0" xfId="0" applyNumberFormat="1" applyFont="1" applyAlignment="1">
      <alignment horizontal="center"/>
    </xf>
    <xf numFmtId="0" fontId="0" fillId="0" borderId="9" xfId="0" applyBorder="1"/>
    <xf numFmtId="0" fontId="0" fillId="0" borderId="10" xfId="0" applyBorder="1"/>
    <xf numFmtId="0" fontId="0" fillId="0" borderId="0" xfId="0" applyBorder="1" applyAlignment="1">
      <alignment horizontal="center" wrapText="1"/>
    </xf>
    <xf numFmtId="2" fontId="0" fillId="0" borderId="0" xfId="0" applyNumberFormat="1" applyBorder="1" applyAlignment="1">
      <alignment horizont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vertical="center"/>
    </xf>
    <xf numFmtId="2" fontId="0" fillId="0" borderId="4" xfId="0" applyNumberFormat="1" applyBorder="1" applyAlignment="1">
      <alignment horizontal="center" vertical="center"/>
    </xf>
    <xf numFmtId="0" fontId="0" fillId="0" borderId="4" xfId="0" applyBorder="1" applyAlignment="1">
      <alignment horizontal="center" vertical="center"/>
    </xf>
    <xf numFmtId="0" fontId="0" fillId="10" borderId="37" xfId="0" applyFill="1" applyBorder="1" applyAlignment="1" applyProtection="1">
      <alignment horizontal="center"/>
      <protection locked="0"/>
    </xf>
    <xf numFmtId="0" fontId="0" fillId="10" borderId="41" xfId="0" applyFill="1" applyBorder="1" applyAlignment="1" applyProtection="1">
      <alignment horizontal="center"/>
      <protection locked="0"/>
    </xf>
    <xf numFmtId="0" fontId="1" fillId="0" borderId="52" xfId="0" applyFont="1" applyFill="1" applyBorder="1" applyAlignment="1">
      <alignment horizontal="center" vertical="center" wrapText="1"/>
    </xf>
    <xf numFmtId="0" fontId="1" fillId="0" borderId="10" xfId="0" applyFont="1" applyBorder="1" applyAlignment="1" applyProtection="1">
      <alignment horizontal="center" vertical="center" wrapText="1"/>
      <protection locked="0"/>
    </xf>
    <xf numFmtId="0" fontId="1" fillId="0" borderId="0" xfId="0" applyFont="1" applyFill="1" applyBorder="1" applyAlignment="1">
      <alignment horizontal="center" vertical="center" wrapText="1"/>
    </xf>
    <xf numFmtId="0" fontId="25" fillId="0" borderId="5" xfId="0" applyFont="1" applyFill="1" applyBorder="1" applyAlignment="1">
      <alignment vertical="center" wrapText="1"/>
    </xf>
    <xf numFmtId="0" fontId="25" fillId="0" borderId="6" xfId="0" applyFont="1" applyFill="1" applyBorder="1" applyAlignment="1">
      <alignment vertical="center" wrapText="1"/>
    </xf>
    <xf numFmtId="0" fontId="25" fillId="0" borderId="17" xfId="0" applyFont="1" applyFill="1" applyBorder="1" applyAlignment="1">
      <alignment vertical="center"/>
    </xf>
    <xf numFmtId="0" fontId="25" fillId="0" borderId="24" xfId="0" applyFont="1" applyFill="1" applyBorder="1" applyAlignment="1">
      <alignment vertical="center"/>
    </xf>
    <xf numFmtId="0" fontId="25" fillId="0" borderId="18" xfId="0" applyFont="1" applyFill="1" applyBorder="1" applyAlignment="1">
      <alignment vertical="center"/>
    </xf>
    <xf numFmtId="0" fontId="1" fillId="6" borderId="60" xfId="0" applyFont="1" applyFill="1" applyBorder="1" applyAlignment="1">
      <alignment wrapText="1"/>
    </xf>
    <xf numFmtId="0" fontId="25" fillId="0" borderId="33" xfId="0" applyFont="1" applyFill="1" applyBorder="1" applyAlignment="1">
      <alignment vertical="center" wrapText="1"/>
    </xf>
    <xf numFmtId="0" fontId="25" fillId="0" borderId="58" xfId="0" applyFont="1" applyFill="1" applyBorder="1" applyAlignment="1">
      <alignment vertical="center" wrapText="1"/>
    </xf>
    <xf numFmtId="0" fontId="0" fillId="7" borderId="39" xfId="0" applyFill="1" applyBorder="1" applyAlignment="1">
      <alignment horizontal="center" vertical="center"/>
    </xf>
    <xf numFmtId="0" fontId="25" fillId="0" borderId="33" xfId="0" applyFont="1" applyFill="1" applyBorder="1" applyAlignment="1">
      <alignment horizontal="right" vertical="center"/>
    </xf>
    <xf numFmtId="0" fontId="1" fillId="0" borderId="0" xfId="0" applyFont="1" applyBorder="1"/>
    <xf numFmtId="0" fontId="1" fillId="0" borderId="0" xfId="0" applyFont="1" applyBorder="1" applyAlignment="1">
      <alignment horizontal="left" wrapText="1"/>
    </xf>
    <xf numFmtId="0" fontId="25" fillId="0" borderId="52" xfId="0" applyFont="1" applyFill="1" applyBorder="1" applyAlignment="1">
      <alignment vertical="center"/>
    </xf>
    <xf numFmtId="0" fontId="25" fillId="0" borderId="11" xfId="0" applyFont="1" applyFill="1" applyBorder="1" applyAlignment="1">
      <alignment vertical="center"/>
    </xf>
    <xf numFmtId="0" fontId="0" fillId="7" borderId="43" xfId="0" applyFill="1" applyBorder="1" applyAlignment="1">
      <alignment horizontal="center" vertical="center"/>
    </xf>
    <xf numFmtId="0" fontId="0" fillId="7" borderId="52" xfId="0" applyFill="1" applyBorder="1" applyAlignment="1">
      <alignment horizontal="center" vertical="center"/>
    </xf>
    <xf numFmtId="0" fontId="1" fillId="6" borderId="27" xfId="0" applyFont="1" applyFill="1" applyBorder="1" applyAlignment="1">
      <alignment wrapText="1"/>
    </xf>
    <xf numFmtId="0" fontId="1" fillId="6" borderId="31" xfId="0" applyFont="1" applyFill="1" applyBorder="1" applyAlignment="1">
      <alignment wrapText="1"/>
    </xf>
    <xf numFmtId="0" fontId="1" fillId="6" borderId="5" xfId="0" applyFont="1" applyFill="1" applyBorder="1" applyAlignment="1">
      <alignment wrapText="1"/>
    </xf>
    <xf numFmtId="0" fontId="0" fillId="8" borderId="43" xfId="0" applyFill="1" applyBorder="1" applyAlignment="1">
      <alignment horizontal="center" vertical="center"/>
    </xf>
    <xf numFmtId="0" fontId="0" fillId="0" borderId="44" xfId="0" applyBorder="1" applyAlignment="1">
      <alignment horizontal="center" vertical="center"/>
    </xf>
    <xf numFmtId="0" fontId="1" fillId="6" borderId="28" xfId="0" applyFont="1" applyFill="1" applyBorder="1" applyAlignment="1">
      <alignment wrapText="1"/>
    </xf>
    <xf numFmtId="0" fontId="1" fillId="6" borderId="7" xfId="0" applyFont="1" applyFill="1" applyBorder="1" applyAlignment="1">
      <alignment wrapText="1"/>
    </xf>
    <xf numFmtId="0" fontId="1" fillId="0" borderId="8" xfId="0" applyFont="1" applyBorder="1"/>
    <xf numFmtId="0" fontId="0" fillId="0" borderId="1" xfId="0" applyBorder="1"/>
    <xf numFmtId="0" fontId="0" fillId="0" borderId="16" xfId="0" applyBorder="1"/>
    <xf numFmtId="2" fontId="0" fillId="0" borderId="1" xfId="0" applyNumberFormat="1" applyBorder="1" applyAlignment="1">
      <alignment horizontal="center" vertical="center"/>
    </xf>
    <xf numFmtId="2" fontId="0" fillId="0" borderId="74" xfId="0" applyNumberFormat="1" applyBorder="1" applyAlignment="1">
      <alignment horizontal="center" vertical="center"/>
    </xf>
    <xf numFmtId="0" fontId="0" fillId="0" borderId="16" xfId="0" applyBorder="1" applyAlignment="1">
      <alignment horizontal="center" vertical="center" wrapText="1"/>
    </xf>
    <xf numFmtId="0" fontId="0" fillId="0" borderId="30" xfId="0" applyBorder="1" applyAlignment="1">
      <alignment horizontal="center" vertical="center" wrapText="1"/>
    </xf>
    <xf numFmtId="0" fontId="0" fillId="0" borderId="33" xfId="0" applyBorder="1"/>
    <xf numFmtId="2" fontId="0" fillId="0" borderId="33" xfId="0" applyNumberFormat="1" applyBorder="1" applyAlignment="1">
      <alignment horizontal="center" vertical="center"/>
    </xf>
    <xf numFmtId="2" fontId="0" fillId="0" borderId="55" xfId="0" applyNumberFormat="1" applyBorder="1" applyAlignment="1">
      <alignment horizontal="center" vertical="center"/>
    </xf>
    <xf numFmtId="0" fontId="0" fillId="0" borderId="73" xfId="0" applyBorder="1" applyAlignment="1">
      <alignment vertical="center"/>
    </xf>
    <xf numFmtId="0" fontId="0" fillId="0" borderId="29" xfId="0" applyBorder="1" applyAlignment="1">
      <alignment vertical="center"/>
    </xf>
    <xf numFmtId="0" fontId="0" fillId="0" borderId="64" xfId="0" applyBorder="1" applyAlignment="1">
      <alignment vertical="center"/>
    </xf>
    <xf numFmtId="0" fontId="0" fillId="0" borderId="5" xfId="0" applyFill="1" applyBorder="1" applyAlignment="1">
      <alignment vertical="center"/>
    </xf>
    <xf numFmtId="0" fontId="25" fillId="0" borderId="13" xfId="0" applyFont="1" applyFill="1" applyBorder="1" applyAlignment="1">
      <alignment vertical="center" wrapText="1"/>
    </xf>
    <xf numFmtId="0" fontId="25" fillId="0" borderId="23" xfId="0" applyFont="1" applyFill="1" applyBorder="1" applyAlignment="1">
      <alignment vertical="center"/>
    </xf>
    <xf numFmtId="0" fontId="25" fillId="0" borderId="1" xfId="0" applyFont="1" applyFill="1" applyBorder="1" applyAlignment="1">
      <alignment vertical="center" wrapText="1"/>
    </xf>
    <xf numFmtId="0" fontId="0" fillId="7" borderId="48" xfId="0" applyFill="1" applyBorder="1" applyAlignment="1">
      <alignment horizontal="center" vertical="center"/>
    </xf>
    <xf numFmtId="0" fontId="25" fillId="0" borderId="9" xfId="0" applyFont="1" applyFill="1" applyBorder="1" applyAlignment="1">
      <alignment horizontal="right" vertical="center" wrapText="1"/>
    </xf>
    <xf numFmtId="0" fontId="25" fillId="0" borderId="8" xfId="0" applyFont="1" applyFill="1" applyBorder="1" applyAlignment="1">
      <alignment vertical="center" wrapText="1"/>
    </xf>
    <xf numFmtId="0" fontId="25" fillId="0" borderId="64" xfId="0" applyFont="1" applyFill="1" applyBorder="1" applyAlignment="1">
      <alignment vertical="center" wrapText="1"/>
    </xf>
    <xf numFmtId="0" fontId="36" fillId="0" borderId="9" xfId="0" applyFont="1" applyFill="1" applyBorder="1" applyAlignment="1">
      <alignment horizontal="left" vertical="center" wrapText="1"/>
    </xf>
    <xf numFmtId="0" fontId="36" fillId="0" borderId="33" xfId="0" applyFont="1" applyFill="1" applyBorder="1" applyAlignment="1">
      <alignment horizontal="left" vertical="center"/>
    </xf>
    <xf numFmtId="0" fontId="36" fillId="0" borderId="58" xfId="0" applyFont="1" applyFill="1" applyBorder="1" applyAlignment="1">
      <alignment horizontal="left" vertical="center" wrapText="1"/>
    </xf>
    <xf numFmtId="0" fontId="0" fillId="8" borderId="34" xfId="0" applyFill="1" applyBorder="1" applyAlignment="1">
      <alignment horizontal="center" vertical="center"/>
    </xf>
    <xf numFmtId="0" fontId="0" fillId="8" borderId="48" xfId="0" applyFill="1" applyBorder="1" applyAlignment="1">
      <alignment horizontal="center" vertical="center"/>
    </xf>
    <xf numFmtId="0" fontId="0" fillId="8" borderId="52" xfId="0" applyFill="1" applyBorder="1" applyAlignment="1">
      <alignment horizontal="center" vertical="center"/>
    </xf>
    <xf numFmtId="0" fontId="0" fillId="8" borderId="44" xfId="0" applyFill="1" applyBorder="1" applyAlignment="1">
      <alignment horizontal="center" vertical="center"/>
    </xf>
    <xf numFmtId="0" fontId="25" fillId="0" borderId="34" xfId="0" applyFont="1" applyFill="1" applyBorder="1" applyAlignment="1">
      <alignment vertical="center"/>
    </xf>
    <xf numFmtId="0" fontId="0" fillId="7" borderId="13" xfId="0" applyFill="1" applyBorder="1" applyAlignment="1">
      <alignment horizontal="center" vertical="center"/>
    </xf>
    <xf numFmtId="0" fontId="0" fillId="7" borderId="34" xfId="0" applyFill="1" applyBorder="1" applyAlignment="1">
      <alignment horizontal="center" vertical="center"/>
    </xf>
    <xf numFmtId="0" fontId="0" fillId="7" borderId="8" xfId="0" applyFill="1" applyBorder="1" applyAlignment="1">
      <alignment horizontal="center" vertical="center"/>
    </xf>
    <xf numFmtId="0" fontId="0" fillId="0" borderId="52" xfId="0" applyBorder="1" applyAlignment="1">
      <alignment horizontal="center" vertical="center"/>
    </xf>
    <xf numFmtId="0" fontId="0" fillId="6" borderId="52" xfId="0" applyFill="1" applyBorder="1" applyAlignment="1">
      <alignment horizontal="center" vertical="center"/>
    </xf>
    <xf numFmtId="0" fontId="0" fillId="0" borderId="25" xfId="0" applyBorder="1" applyAlignment="1">
      <alignment horizontal="center" vertical="center"/>
    </xf>
    <xf numFmtId="0" fontId="0" fillId="6" borderId="25" xfId="0" applyFill="1" applyBorder="1" applyAlignment="1">
      <alignment horizontal="center" vertical="center"/>
    </xf>
    <xf numFmtId="0" fontId="0" fillId="7" borderId="47" xfId="0" applyFill="1" applyBorder="1" applyAlignment="1">
      <alignment horizontal="center" vertical="center"/>
    </xf>
    <xf numFmtId="0" fontId="0" fillId="8" borderId="13" xfId="0" applyFill="1" applyBorder="1" applyAlignment="1">
      <alignment horizontal="center" vertical="center"/>
    </xf>
    <xf numFmtId="0" fontId="0" fillId="0" borderId="48" xfId="0" applyBorder="1" applyAlignment="1">
      <alignment horizontal="center" vertical="center"/>
    </xf>
    <xf numFmtId="0" fontId="36" fillId="0" borderId="9" xfId="0" applyFont="1" applyFill="1" applyBorder="1" applyAlignment="1">
      <alignment horizontal="left" vertical="center"/>
    </xf>
    <xf numFmtId="0" fontId="0" fillId="7" borderId="23" xfId="0" applyFill="1" applyBorder="1" applyAlignment="1">
      <alignment horizontal="center" vertical="center"/>
    </xf>
    <xf numFmtId="0" fontId="0" fillId="7" borderId="11" xfId="0" applyFill="1" applyBorder="1" applyAlignment="1">
      <alignment horizontal="center" vertical="center"/>
    </xf>
    <xf numFmtId="0" fontId="16" fillId="2" borderId="13" xfId="0" applyFont="1"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16" fillId="0" borderId="48" xfId="0" applyFont="1" applyBorder="1" applyAlignment="1">
      <alignment horizontal="center" vertical="center"/>
    </xf>
    <xf numFmtId="0" fontId="16" fillId="7" borderId="34" xfId="0" applyFont="1" applyFill="1" applyBorder="1" applyAlignment="1" applyProtection="1">
      <alignment horizontal="center" vertical="center"/>
      <protection locked="0"/>
    </xf>
    <xf numFmtId="0" fontId="0" fillId="7" borderId="13" xfId="0" applyFont="1" applyFill="1" applyBorder="1" applyAlignment="1" applyProtection="1">
      <alignment horizontal="center" vertical="center" wrapText="1"/>
      <protection locked="0"/>
    </xf>
    <xf numFmtId="0" fontId="0" fillId="7" borderId="48" xfId="0" applyFont="1" applyFill="1" applyBorder="1" applyAlignment="1" applyProtection="1">
      <alignment horizontal="center" vertical="center" wrapText="1"/>
      <protection locked="0"/>
    </xf>
    <xf numFmtId="0" fontId="16" fillId="0" borderId="44" xfId="0" applyFont="1" applyBorder="1" applyAlignment="1">
      <alignment horizontal="center" vertical="center"/>
    </xf>
    <xf numFmtId="0" fontId="0" fillId="7" borderId="43" xfId="0" applyFont="1" applyFill="1" applyBorder="1" applyAlignment="1" applyProtection="1">
      <alignment horizontal="center" vertical="center" wrapText="1"/>
      <protection locked="0"/>
    </xf>
    <xf numFmtId="0" fontId="0" fillId="7" borderId="44"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wrapText="1"/>
      <protection locked="0"/>
    </xf>
    <xf numFmtId="0" fontId="36" fillId="0" borderId="8" xfId="0" applyFont="1" applyFill="1" applyBorder="1" applyAlignment="1">
      <alignment horizontal="left" vertical="center" wrapText="1"/>
    </xf>
    <xf numFmtId="0" fontId="36" fillId="0" borderId="64" xfId="0" applyFont="1" applyFill="1" applyBorder="1" applyAlignment="1">
      <alignment horizontal="left" vertical="center"/>
    </xf>
    <xf numFmtId="0" fontId="36" fillId="0" borderId="68" xfId="0" applyFont="1" applyFill="1" applyBorder="1" applyAlignment="1">
      <alignment horizontal="left" vertical="center" wrapText="1"/>
    </xf>
    <xf numFmtId="0" fontId="25" fillId="0" borderId="13" xfId="0" applyNumberFormat="1" applyFont="1" applyFill="1" applyBorder="1" applyAlignment="1">
      <alignment vertical="center" wrapText="1"/>
    </xf>
    <xf numFmtId="0" fontId="0" fillId="7" borderId="43" xfId="0" applyFill="1" applyBorder="1" applyAlignment="1">
      <alignment horizontal="center"/>
    </xf>
    <xf numFmtId="0" fontId="0" fillId="7" borderId="44" xfId="0" applyFill="1" applyBorder="1" applyAlignment="1">
      <alignment horizontal="center"/>
    </xf>
    <xf numFmtId="0" fontId="1" fillId="0" borderId="0" xfId="0" applyFont="1" applyBorder="1" applyAlignment="1">
      <alignment horizontal="center" vertical="center" wrapText="1"/>
    </xf>
    <xf numFmtId="0" fontId="1" fillId="0" borderId="0" xfId="0" applyFont="1" applyAlignment="1">
      <alignment horizontal="center"/>
    </xf>
    <xf numFmtId="0" fontId="16" fillId="0" borderId="0" xfId="0" applyFont="1" applyAlignment="1">
      <alignment horizontal="center"/>
    </xf>
    <xf numFmtId="0" fontId="55" fillId="0" borderId="0" xfId="0" applyFont="1" applyAlignment="1">
      <alignment vertical="center"/>
    </xf>
    <xf numFmtId="1" fontId="0" fillId="0" borderId="0" xfId="0" quotePrefix="1" applyNumberFormat="1" applyFill="1" applyBorder="1" applyAlignment="1">
      <alignment horizontal="center" vertical="center" wrapText="1"/>
    </xf>
    <xf numFmtId="0" fontId="1" fillId="0" borderId="3" xfId="0" applyFont="1" applyFill="1" applyBorder="1"/>
    <xf numFmtId="1" fontId="1" fillId="0" borderId="0" xfId="0" quotePrefix="1" applyNumberFormat="1" applyFont="1" applyFill="1" applyBorder="1" applyAlignment="1">
      <alignment horizontal="center"/>
    </xf>
    <xf numFmtId="1" fontId="48" fillId="0" borderId="0" xfId="0" quotePrefix="1" applyNumberFormat="1" applyFont="1" applyFill="1" applyBorder="1" applyAlignment="1">
      <alignment horizontal="center"/>
    </xf>
    <xf numFmtId="1" fontId="1" fillId="0" borderId="4" xfId="0" quotePrefix="1" applyNumberFormat="1" applyFont="1" applyFill="1" applyBorder="1" applyAlignment="1">
      <alignment horizontal="center"/>
    </xf>
    <xf numFmtId="0" fontId="1" fillId="6" borderId="0" xfId="0" applyFont="1" applyFill="1" applyAlignment="1">
      <alignment horizontal="center"/>
    </xf>
    <xf numFmtId="0" fontId="49" fillId="0" borderId="0" xfId="0" applyFont="1"/>
    <xf numFmtId="0" fontId="49" fillId="0" borderId="5" xfId="0" applyFont="1" applyFill="1" applyBorder="1"/>
    <xf numFmtId="1" fontId="49" fillId="0" borderId="6" xfId="0" quotePrefix="1" applyNumberFormat="1" applyFont="1" applyFill="1" applyBorder="1" applyAlignment="1">
      <alignment horizontal="center"/>
    </xf>
    <xf numFmtId="1" fontId="56" fillId="0" borderId="6" xfId="0" quotePrefix="1" applyNumberFormat="1" applyFont="1" applyFill="1" applyBorder="1" applyAlignment="1">
      <alignment horizontal="center"/>
    </xf>
    <xf numFmtId="1" fontId="49" fillId="0" borderId="7" xfId="0" quotePrefix="1" applyNumberFormat="1" applyFont="1" applyFill="1" applyBorder="1" applyAlignment="1">
      <alignment horizontal="center"/>
    </xf>
    <xf numFmtId="0" fontId="49" fillId="6" borderId="0" xfId="0" applyFont="1" applyFill="1" applyAlignment="1">
      <alignment horizontal="center"/>
    </xf>
    <xf numFmtId="0" fontId="49" fillId="0" borderId="0" xfId="0" applyFont="1" applyAlignment="1">
      <alignment horizontal="center"/>
    </xf>
    <xf numFmtId="0" fontId="49" fillId="0" borderId="3" xfId="0" applyFont="1" applyFill="1" applyBorder="1"/>
    <xf numFmtId="1" fontId="49" fillId="0" borderId="0" xfId="0" quotePrefix="1" applyNumberFormat="1" applyFont="1" applyFill="1" applyBorder="1" applyAlignment="1">
      <alignment horizontal="center"/>
    </xf>
    <xf numFmtId="1" fontId="56" fillId="0" borderId="0" xfId="0" quotePrefix="1" applyNumberFormat="1" applyFont="1" applyFill="1" applyBorder="1" applyAlignment="1">
      <alignment horizontal="center"/>
    </xf>
    <xf numFmtId="1" fontId="49" fillId="0" borderId="4" xfId="0" quotePrefix="1" applyNumberFormat="1" applyFont="1" applyFill="1" applyBorder="1" applyAlignment="1">
      <alignment horizontal="center"/>
    </xf>
    <xf numFmtId="0" fontId="0" fillId="15" borderId="43" xfId="0" applyFill="1" applyBorder="1" applyAlignment="1">
      <alignment horizontal="center" vertical="center"/>
    </xf>
    <xf numFmtId="0" fontId="0" fillId="15" borderId="52" xfId="0" applyFill="1" applyBorder="1" applyAlignment="1">
      <alignment horizontal="center" vertical="center"/>
    </xf>
    <xf numFmtId="0" fontId="14" fillId="15" borderId="17" xfId="0" applyFont="1" applyFill="1" applyBorder="1" applyAlignment="1">
      <alignment horizontal="center" vertical="center"/>
    </xf>
    <xf numFmtId="0" fontId="0" fillId="15" borderId="45" xfId="0" applyFill="1" applyBorder="1" applyAlignment="1">
      <alignment horizontal="center" vertical="center"/>
    </xf>
    <xf numFmtId="0" fontId="0" fillId="15" borderId="17" xfId="0" applyFill="1" applyBorder="1" applyAlignment="1">
      <alignment horizontal="center" vertical="center"/>
    </xf>
    <xf numFmtId="0" fontId="0" fillId="15" borderId="46" xfId="0" applyFill="1" applyBorder="1" applyAlignment="1">
      <alignment horizontal="center" vertical="center"/>
    </xf>
    <xf numFmtId="0" fontId="0" fillId="15" borderId="25" xfId="0" applyFill="1" applyBorder="1" applyAlignment="1">
      <alignment horizontal="center" vertical="center"/>
    </xf>
    <xf numFmtId="0" fontId="18" fillId="0" borderId="17" xfId="0" applyFont="1" applyBorder="1" applyAlignment="1">
      <alignment horizontal="left" vertical="center" wrapText="1"/>
    </xf>
    <xf numFmtId="0" fontId="0" fillId="0" borderId="17" xfId="0" applyBorder="1" applyAlignment="1">
      <alignment horizontal="center"/>
    </xf>
    <xf numFmtId="0" fontId="1" fillId="6" borderId="17" xfId="0" applyFont="1" applyFill="1" applyBorder="1" applyAlignment="1">
      <alignment horizontal="center" wrapText="1"/>
    </xf>
    <xf numFmtId="0" fontId="1" fillId="0" borderId="43" xfId="0" applyFont="1" applyBorder="1" applyAlignment="1">
      <alignment horizontal="left" wrapText="1"/>
    </xf>
    <xf numFmtId="0" fontId="48" fillId="0" borderId="53" xfId="0" applyFont="1" applyBorder="1" applyAlignment="1">
      <alignment horizontal="center" vertical="center" wrapText="1"/>
    </xf>
    <xf numFmtId="2" fontId="16" fillId="0" borderId="62" xfId="0" quotePrefix="1" applyNumberFormat="1" applyFont="1" applyBorder="1" applyAlignment="1">
      <alignment horizontal="center"/>
    </xf>
    <xf numFmtId="2" fontId="16" fillId="0" borderId="63" xfId="0" quotePrefix="1" applyNumberFormat="1" applyFont="1" applyBorder="1" applyAlignment="1">
      <alignment horizontal="center"/>
    </xf>
    <xf numFmtId="0" fontId="1" fillId="6" borderId="51" xfId="0" applyFont="1" applyFill="1" applyBorder="1" applyAlignment="1">
      <alignment wrapText="1"/>
    </xf>
    <xf numFmtId="0" fontId="25" fillId="0" borderId="57" xfId="0" applyFont="1" applyFill="1" applyBorder="1" applyAlignment="1">
      <alignment vertical="center"/>
    </xf>
    <xf numFmtId="3" fontId="0" fillId="9" borderId="45" xfId="2" applyNumberFormat="1" applyFont="1" applyFill="1" applyBorder="1" applyAlignment="1" applyProtection="1">
      <alignment horizontal="center"/>
      <protection locked="0"/>
    </xf>
    <xf numFmtId="10" fontId="0" fillId="9" borderId="45" xfId="1" applyNumberFormat="1" applyFont="1" applyFill="1" applyBorder="1" applyAlignment="1" applyProtection="1">
      <alignment horizontal="center"/>
      <protection locked="0"/>
    </xf>
    <xf numFmtId="3" fontId="0" fillId="9" borderId="46" xfId="2" applyNumberFormat="1" applyFont="1" applyFill="1" applyBorder="1" applyAlignment="1" applyProtection="1">
      <alignment horizontal="center"/>
      <protection locked="0"/>
    </xf>
    <xf numFmtId="10" fontId="0" fillId="9" borderId="46" xfId="1" applyNumberFormat="1" applyFont="1" applyFill="1" applyBorder="1" applyAlignment="1" applyProtection="1">
      <alignment horizontal="center"/>
      <protection locked="0"/>
    </xf>
    <xf numFmtId="2" fontId="0" fillId="0" borderId="45" xfId="0" applyNumberFormat="1" applyFill="1" applyBorder="1" applyAlignment="1" applyProtection="1">
      <alignment horizontal="center"/>
      <protection locked="0"/>
    </xf>
    <xf numFmtId="2" fontId="0" fillId="0" borderId="46" xfId="0" applyNumberFormat="1" applyFill="1" applyBorder="1" applyAlignment="1" applyProtection="1">
      <alignment horizontal="center"/>
      <protection locked="0"/>
    </xf>
    <xf numFmtId="0" fontId="25" fillId="7" borderId="45" xfId="0" applyFont="1" applyFill="1" applyBorder="1" applyAlignment="1">
      <alignment horizontal="center" vertical="center" wrapText="1"/>
    </xf>
    <xf numFmtId="0" fontId="25" fillId="7" borderId="46" xfId="0" applyFont="1" applyFill="1" applyBorder="1" applyAlignment="1">
      <alignment horizontal="center" vertical="center" wrapText="1"/>
    </xf>
    <xf numFmtId="0" fontId="0" fillId="6" borderId="37" xfId="0" applyFill="1" applyBorder="1" applyAlignment="1">
      <alignment horizontal="center" vertical="center"/>
    </xf>
    <xf numFmtId="0" fontId="0" fillId="6" borderId="41" xfId="0" applyFill="1" applyBorder="1" applyAlignment="1">
      <alignment horizontal="center" vertical="center"/>
    </xf>
    <xf numFmtId="0" fontId="0" fillId="6" borderId="26" xfId="0" applyFill="1" applyBorder="1" applyAlignment="1">
      <alignment horizontal="center" vertical="center"/>
    </xf>
    <xf numFmtId="0" fontId="0" fillId="0" borderId="26" xfId="0" applyBorder="1" applyAlignment="1">
      <alignment horizontal="center" vertical="center"/>
    </xf>
    <xf numFmtId="0" fontId="25" fillId="8" borderId="45" xfId="0" applyFont="1" applyFill="1" applyBorder="1" applyAlignment="1">
      <alignment horizontal="center" vertical="center" wrapText="1"/>
    </xf>
    <xf numFmtId="0" fontId="25" fillId="8" borderId="46" xfId="0" applyFont="1" applyFill="1" applyBorder="1" applyAlignment="1">
      <alignment horizontal="center" vertical="center" wrapText="1"/>
    </xf>
    <xf numFmtId="0" fontId="25" fillId="8" borderId="25" xfId="0" applyFont="1" applyFill="1" applyBorder="1" applyAlignment="1">
      <alignment horizontal="center" vertical="center" wrapText="1"/>
    </xf>
    <xf numFmtId="0" fontId="25" fillId="0" borderId="37" xfId="0" applyFont="1" applyFill="1" applyBorder="1" applyAlignment="1">
      <alignment vertical="center" wrapText="1"/>
    </xf>
    <xf numFmtId="0" fontId="25" fillId="0" borderId="41" xfId="0" applyFont="1" applyFill="1" applyBorder="1" applyAlignment="1">
      <alignment vertical="center" wrapText="1"/>
    </xf>
    <xf numFmtId="0" fontId="1" fillId="6" borderId="43" xfId="0" applyFont="1" applyFill="1" applyBorder="1" applyAlignment="1">
      <alignment horizontal="center" wrapText="1"/>
    </xf>
    <xf numFmtId="0" fontId="1" fillId="6" borderId="52" xfId="0" applyFont="1" applyFill="1" applyBorder="1" applyAlignment="1">
      <alignment horizontal="center" wrapText="1"/>
    </xf>
    <xf numFmtId="0" fontId="0" fillId="0" borderId="23" xfId="0" applyBorder="1" applyAlignment="1">
      <alignment horizontal="center"/>
    </xf>
    <xf numFmtId="0" fontId="0" fillId="19" borderId="31" xfId="0" applyFill="1" applyBorder="1"/>
    <xf numFmtId="0" fontId="0" fillId="19" borderId="27" xfId="0" applyFill="1" applyBorder="1"/>
    <xf numFmtId="0" fontId="0" fillId="19" borderId="28" xfId="0" applyFill="1" applyBorder="1"/>
    <xf numFmtId="0" fontId="0" fillId="19" borderId="3" xfId="0" applyFill="1" applyBorder="1"/>
    <xf numFmtId="0" fontId="0" fillId="19" borderId="0" xfId="0" applyFill="1" applyBorder="1"/>
    <xf numFmtId="0" fontId="0" fillId="19" borderId="4" xfId="0" applyFill="1" applyBorder="1"/>
    <xf numFmtId="0" fontId="0" fillId="19" borderId="5" xfId="0" applyFill="1" applyBorder="1"/>
    <xf numFmtId="0" fontId="0" fillId="19" borderId="6" xfId="0" applyFill="1" applyBorder="1"/>
    <xf numFmtId="0" fontId="0" fillId="19" borderId="7" xfId="0" applyFill="1" applyBorder="1"/>
    <xf numFmtId="0" fontId="0" fillId="19" borderId="3" xfId="0" applyFill="1" applyBorder="1" applyAlignment="1">
      <alignment vertical="center"/>
    </xf>
    <xf numFmtId="0" fontId="0" fillId="19" borderId="4" xfId="0" applyFill="1" applyBorder="1" applyAlignment="1">
      <alignment vertical="center"/>
    </xf>
    <xf numFmtId="0" fontId="0" fillId="19" borderId="3" xfId="0" applyFill="1" applyBorder="1" applyAlignment="1">
      <alignment vertical="center" wrapText="1"/>
    </xf>
    <xf numFmtId="0" fontId="0" fillId="19" borderId="0" xfId="0" applyFill="1" applyBorder="1" applyAlignment="1">
      <alignment vertical="center" wrapText="1"/>
    </xf>
    <xf numFmtId="0" fontId="0" fillId="19" borderId="4" xfId="0" applyFill="1" applyBorder="1" applyAlignment="1">
      <alignment vertical="center" wrapText="1"/>
    </xf>
    <xf numFmtId="2" fontId="0" fillId="19" borderId="0" xfId="0" applyNumberFormat="1" applyFill="1" applyBorder="1"/>
    <xf numFmtId="2" fontId="0" fillId="19" borderId="6" xfId="0" applyNumberFormat="1" applyFill="1" applyBorder="1"/>
    <xf numFmtId="0" fontId="0" fillId="19" borderId="0" xfId="0" applyFill="1" applyBorder="1" applyAlignment="1">
      <alignment vertical="center"/>
    </xf>
    <xf numFmtId="0" fontId="1" fillId="6" borderId="31" xfId="0" applyFont="1" applyFill="1" applyBorder="1"/>
    <xf numFmtId="0" fontId="0" fillId="6" borderId="38" xfId="0" applyFill="1" applyBorder="1"/>
    <xf numFmtId="0" fontId="1" fillId="6" borderId="14" xfId="0" applyFont="1" applyFill="1" applyBorder="1" applyAlignment="1">
      <alignment horizontal="center"/>
    </xf>
    <xf numFmtId="0" fontId="0" fillId="6" borderId="59" xfId="0" applyFill="1" applyBorder="1" applyAlignment="1">
      <alignment horizontal="center"/>
    </xf>
    <xf numFmtId="0" fontId="1" fillId="6" borderId="75" xfId="0" applyFont="1" applyFill="1" applyBorder="1" applyAlignment="1">
      <alignment horizontal="center"/>
    </xf>
    <xf numFmtId="0" fontId="0" fillId="6" borderId="60" xfId="0" applyFill="1" applyBorder="1" applyAlignment="1">
      <alignment horizontal="center"/>
    </xf>
    <xf numFmtId="0" fontId="0" fillId="6" borderId="28" xfId="0" applyFill="1" applyBorder="1" applyAlignment="1">
      <alignment horizontal="center"/>
    </xf>
    <xf numFmtId="0" fontId="58" fillId="6" borderId="27" xfId="0" applyFont="1" applyFill="1" applyBorder="1" applyAlignment="1">
      <alignment horizontal="center" wrapText="1"/>
    </xf>
    <xf numFmtId="0" fontId="58" fillId="6" borderId="28" xfId="0" applyFont="1" applyFill="1" applyBorder="1" applyAlignment="1">
      <alignment horizontal="center"/>
    </xf>
    <xf numFmtId="0" fontId="1" fillId="6" borderId="3" xfId="0" applyFont="1" applyFill="1" applyBorder="1"/>
    <xf numFmtId="0" fontId="0" fillId="6" borderId="59" xfId="0" applyFill="1" applyBorder="1"/>
    <xf numFmtId="0" fontId="0" fillId="6" borderId="45" xfId="0" applyFill="1" applyBorder="1" applyAlignment="1">
      <alignment horizontal="center" wrapText="1"/>
    </xf>
    <xf numFmtId="0" fontId="0" fillId="6" borderId="18" xfId="0" applyFill="1" applyBorder="1" applyAlignment="1">
      <alignment horizontal="center"/>
    </xf>
    <xf numFmtId="0" fontId="0" fillId="6" borderId="17" xfId="0" applyFill="1" applyBorder="1" applyAlignment="1">
      <alignment horizontal="center" wrapText="1"/>
    </xf>
    <xf numFmtId="0" fontId="0" fillId="6" borderId="2" xfId="0" applyFill="1" applyBorder="1"/>
    <xf numFmtId="0" fontId="0" fillId="6" borderId="4" xfId="0" applyFill="1" applyBorder="1"/>
    <xf numFmtId="0" fontId="0" fillId="6" borderId="2" xfId="0" applyFill="1" applyBorder="1" applyAlignment="1">
      <alignment vertical="center"/>
    </xf>
    <xf numFmtId="0" fontId="0" fillId="6" borderId="4" xfId="0" applyFill="1" applyBorder="1" applyAlignment="1">
      <alignment vertical="center"/>
    </xf>
    <xf numFmtId="0" fontId="0" fillId="6" borderId="0" xfId="0" applyFill="1" applyBorder="1" applyAlignment="1">
      <alignment vertical="center"/>
    </xf>
    <xf numFmtId="0" fontId="0" fillId="6" borderId="24" xfId="0" applyFill="1" applyBorder="1"/>
    <xf numFmtId="0" fontId="0" fillId="6" borderId="30" xfId="0" applyFill="1" applyBorder="1"/>
    <xf numFmtId="0" fontId="0" fillId="6" borderId="16" xfId="0" applyFill="1" applyBorder="1" applyAlignment="1">
      <alignment vertical="center"/>
    </xf>
    <xf numFmtId="0" fontId="0" fillId="6" borderId="30" xfId="0" applyFill="1" applyBorder="1" applyAlignment="1">
      <alignment vertical="center"/>
    </xf>
    <xf numFmtId="0" fontId="1" fillId="6" borderId="40" xfId="0" applyFont="1" applyFill="1" applyBorder="1" applyAlignment="1">
      <alignment horizontal="left" wrapText="1"/>
    </xf>
    <xf numFmtId="0" fontId="1" fillId="6" borderId="65" xfId="0" applyFont="1" applyFill="1" applyBorder="1" applyAlignment="1">
      <alignment wrapText="1"/>
    </xf>
    <xf numFmtId="0" fontId="1" fillId="6" borderId="45" xfId="0" applyFont="1" applyFill="1" applyBorder="1" applyAlignment="1">
      <alignment horizontal="center" vertical="center" wrapText="1"/>
    </xf>
    <xf numFmtId="0" fontId="1" fillId="6" borderId="17" xfId="0" applyFont="1" applyFill="1" applyBorder="1" applyAlignment="1">
      <alignment horizontal="center" vertical="center" wrapText="1"/>
    </xf>
    <xf numFmtId="0" fontId="1" fillId="6" borderId="37"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26"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0" fillId="19" borderId="31" xfId="0" applyFont="1" applyFill="1" applyBorder="1"/>
    <xf numFmtId="0" fontId="0" fillId="19" borderId="27" xfId="0" applyFont="1" applyFill="1" applyBorder="1"/>
    <xf numFmtId="0" fontId="1" fillId="19" borderId="28" xfId="0" applyFont="1" applyFill="1" applyBorder="1" applyAlignment="1">
      <alignment horizontal="left"/>
    </xf>
    <xf numFmtId="0" fontId="0" fillId="19" borderId="3" xfId="0" applyFont="1" applyFill="1" applyBorder="1"/>
    <xf numFmtId="0" fontId="0" fillId="19" borderId="0" xfId="0" applyFont="1" applyFill="1" applyBorder="1"/>
    <xf numFmtId="0" fontId="1" fillId="19" borderId="4" xfId="0" applyFont="1" applyFill="1" applyBorder="1" applyAlignment="1">
      <alignment horizontal="left"/>
    </xf>
    <xf numFmtId="0" fontId="0" fillId="19" borderId="5" xfId="0" applyFont="1" applyFill="1" applyBorder="1"/>
    <xf numFmtId="0" fontId="0" fillId="19" borderId="6" xfId="0" applyFont="1" applyFill="1" applyBorder="1"/>
    <xf numFmtId="0" fontId="1" fillId="19" borderId="7" xfId="0" applyFont="1" applyFill="1" applyBorder="1" applyAlignment="1">
      <alignment horizontal="left"/>
    </xf>
    <xf numFmtId="0" fontId="6" fillId="0" borderId="0" xfId="0" applyFont="1" applyProtection="1"/>
    <xf numFmtId="0" fontId="14" fillId="0" borderId="0" xfId="0" applyFont="1" applyProtection="1"/>
    <xf numFmtId="0" fontId="14" fillId="0" borderId="0" xfId="0" applyFont="1" applyFill="1" applyProtection="1"/>
    <xf numFmtId="0" fontId="19" fillId="0" borderId="0" xfId="0" applyFont="1" applyAlignment="1" applyProtection="1">
      <alignment vertical="center"/>
    </xf>
    <xf numFmtId="0" fontId="20" fillId="0" borderId="0" xfId="0" applyFont="1" applyProtection="1"/>
    <xf numFmtId="0" fontId="19" fillId="0" borderId="0" xfId="0" applyFont="1" applyFill="1" applyAlignment="1" applyProtection="1">
      <alignment vertical="center"/>
    </xf>
    <xf numFmtId="0" fontId="54" fillId="0" borderId="0" xfId="0" applyFont="1" applyAlignment="1" applyProtection="1">
      <alignment vertical="center"/>
    </xf>
    <xf numFmtId="0" fontId="53" fillId="0" borderId="0" xfId="0" applyFont="1" applyProtection="1"/>
    <xf numFmtId="0" fontId="9" fillId="0" borderId="0" xfId="0" applyFont="1" applyAlignment="1" applyProtection="1">
      <alignment vertical="top"/>
    </xf>
    <xf numFmtId="0" fontId="0" fillId="0" borderId="0" xfId="0" applyProtection="1"/>
    <xf numFmtId="0" fontId="0" fillId="0" borderId="0" xfId="0" applyBorder="1" applyProtection="1"/>
    <xf numFmtId="0" fontId="0" fillId="0" borderId="0" xfId="0" applyFill="1" applyBorder="1" applyProtection="1"/>
    <xf numFmtId="0" fontId="9" fillId="0" borderId="0" xfId="0" applyFont="1" applyAlignment="1" applyProtection="1">
      <alignment horizontal="left" vertical="top" wrapText="1"/>
    </xf>
    <xf numFmtId="0" fontId="9" fillId="0" borderId="0" xfId="0" applyFont="1" applyFill="1" applyAlignment="1" applyProtection="1">
      <alignment horizontal="left" vertical="top" wrapText="1"/>
    </xf>
    <xf numFmtId="0" fontId="9" fillId="0" borderId="0" xfId="0" applyFont="1" applyAlignment="1" applyProtection="1">
      <alignment horizontal="left" vertical="center" wrapText="1"/>
    </xf>
    <xf numFmtId="0" fontId="9" fillId="0" borderId="0" xfId="0" applyFont="1" applyFill="1" applyAlignment="1" applyProtection="1">
      <alignment horizontal="left" vertical="center" wrapText="1"/>
    </xf>
    <xf numFmtId="0" fontId="0" fillId="0" borderId="0" xfId="0" quotePrefix="1" applyProtection="1"/>
    <xf numFmtId="0" fontId="0" fillId="0" borderId="0" xfId="0" applyFill="1" applyProtection="1"/>
    <xf numFmtId="0" fontId="0" fillId="0" borderId="0" xfId="0" quotePrefix="1" applyAlignment="1" applyProtection="1">
      <alignment horizontal="left"/>
    </xf>
    <xf numFmtId="0" fontId="9" fillId="0" borderId="0" xfId="0" applyFont="1" applyProtection="1"/>
    <xf numFmtId="0" fontId="9" fillId="18" borderId="0" xfId="0" applyFont="1" applyFill="1" applyProtection="1"/>
    <xf numFmtId="0" fontId="0" fillId="18" borderId="0" xfId="0" quotePrefix="1" applyFill="1" applyProtection="1"/>
    <xf numFmtId="0" fontId="0" fillId="18" borderId="0" xfId="0" applyFill="1" applyProtection="1"/>
    <xf numFmtId="0" fontId="0" fillId="18" borderId="0" xfId="0" quotePrefix="1" applyFill="1" applyAlignment="1" applyProtection="1">
      <alignment horizontal="left"/>
    </xf>
    <xf numFmtId="0" fontId="52" fillId="0" borderId="0" xfId="0" quotePrefix="1" applyFont="1" applyProtection="1"/>
    <xf numFmtId="0" fontId="52" fillId="0" borderId="0" xfId="0" quotePrefix="1" applyFont="1" applyFill="1" applyProtection="1"/>
    <xf numFmtId="0" fontId="0" fillId="0" borderId="0" xfId="0" applyFill="1" applyBorder="1" applyAlignment="1" applyProtection="1">
      <alignment horizontal="left" wrapText="1"/>
    </xf>
    <xf numFmtId="0" fontId="0" fillId="0" borderId="0" xfId="0" applyFont="1" applyAlignment="1" applyProtection="1">
      <alignment horizontal="left" vertical="center" wrapText="1"/>
    </xf>
    <xf numFmtId="0" fontId="0" fillId="0" borderId="31" xfId="0" applyFont="1" applyBorder="1" applyAlignment="1" applyProtection="1">
      <alignment horizontal="left" vertical="center" wrapText="1"/>
    </xf>
    <xf numFmtId="0" fontId="0" fillId="0" borderId="27" xfId="0"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0" xfId="0" applyFont="1" applyBorder="1" applyAlignment="1" applyProtection="1">
      <alignment horizontal="left" vertical="center" wrapText="1"/>
    </xf>
    <xf numFmtId="0" fontId="0" fillId="18" borderId="0" xfId="0" applyFont="1" applyFill="1" applyBorder="1" applyAlignment="1" applyProtection="1">
      <alignment horizontal="left" vertical="center" wrapText="1"/>
    </xf>
    <xf numFmtId="0" fontId="0" fillId="0" borderId="0" xfId="0" applyFont="1" applyAlignment="1" applyProtection="1">
      <alignment vertical="top" wrapText="1"/>
    </xf>
    <xf numFmtId="0" fontId="0" fillId="0" borderId="0" xfId="0" applyAlignment="1" applyProtection="1">
      <alignment vertical="center" wrapText="1"/>
    </xf>
    <xf numFmtId="0" fontId="1" fillId="0" borderId="3" xfId="0" applyFont="1" applyBorder="1" applyAlignment="1" applyProtection="1">
      <alignment vertical="center" wrapText="1"/>
    </xf>
    <xf numFmtId="0" fontId="1" fillId="0" borderId="0" xfId="0" applyFont="1" applyBorder="1" applyAlignment="1" applyProtection="1">
      <alignment vertical="center" wrapText="1"/>
    </xf>
    <xf numFmtId="0" fontId="0" fillId="5" borderId="17" xfId="0" applyFont="1" applyFill="1" applyBorder="1" applyAlignment="1" applyProtection="1">
      <alignment horizontal="center" vertical="center" wrapText="1"/>
    </xf>
    <xf numFmtId="0" fontId="0" fillId="0" borderId="0" xfId="0" applyFont="1" applyBorder="1" applyAlignment="1" applyProtection="1">
      <alignment vertical="center" wrapText="1"/>
    </xf>
    <xf numFmtId="0" fontId="0" fillId="0" borderId="4" xfId="0" applyFont="1" applyBorder="1" applyAlignment="1" applyProtection="1">
      <alignment vertical="center" wrapText="1"/>
    </xf>
    <xf numFmtId="0" fontId="0" fillId="18" borderId="0" xfId="0" applyFont="1" applyFill="1" applyBorder="1" applyAlignment="1" applyProtection="1">
      <alignment vertical="center" wrapText="1"/>
    </xf>
    <xf numFmtId="0" fontId="0" fillId="5" borderId="17" xfId="0" applyFont="1" applyFill="1" applyBorder="1" applyAlignment="1" applyProtection="1">
      <alignment horizontal="center"/>
    </xf>
    <xf numFmtId="0" fontId="0" fillId="0" borderId="5" xfId="0" applyFont="1" applyBorder="1" applyProtection="1"/>
    <xf numFmtId="0" fontId="0" fillId="0" borderId="6" xfId="0" applyFont="1" applyBorder="1" applyProtection="1"/>
    <xf numFmtId="0" fontId="0" fillId="0" borderId="7" xfId="0" applyFont="1" applyBorder="1" applyProtection="1"/>
    <xf numFmtId="0" fontId="0" fillId="0" borderId="0" xfId="0" applyFont="1" applyBorder="1" applyProtection="1"/>
    <xf numFmtId="0" fontId="0" fillId="18" borderId="0" xfId="0" applyFont="1" applyFill="1" applyBorder="1" applyProtection="1"/>
    <xf numFmtId="0" fontId="1" fillId="0" borderId="8" xfId="0" applyFont="1" applyBorder="1" applyAlignment="1" applyProtection="1">
      <alignment wrapText="1"/>
    </xf>
    <xf numFmtId="0" fontId="1" fillId="0" borderId="9"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18" borderId="0" xfId="0" applyFont="1" applyFill="1" applyBorder="1" applyAlignment="1" applyProtection="1">
      <alignment horizontal="center" vertical="center" wrapText="1"/>
    </xf>
    <xf numFmtId="0" fontId="0" fillId="0" borderId="3" xfId="0" applyFont="1" applyBorder="1" applyProtection="1"/>
    <xf numFmtId="165" fontId="0" fillId="5" borderId="17" xfId="0" applyNumberFormat="1" applyFont="1" applyFill="1" applyBorder="1" applyAlignment="1" applyProtection="1">
      <alignment horizontal="center"/>
    </xf>
    <xf numFmtId="165" fontId="0" fillId="0" borderId="0" xfId="0" applyNumberFormat="1" applyFont="1" applyBorder="1" applyAlignment="1" applyProtection="1">
      <alignment horizontal="center"/>
    </xf>
    <xf numFmtId="2" fontId="0" fillId="0" borderId="4" xfId="0" applyNumberFormat="1" applyFont="1" applyBorder="1" applyAlignment="1" applyProtection="1">
      <alignment horizontal="center"/>
    </xf>
    <xf numFmtId="2" fontId="0" fillId="0" borderId="0" xfId="0" applyNumberFormat="1" applyFont="1" applyBorder="1" applyAlignment="1" applyProtection="1">
      <alignment horizontal="center"/>
    </xf>
    <xf numFmtId="2" fontId="0" fillId="18" borderId="0" xfId="0" applyNumberFormat="1" applyFont="1" applyFill="1" applyBorder="1" applyAlignment="1" applyProtection="1">
      <alignment horizontal="center"/>
    </xf>
    <xf numFmtId="165" fontId="0" fillId="0" borderId="0" xfId="0" applyNumberFormat="1" applyProtection="1"/>
    <xf numFmtId="165" fontId="0" fillId="5" borderId="25" xfId="0" applyNumberFormat="1" applyFont="1" applyFill="1" applyBorder="1" applyAlignment="1" applyProtection="1">
      <alignment horizontal="center"/>
    </xf>
    <xf numFmtId="0" fontId="0" fillId="5" borderId="25" xfId="0" applyFont="1" applyFill="1" applyBorder="1" applyAlignment="1" applyProtection="1">
      <alignment horizontal="center"/>
    </xf>
    <xf numFmtId="165" fontId="0" fillId="0" borderId="6" xfId="0" applyNumberFormat="1" applyFont="1" applyBorder="1" applyAlignment="1" applyProtection="1">
      <alignment horizontal="center"/>
    </xf>
    <xf numFmtId="2" fontId="0" fillId="0" borderId="7" xfId="0" applyNumberFormat="1" applyFont="1" applyBorder="1" applyAlignment="1" applyProtection="1">
      <alignment horizontal="center"/>
    </xf>
    <xf numFmtId="0" fontId="0" fillId="18" borderId="0" xfId="0" applyFill="1" applyBorder="1" applyProtection="1"/>
    <xf numFmtId="0" fontId="0" fillId="5" borderId="37" xfId="0" applyFont="1" applyFill="1" applyBorder="1" applyAlignment="1" applyProtection="1">
      <alignment horizontal="center"/>
    </xf>
    <xf numFmtId="0" fontId="0" fillId="5" borderId="41" xfId="0" applyFont="1" applyFill="1" applyBorder="1" applyAlignment="1" applyProtection="1">
      <alignment horizontal="center"/>
    </xf>
    <xf numFmtId="0" fontId="9" fillId="0" borderId="0" xfId="0" applyFont="1" applyBorder="1" applyProtection="1"/>
    <xf numFmtId="0" fontId="0" fillId="0" borderId="0" xfId="0" applyFill="1" applyBorder="1" applyAlignment="1" applyProtection="1">
      <alignment horizontal="center"/>
    </xf>
    <xf numFmtId="0" fontId="0" fillId="0" borderId="0" xfId="0" applyFont="1" applyFill="1" applyBorder="1" applyAlignment="1" applyProtection="1">
      <alignment horizontal="center"/>
    </xf>
    <xf numFmtId="0" fontId="5" fillId="0" borderId="0" xfId="0" applyFont="1" applyProtection="1"/>
    <xf numFmtId="0" fontId="5" fillId="0" borderId="0" xfId="0" applyFont="1" applyFill="1" applyProtection="1"/>
    <xf numFmtId="0" fontId="16" fillId="0" borderId="0" xfId="0" applyFont="1" applyBorder="1" applyProtection="1"/>
    <xf numFmtId="0" fontId="16" fillId="0" borderId="0" xfId="0" applyFont="1" applyProtection="1"/>
    <xf numFmtId="0" fontId="16" fillId="18" borderId="0" xfId="0" applyFont="1" applyFill="1" applyProtection="1"/>
    <xf numFmtId="0" fontId="5" fillId="0" borderId="0" xfId="0" applyFont="1" applyBorder="1" applyProtection="1"/>
    <xf numFmtId="165" fontId="0" fillId="5" borderId="17" xfId="0" applyNumberFormat="1" applyFont="1" applyFill="1" applyBorder="1" applyAlignment="1" applyProtection="1">
      <alignment horizontal="center"/>
      <protection locked="0"/>
    </xf>
    <xf numFmtId="165" fontId="0" fillId="5" borderId="25" xfId="0" applyNumberFormat="1" applyFont="1" applyFill="1" applyBorder="1" applyAlignment="1" applyProtection="1">
      <alignment horizontal="center"/>
      <protection locked="0"/>
    </xf>
    <xf numFmtId="14" fontId="0" fillId="0" borderId="0" xfId="0" applyNumberFormat="1" applyBorder="1" applyAlignment="1" applyProtection="1">
      <alignment horizontal="center"/>
    </xf>
    <xf numFmtId="0" fontId="0" fillId="0" borderId="0" xfId="0" applyBorder="1" applyAlignment="1" applyProtection="1">
      <alignment horizontal="center"/>
    </xf>
    <xf numFmtId="0" fontId="0" fillId="5" borderId="18" xfId="0" applyFill="1" applyBorder="1" applyAlignment="1" applyProtection="1">
      <alignment horizontal="center"/>
      <protection locked="0"/>
    </xf>
    <xf numFmtId="0" fontId="0" fillId="5" borderId="19" xfId="0" applyFill="1" applyBorder="1" applyAlignment="1" applyProtection="1">
      <alignment horizontal="center"/>
      <protection locked="0"/>
    </xf>
    <xf numFmtId="0" fontId="0" fillId="5" borderId="23"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0" fillId="5" borderId="20" xfId="0" applyFill="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0"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0" fillId="5" borderId="16" xfId="0" applyFill="1" applyBorder="1" applyAlignment="1" applyProtection="1">
      <alignment horizontal="left" vertical="center"/>
      <protection locked="0"/>
    </xf>
    <xf numFmtId="0" fontId="0" fillId="5" borderId="21" xfId="0" applyFill="1" applyBorder="1" applyAlignment="1" applyProtection="1">
      <alignment horizontal="left" vertical="center"/>
      <protection locked="0"/>
    </xf>
    <xf numFmtId="0" fontId="9" fillId="0" borderId="0" xfId="0" applyFont="1" applyAlignment="1">
      <alignment horizontal="left" vertical="center"/>
    </xf>
    <xf numFmtId="0" fontId="9" fillId="0" borderId="0" xfId="0" applyFont="1" applyAlignment="1">
      <alignment horizontal="left" vertical="center" wrapText="1"/>
    </xf>
    <xf numFmtId="14" fontId="0" fillId="0" borderId="18" xfId="0" applyNumberFormat="1" applyBorder="1" applyAlignment="1" applyProtection="1">
      <alignment horizontal="center"/>
    </xf>
    <xf numFmtId="0" fontId="0" fillId="0" borderId="19" xfId="0" applyBorder="1" applyAlignment="1" applyProtection="1">
      <alignment horizontal="center"/>
    </xf>
    <xf numFmtId="0" fontId="0" fillId="5" borderId="18" xfId="0" applyNumberFormat="1" applyFill="1" applyBorder="1" applyAlignment="1" applyProtection="1">
      <alignment horizontal="center"/>
      <protection locked="0"/>
    </xf>
    <xf numFmtId="0" fontId="0" fillId="5" borderId="33" xfId="0" applyNumberFormat="1" applyFill="1" applyBorder="1" applyAlignment="1" applyProtection="1">
      <alignment horizontal="center"/>
      <protection locked="0"/>
    </xf>
    <xf numFmtId="0" fontId="0" fillId="5" borderId="19" xfId="0" applyNumberFormat="1" applyFill="1" applyBorder="1" applyAlignment="1" applyProtection="1">
      <alignment horizontal="center"/>
      <protection locked="0"/>
    </xf>
    <xf numFmtId="14" fontId="0" fillId="0" borderId="33" xfId="0" applyNumberFormat="1" applyBorder="1" applyAlignment="1" applyProtection="1">
      <alignment horizontal="center"/>
    </xf>
    <xf numFmtId="14" fontId="0" fillId="0" borderId="19" xfId="0" applyNumberFormat="1" applyBorder="1" applyAlignment="1" applyProtection="1">
      <alignment horizontal="center"/>
    </xf>
    <xf numFmtId="0" fontId="1" fillId="0" borderId="23" xfId="0" applyFont="1" applyBorder="1" applyAlignment="1">
      <alignment horizontal="center" vertical="center" wrapText="1"/>
    </xf>
    <xf numFmtId="0" fontId="1" fillId="0" borderId="2" xfId="0" applyFont="1" applyBorder="1" applyAlignment="1">
      <alignment horizontal="center" vertical="center" wrapText="1"/>
    </xf>
    <xf numFmtId="0" fontId="9" fillId="0" borderId="20" xfId="0" applyFont="1" applyBorder="1" applyAlignment="1">
      <alignment horizontal="left" vertical="center" wrapText="1"/>
    </xf>
    <xf numFmtId="0" fontId="9" fillId="0" borderId="22" xfId="0" applyFont="1" applyBorder="1" applyAlignment="1">
      <alignment horizontal="left" vertical="center" wrapText="1"/>
    </xf>
    <xf numFmtId="0" fontId="9" fillId="0" borderId="21" xfId="0" applyFont="1" applyBorder="1" applyAlignment="1">
      <alignment horizontal="left" vertical="center" wrapText="1"/>
    </xf>
    <xf numFmtId="0" fontId="9" fillId="0" borderId="17" xfId="0" applyFont="1" applyFill="1" applyBorder="1" applyAlignment="1">
      <alignment horizontal="left" vertical="center" wrapText="1"/>
    </xf>
    <xf numFmtId="0" fontId="1" fillId="0" borderId="24" xfId="0" applyFont="1" applyBorder="1" applyAlignment="1">
      <alignment horizontal="center" vertical="center" wrapText="1"/>
    </xf>
    <xf numFmtId="0" fontId="18" fillId="0" borderId="34" xfId="0" applyFont="1" applyBorder="1" applyAlignment="1">
      <alignment horizontal="left" vertical="center" wrapText="1"/>
    </xf>
    <xf numFmtId="0" fontId="18" fillId="0" borderId="26" xfId="0" applyFont="1" applyBorder="1" applyAlignment="1">
      <alignment horizontal="left" vertical="center" wrapText="1"/>
    </xf>
    <xf numFmtId="0" fontId="9" fillId="0" borderId="34" xfId="0" applyFont="1" applyBorder="1" applyAlignment="1">
      <alignment horizontal="left" vertical="center" wrapText="1"/>
    </xf>
    <xf numFmtId="0" fontId="9" fillId="0" borderId="26" xfId="0" applyFont="1" applyBorder="1" applyAlignment="1">
      <alignment horizontal="left" vertical="center" wrapText="1"/>
    </xf>
    <xf numFmtId="0" fontId="18" fillId="0" borderId="23" xfId="0" applyFont="1" applyBorder="1" applyAlignment="1">
      <alignment horizontal="left" vertical="center" wrapText="1"/>
    </xf>
    <xf numFmtId="0" fontId="18" fillId="0" borderId="2" xfId="0" applyFont="1" applyBorder="1" applyAlignment="1">
      <alignment horizontal="left" vertical="center" wrapText="1"/>
    </xf>
    <xf numFmtId="0" fontId="18" fillId="0" borderId="24" xfId="0" applyFont="1" applyBorder="1" applyAlignment="1">
      <alignment horizontal="left" vertical="center" wrapText="1"/>
    </xf>
    <xf numFmtId="0" fontId="9" fillId="0" borderId="0" xfId="0" applyFont="1" applyAlignment="1" applyProtection="1">
      <alignment horizontal="left" vertical="top" wrapText="1"/>
    </xf>
    <xf numFmtId="0" fontId="0" fillId="5" borderId="18" xfId="0" applyNumberFormat="1" applyFill="1" applyBorder="1" applyAlignment="1" applyProtection="1">
      <alignment horizontal="left" wrapText="1"/>
      <protection locked="0"/>
    </xf>
    <xf numFmtId="0" fontId="0" fillId="5" borderId="33" xfId="0" applyNumberFormat="1" applyFill="1" applyBorder="1" applyAlignment="1" applyProtection="1">
      <alignment horizontal="left" wrapText="1"/>
      <protection locked="0"/>
    </xf>
    <xf numFmtId="0" fontId="0" fillId="5" borderId="19" xfId="0" applyNumberFormat="1" applyFill="1" applyBorder="1" applyAlignment="1" applyProtection="1">
      <alignment horizontal="left" wrapText="1"/>
      <protection locked="0"/>
    </xf>
    <xf numFmtId="0" fontId="0" fillId="5" borderId="18" xfId="0" applyFill="1" applyBorder="1" applyAlignment="1" applyProtection="1">
      <alignment horizontal="left" vertical="center" wrapText="1"/>
    </xf>
    <xf numFmtId="0" fontId="0" fillId="5" borderId="33" xfId="0" applyFill="1" applyBorder="1" applyAlignment="1" applyProtection="1">
      <alignment horizontal="left" vertical="center" wrapText="1"/>
    </xf>
    <xf numFmtId="0" fontId="0" fillId="5" borderId="19" xfId="0" applyFill="1" applyBorder="1" applyAlignment="1" applyProtection="1">
      <alignment horizontal="left" vertical="center" wrapText="1"/>
    </xf>
    <xf numFmtId="0" fontId="0" fillId="5" borderId="18" xfId="0" applyFill="1" applyBorder="1" applyAlignment="1" applyProtection="1">
      <alignment horizontal="left" wrapText="1"/>
    </xf>
    <xf numFmtId="0" fontId="0" fillId="5" borderId="33" xfId="0" applyFill="1" applyBorder="1" applyAlignment="1" applyProtection="1">
      <alignment horizontal="left" wrapText="1"/>
    </xf>
    <xf numFmtId="0" fontId="0" fillId="5" borderId="19" xfId="0" applyFill="1" applyBorder="1" applyAlignment="1" applyProtection="1">
      <alignment horizontal="left" wrapText="1"/>
    </xf>
    <xf numFmtId="0" fontId="25" fillId="0" borderId="57" xfId="0" applyFont="1" applyFill="1" applyBorder="1" applyAlignment="1">
      <alignment horizontal="left" vertical="center" wrapText="1"/>
    </xf>
    <xf numFmtId="0" fontId="25" fillId="0" borderId="56" xfId="0"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0" borderId="55" xfId="0" applyFont="1" applyFill="1" applyBorder="1" applyAlignment="1">
      <alignment horizontal="left" vertical="center" wrapText="1"/>
    </xf>
    <xf numFmtId="0" fontId="25" fillId="0" borderId="24" xfId="0" applyFont="1" applyFill="1" applyBorder="1" applyAlignment="1">
      <alignment horizontal="left" vertical="center" wrapText="1"/>
    </xf>
    <xf numFmtId="0" fontId="25" fillId="0" borderId="30" xfId="0" applyFont="1" applyFill="1" applyBorder="1" applyAlignment="1">
      <alignment horizontal="left" vertical="center" wrapText="1"/>
    </xf>
    <xf numFmtId="0" fontId="3" fillId="6" borderId="0" xfId="0" applyFont="1" applyFill="1" applyAlignment="1">
      <alignment horizontal="left"/>
    </xf>
    <xf numFmtId="0" fontId="1" fillId="6" borderId="51" xfId="0" applyFont="1" applyFill="1" applyBorder="1" applyAlignment="1">
      <alignment horizontal="center" vertical="center" wrapText="1"/>
    </xf>
    <xf numFmtId="0" fontId="1" fillId="6" borderId="67" xfId="0" applyFont="1" applyFill="1" applyBorder="1" applyAlignment="1">
      <alignment horizontal="center" vertical="center" wrapText="1"/>
    </xf>
    <xf numFmtId="0" fontId="1" fillId="6" borderId="31" xfId="0" applyFont="1" applyFill="1" applyBorder="1" applyAlignment="1">
      <alignment horizontal="left" wrapText="1"/>
    </xf>
    <xf numFmtId="0" fontId="1" fillId="6" borderId="5" xfId="0" applyFont="1" applyFill="1" applyBorder="1" applyAlignment="1">
      <alignment horizontal="left" wrapText="1"/>
    </xf>
    <xf numFmtId="0" fontId="25" fillId="0" borderId="34"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0" xfId="0" applyFont="1" applyFill="1" applyBorder="1" applyAlignment="1">
      <alignment horizontal="left" vertical="center" wrapText="1"/>
    </xf>
    <xf numFmtId="0" fontId="1" fillId="6" borderId="50" xfId="0" applyFont="1" applyFill="1" applyBorder="1" applyAlignment="1">
      <alignment horizontal="center"/>
    </xf>
    <xf numFmtId="0" fontId="1" fillId="6" borderId="51" xfId="0" applyFont="1" applyFill="1" applyBorder="1" applyAlignment="1">
      <alignment horizontal="center"/>
    </xf>
    <xf numFmtId="0" fontId="1" fillId="6" borderId="67" xfId="0" applyFont="1" applyFill="1" applyBorder="1" applyAlignment="1">
      <alignment horizontal="center"/>
    </xf>
    <xf numFmtId="0" fontId="0" fillId="6" borderId="73" xfId="0" applyFill="1" applyBorder="1" applyAlignment="1">
      <alignment horizontal="center" vertical="center" wrapText="1"/>
    </xf>
    <xf numFmtId="0" fontId="0" fillId="6" borderId="3" xfId="0" applyFill="1" applyBorder="1" applyAlignment="1">
      <alignment horizontal="center" vertical="center" wrapText="1"/>
    </xf>
    <xf numFmtId="0" fontId="0" fillId="6" borderId="29" xfId="0" applyFill="1" applyBorder="1" applyAlignment="1">
      <alignment horizontal="center" vertical="center" wrapText="1"/>
    </xf>
    <xf numFmtId="0" fontId="0" fillId="6" borderId="34" xfId="0" applyFill="1" applyBorder="1" applyAlignment="1">
      <alignment horizontal="center" vertical="center" wrapText="1"/>
    </xf>
    <xf numFmtId="0" fontId="0" fillId="6" borderId="35" xfId="0" applyFill="1" applyBorder="1" applyAlignment="1">
      <alignment horizontal="center" vertical="center" wrapText="1"/>
    </xf>
    <xf numFmtId="0" fontId="0" fillId="6" borderId="26" xfId="0" applyFill="1" applyBorder="1" applyAlignment="1">
      <alignment horizontal="center" vertical="center" wrapText="1"/>
    </xf>
    <xf numFmtId="0" fontId="1" fillId="0" borderId="0" xfId="0" applyFont="1" applyBorder="1" applyAlignment="1">
      <alignment horizontal="center" vertical="center" wrapText="1"/>
    </xf>
    <xf numFmtId="0" fontId="1" fillId="6" borderId="8" xfId="0" applyFont="1" applyFill="1" applyBorder="1" applyAlignment="1">
      <alignment horizontal="center" vertical="center" wrapText="1"/>
    </xf>
    <xf numFmtId="0" fontId="1" fillId="6" borderId="9" xfId="0" applyFont="1" applyFill="1" applyBorder="1" applyAlignment="1">
      <alignment horizontal="center" vertical="center"/>
    </xf>
    <xf numFmtId="0" fontId="1" fillId="6" borderId="10" xfId="0" applyFont="1" applyFill="1" applyBorder="1" applyAlignment="1">
      <alignment horizontal="center" vertical="center"/>
    </xf>
    <xf numFmtId="0" fontId="25" fillId="0" borderId="74" xfId="0" applyFont="1" applyFill="1" applyBorder="1" applyAlignment="1">
      <alignment horizontal="left" vertical="center" wrapText="1"/>
    </xf>
    <xf numFmtId="0" fontId="1" fillId="6" borderId="27" xfId="0" applyFont="1" applyFill="1" applyBorder="1" applyAlignment="1">
      <alignment horizontal="left" wrapText="1"/>
    </xf>
    <xf numFmtId="0" fontId="1" fillId="6" borderId="16" xfId="0" applyFont="1" applyFill="1" applyBorder="1" applyAlignment="1">
      <alignment horizontal="left" wrapText="1"/>
    </xf>
    <xf numFmtId="0" fontId="1" fillId="6" borderId="9"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1" fillId="6" borderId="72" xfId="0" applyFont="1" applyFill="1" applyBorder="1" applyAlignment="1">
      <alignment horizontal="center" vertical="center" wrapText="1"/>
    </xf>
    <xf numFmtId="0" fontId="1" fillId="6" borderId="63" xfId="0" applyFont="1" applyFill="1" applyBorder="1" applyAlignment="1">
      <alignment horizontal="center" vertical="center" wrapText="1"/>
    </xf>
    <xf numFmtId="0" fontId="1" fillId="6" borderId="6" xfId="0" applyFont="1" applyFill="1" applyBorder="1" applyAlignment="1">
      <alignment horizontal="left" wrapText="1"/>
    </xf>
    <xf numFmtId="0" fontId="1" fillId="6" borderId="43" xfId="0" applyFont="1" applyFill="1" applyBorder="1" applyAlignment="1">
      <alignment horizontal="center" vertical="center"/>
    </xf>
    <xf numFmtId="0" fontId="1" fillId="6" borderId="44"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43" xfId="0" applyFont="1" applyFill="1" applyBorder="1" applyAlignment="1">
      <alignment horizontal="center"/>
    </xf>
    <xf numFmtId="0" fontId="1" fillId="6" borderId="52" xfId="0" applyFont="1" applyFill="1" applyBorder="1" applyAlignment="1">
      <alignment horizontal="center"/>
    </xf>
    <xf numFmtId="0" fontId="1" fillId="6" borderId="44" xfId="0" applyFont="1" applyFill="1" applyBorder="1" applyAlignment="1">
      <alignment horizontal="center"/>
    </xf>
    <xf numFmtId="0" fontId="1" fillId="6" borderId="43" xfId="0" applyFont="1" applyFill="1" applyBorder="1" applyAlignment="1">
      <alignment horizontal="center" wrapText="1"/>
    </xf>
    <xf numFmtId="0" fontId="1" fillId="6" borderId="52" xfId="0" applyFont="1" applyFill="1" applyBorder="1" applyAlignment="1">
      <alignment horizontal="center" wrapText="1"/>
    </xf>
    <xf numFmtId="0" fontId="1" fillId="6" borderId="44" xfId="0" applyFont="1" applyFill="1" applyBorder="1" applyAlignment="1">
      <alignment horizontal="center" wrapText="1"/>
    </xf>
    <xf numFmtId="0" fontId="1" fillId="6" borderId="3" xfId="0" applyFont="1" applyFill="1" applyBorder="1" applyAlignment="1">
      <alignment horizontal="left" wrapText="1"/>
    </xf>
    <xf numFmtId="0" fontId="1" fillId="6" borderId="60"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43" xfId="0" applyFont="1" applyFill="1" applyBorder="1" applyAlignment="1">
      <alignment horizontal="center" vertical="center" wrapText="1"/>
    </xf>
    <xf numFmtId="0" fontId="1" fillId="6" borderId="44" xfId="0" applyFont="1" applyFill="1" applyBorder="1" applyAlignment="1">
      <alignment horizontal="center" vertical="center" wrapText="1"/>
    </xf>
    <xf numFmtId="0" fontId="1" fillId="6" borderId="8" xfId="0" applyFont="1" applyFill="1" applyBorder="1" applyAlignment="1">
      <alignment horizontal="center"/>
    </xf>
    <xf numFmtId="0" fontId="1" fillId="6" borderId="9" xfId="0" applyFont="1" applyFill="1" applyBorder="1" applyAlignment="1">
      <alignment horizontal="center"/>
    </xf>
    <xf numFmtId="0" fontId="1" fillId="6" borderId="10" xfId="0" applyFont="1" applyFill="1" applyBorder="1" applyAlignment="1">
      <alignment horizontal="center"/>
    </xf>
    <xf numFmtId="0" fontId="1" fillId="6" borderId="10" xfId="0" applyFont="1" applyFill="1" applyBorder="1" applyAlignment="1">
      <alignment horizontal="center" vertical="center" wrapText="1"/>
    </xf>
    <xf numFmtId="0" fontId="48" fillId="17" borderId="18" xfId="0" applyFont="1" applyFill="1" applyBorder="1" applyAlignment="1">
      <alignment horizontal="center" wrapText="1"/>
    </xf>
    <xf numFmtId="0" fontId="48" fillId="17" borderId="19" xfId="0" applyFont="1" applyFill="1" applyBorder="1" applyAlignment="1">
      <alignment horizontal="center" wrapText="1"/>
    </xf>
    <xf numFmtId="0" fontId="0" fillId="0" borderId="0" xfId="0" applyAlignment="1">
      <alignment horizontal="left" vertical="top" wrapText="1"/>
    </xf>
    <xf numFmtId="0" fontId="28" fillId="7" borderId="18" xfId="0" applyFont="1" applyFill="1" applyBorder="1" applyAlignment="1">
      <alignment horizontal="center" vertical="center" wrapText="1"/>
    </xf>
    <xf numFmtId="0" fontId="28" fillId="7" borderId="33"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0" fillId="7" borderId="18" xfId="0" applyFont="1" applyFill="1" applyBorder="1" applyAlignment="1">
      <alignment horizontal="center" vertical="center" wrapText="1"/>
    </xf>
    <xf numFmtId="0" fontId="0" fillId="7" borderId="33" xfId="0" applyFont="1" applyFill="1" applyBorder="1" applyAlignment="1">
      <alignment horizontal="center" vertical="center" wrapText="1"/>
    </xf>
    <xf numFmtId="0" fontId="0" fillId="7" borderId="19" xfId="0" applyFont="1" applyFill="1" applyBorder="1" applyAlignment="1">
      <alignment horizontal="center" vertical="center" wrapText="1"/>
    </xf>
    <xf numFmtId="0" fontId="0" fillId="7" borderId="18" xfId="0" applyFont="1" applyFill="1" applyBorder="1" applyAlignment="1">
      <alignment horizontal="center" vertical="center"/>
    </xf>
    <xf numFmtId="0" fontId="0" fillId="7" borderId="33" xfId="0" applyFont="1" applyFill="1" applyBorder="1" applyAlignment="1">
      <alignment horizontal="center" vertical="center"/>
    </xf>
    <xf numFmtId="0" fontId="0" fillId="7" borderId="19" xfId="0" applyFont="1" applyFill="1" applyBorder="1" applyAlignment="1">
      <alignment horizontal="center" vertical="center"/>
    </xf>
    <xf numFmtId="0" fontId="28" fillId="13" borderId="17" xfId="0" applyFont="1" applyFill="1" applyBorder="1" applyAlignment="1">
      <alignment horizontal="center" vertical="center" wrapText="1"/>
    </xf>
    <xf numFmtId="0" fontId="0" fillId="13" borderId="17" xfId="0" applyFont="1" applyFill="1" applyBorder="1" applyAlignment="1">
      <alignment horizontal="center" wrapText="1"/>
    </xf>
  </cellXfs>
  <cellStyles count="3">
    <cellStyle name="Comma" xfId="2" builtinId="3"/>
    <cellStyle name="Normal" xfId="0" builtinId="0"/>
    <cellStyle name="Percent" xfId="1" builtinId="5"/>
  </cellStyles>
  <dxfs count="40">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2" tint="-0.499984740745262"/>
        <name val="Times New Roman"/>
        <scheme val="none"/>
      </font>
      <numFmt numFmtId="3" formatCode="#,##0"/>
      <fill>
        <patternFill patternType="solid">
          <fgColor indexed="64"/>
          <bgColor theme="2" tint="-0.499984740745262"/>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theme="2" tint="-0.499984740745262"/>
        <name val="Times New Roman"/>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Calibri"/>
        <scheme val="none"/>
      </font>
      <fill>
        <patternFill patternType="none">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auto="1"/>
        <name val="Calibri"/>
        <scheme val="none"/>
      </font>
      <numFmt numFmtId="0" formatCode="General"/>
      <fill>
        <patternFill patternType="none">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border>
    </dxf>
    <dxf>
      <border outline="0">
        <left style="thin">
          <color indexed="64"/>
        </left>
        <top style="thin">
          <color indexed="64"/>
        </top>
        <bottom style="thin">
          <color indexed="64"/>
        </bottom>
      </border>
    </dxf>
    <dxf>
      <fill>
        <patternFill patternType="none">
          <bgColor auto="1"/>
        </patternFill>
      </fill>
    </dxf>
    <dxf>
      <font>
        <b/>
        <i val="0"/>
        <strike val="0"/>
        <condense val="0"/>
        <extend val="0"/>
        <outline val="0"/>
        <shadow val="0"/>
        <u val="none"/>
        <vertAlign val="baseline"/>
        <sz val="10"/>
        <color theme="1"/>
        <name val="Calibri"/>
        <scheme val="none"/>
      </font>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theme="5" tint="-0.499984740745262"/>
      </font>
      <fill>
        <patternFill>
          <bgColor theme="5" tint="0.59996337778862885"/>
        </patternFill>
      </fill>
    </dxf>
    <dxf>
      <font>
        <color theme="7" tint="-0.499984740745262"/>
      </font>
      <fill>
        <patternFill>
          <bgColor theme="7" tint="0.59996337778862885"/>
        </patternFill>
      </fill>
    </dxf>
  </dxfs>
  <tableStyles count="1" defaultTableStyle="TableStyleMedium2" defaultPivotStyle="PivotStyleLight16">
    <tableStyle name="Table Style 1" pivot="0" count="0" xr9:uid="{4EF88A28-DE70-416F-BAA5-13E85BF72B6A}"/>
  </tableStyles>
  <colors>
    <mruColors>
      <color rgb="FF9966FF"/>
      <color rgb="FFD60093"/>
      <color rgb="FF0099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Weighted Evaluation Objective Scores</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0542367946062"/>
          <c:y val="0.11477418230860228"/>
          <c:w val="0.64793745606040143"/>
          <c:h val="0.52178110346155115"/>
        </c:manualLayout>
      </c:layout>
      <c:barChart>
        <c:barDir val="bar"/>
        <c:grouping val="stacked"/>
        <c:varyColors val="0"/>
        <c:ser>
          <c:idx val="0"/>
          <c:order val="0"/>
          <c:tx>
            <c:strRef>
              <c:f>'Trade-off Analysis Results'!$C$22</c:f>
              <c:strCache>
                <c:ptCount val="1"/>
                <c:pt idx="0">
                  <c:v>Address Climate Change through GHG Reduction</c:v>
                </c:pt>
              </c:strCache>
            </c:strRef>
          </c:tx>
          <c:spPr>
            <a:solidFill>
              <a:schemeClr val="accent1"/>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Results'!$C$23:$C$34</c:f>
              <c:numCache>
                <c:formatCode>0.00</c:formatCode>
                <c:ptCount val="12"/>
                <c:pt idx="0">
                  <c:v>2.61375</c:v>
                </c:pt>
                <c:pt idx="1">
                  <c:v>0</c:v>
                </c:pt>
                <c:pt idx="2">
                  <c:v>2.665</c:v>
                </c:pt>
                <c:pt idx="3">
                  <c:v>2.4839166666666666</c:v>
                </c:pt>
                <c:pt idx="4">
                  <c:v>1.9474999999999998</c:v>
                </c:pt>
                <c:pt idx="5">
                  <c:v>2.61375</c:v>
                </c:pt>
                <c:pt idx="6">
                  <c:v>2.8836666666666662</c:v>
                </c:pt>
                <c:pt idx="7">
                  <c:v>1.9294117647058822</c:v>
                </c:pt>
                <c:pt idx="8">
                  <c:v>2.7469999999999999</c:v>
                </c:pt>
                <c:pt idx="9">
                  <c:v>2.604705882352941</c:v>
                </c:pt>
                <c:pt idx="10">
                  <c:v>3.0749999999999997</c:v>
                </c:pt>
                <c:pt idx="11">
                  <c:v>2.9734761904761902</c:v>
                </c:pt>
              </c:numCache>
            </c:numRef>
          </c:val>
          <c:extLst>
            <c:ext xmlns:c16="http://schemas.microsoft.com/office/drawing/2014/chart" uri="{C3380CC4-5D6E-409C-BE32-E72D297353CC}">
              <c16:uniqueId val="{00000000-F1B7-4580-B122-D301CCE6164E}"/>
            </c:ext>
          </c:extLst>
        </c:ser>
        <c:ser>
          <c:idx val="1"/>
          <c:order val="1"/>
          <c:tx>
            <c:strRef>
              <c:f>'Trade-off Analysis Results'!$D$22</c:f>
              <c:strCache>
                <c:ptCount val="1"/>
                <c:pt idx="0">
                  <c:v>Climate Resilience</c:v>
                </c:pt>
              </c:strCache>
            </c:strRef>
          </c:tx>
          <c:spPr>
            <a:solidFill>
              <a:schemeClr val="accent2"/>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Results'!$D$23:$D$34</c:f>
              <c:numCache>
                <c:formatCode>0.00</c:formatCode>
                <c:ptCount val="12"/>
                <c:pt idx="0">
                  <c:v>2.4669090909090903</c:v>
                </c:pt>
                <c:pt idx="1">
                  <c:v>0</c:v>
                </c:pt>
                <c:pt idx="2">
                  <c:v>4.8</c:v>
                </c:pt>
                <c:pt idx="3">
                  <c:v>3.5702479338842976</c:v>
                </c:pt>
                <c:pt idx="4">
                  <c:v>0</c:v>
                </c:pt>
                <c:pt idx="5">
                  <c:v>2.5409090909090906</c:v>
                </c:pt>
                <c:pt idx="6">
                  <c:v>2.6983302411873837</c:v>
                </c:pt>
                <c:pt idx="7">
                  <c:v>4.8</c:v>
                </c:pt>
                <c:pt idx="8">
                  <c:v>4.1662090584801641</c:v>
                </c:pt>
                <c:pt idx="9">
                  <c:v>4.8</c:v>
                </c:pt>
                <c:pt idx="10">
                  <c:v>3.6</c:v>
                </c:pt>
                <c:pt idx="11">
                  <c:v>3.815712682379349</c:v>
                </c:pt>
              </c:numCache>
            </c:numRef>
          </c:val>
          <c:extLst>
            <c:ext xmlns:c16="http://schemas.microsoft.com/office/drawing/2014/chart" uri="{C3380CC4-5D6E-409C-BE32-E72D297353CC}">
              <c16:uniqueId val="{00000001-F1B7-4580-B122-D301CCE6164E}"/>
            </c:ext>
          </c:extLst>
        </c:ser>
        <c:ser>
          <c:idx val="2"/>
          <c:order val="2"/>
          <c:tx>
            <c:strRef>
              <c:f>'Trade-off Analysis Results'!$E$22</c:f>
              <c:strCache>
                <c:ptCount val="1"/>
                <c:pt idx="0">
                  <c:v>Cost Effectiveness</c:v>
                </c:pt>
              </c:strCache>
            </c:strRef>
          </c:tx>
          <c:spPr>
            <a:solidFill>
              <a:schemeClr val="accent3"/>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Results'!$E$23:$E$34</c:f>
              <c:numCache>
                <c:formatCode>0.00</c:formatCode>
                <c:ptCount val="12"/>
                <c:pt idx="0">
                  <c:v>1.882986111111111</c:v>
                </c:pt>
                <c:pt idx="1">
                  <c:v>0</c:v>
                </c:pt>
                <c:pt idx="2">
                  <c:v>3.1166666666666663</c:v>
                </c:pt>
                <c:pt idx="3">
                  <c:v>1.8214285714285716</c:v>
                </c:pt>
                <c:pt idx="4">
                  <c:v>2.6166666666666663</c:v>
                </c:pt>
                <c:pt idx="5">
                  <c:v>1.6220833333333331</c:v>
                </c:pt>
                <c:pt idx="6">
                  <c:v>2.125</c:v>
                </c:pt>
                <c:pt idx="7">
                  <c:v>1.3851851851851853</c:v>
                </c:pt>
                <c:pt idx="8">
                  <c:v>2.4392763157894737</c:v>
                </c:pt>
                <c:pt idx="9">
                  <c:v>2.2666666666666666</c:v>
                </c:pt>
                <c:pt idx="10">
                  <c:v>3.4885416666666673</c:v>
                </c:pt>
                <c:pt idx="11">
                  <c:v>2.4842261904761904</c:v>
                </c:pt>
              </c:numCache>
            </c:numRef>
          </c:val>
          <c:extLst>
            <c:ext xmlns:c16="http://schemas.microsoft.com/office/drawing/2014/chart" uri="{C3380CC4-5D6E-409C-BE32-E72D297353CC}">
              <c16:uniqueId val="{00000002-F1B7-4580-B122-D301CCE6164E}"/>
            </c:ext>
          </c:extLst>
        </c:ser>
        <c:ser>
          <c:idx val="3"/>
          <c:order val="3"/>
          <c:tx>
            <c:strRef>
              <c:f>'Trade-off Analysis Results'!$F$22</c:f>
              <c:strCache>
                <c:ptCount val="1"/>
                <c:pt idx="0">
                  <c:v>Environmental Justice</c:v>
                </c:pt>
              </c:strCache>
            </c:strRef>
          </c:tx>
          <c:spPr>
            <a:solidFill>
              <a:schemeClr val="accent4"/>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Results'!$F$23:$F$34</c:f>
              <c:numCache>
                <c:formatCode>0.00</c:formatCode>
                <c:ptCount val="12"/>
                <c:pt idx="0">
                  <c:v>2.61</c:v>
                </c:pt>
                <c:pt idx="1">
                  <c:v>0</c:v>
                </c:pt>
                <c:pt idx="2">
                  <c:v>0</c:v>
                </c:pt>
                <c:pt idx="3">
                  <c:v>2.6824999999999997</c:v>
                </c:pt>
                <c:pt idx="4">
                  <c:v>0</c:v>
                </c:pt>
                <c:pt idx="5">
                  <c:v>2.7187499999999996</c:v>
                </c:pt>
                <c:pt idx="6">
                  <c:v>2.6507812499999996</c:v>
                </c:pt>
                <c:pt idx="7">
                  <c:v>0</c:v>
                </c:pt>
                <c:pt idx="8">
                  <c:v>2.8515803571428568</c:v>
                </c:pt>
                <c:pt idx="9">
                  <c:v>2.61</c:v>
                </c:pt>
                <c:pt idx="10">
                  <c:v>3.0449999999999995</c:v>
                </c:pt>
                <c:pt idx="11">
                  <c:v>3.2987499999999996</c:v>
                </c:pt>
              </c:numCache>
            </c:numRef>
          </c:val>
          <c:extLst>
            <c:ext xmlns:c16="http://schemas.microsoft.com/office/drawing/2014/chart" uri="{C3380CC4-5D6E-409C-BE32-E72D297353CC}">
              <c16:uniqueId val="{00000003-F1B7-4580-B122-D301CCE6164E}"/>
            </c:ext>
          </c:extLst>
        </c:ser>
        <c:ser>
          <c:idx val="4"/>
          <c:order val="4"/>
          <c:tx>
            <c:strRef>
              <c:f>'Trade-off Analysis Results'!$G$22</c:f>
              <c:strCache>
                <c:ptCount val="1"/>
                <c:pt idx="0">
                  <c:v>Optimize Local Supplies</c:v>
                </c:pt>
              </c:strCache>
            </c:strRef>
          </c:tx>
          <c:spPr>
            <a:solidFill>
              <a:schemeClr val="accent5"/>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Results'!$G$23:$G$34</c:f>
              <c:numCache>
                <c:formatCode>0.00</c:formatCode>
                <c:ptCount val="12"/>
                <c:pt idx="0">
                  <c:v>3.5739583333333327</c:v>
                </c:pt>
                <c:pt idx="1">
                  <c:v>0</c:v>
                </c:pt>
                <c:pt idx="2">
                  <c:v>3.9811764705882355</c:v>
                </c:pt>
                <c:pt idx="3">
                  <c:v>4.6706250000000002</c:v>
                </c:pt>
                <c:pt idx="4">
                  <c:v>2.6437499999999998</c:v>
                </c:pt>
                <c:pt idx="5">
                  <c:v>4.54725</c:v>
                </c:pt>
                <c:pt idx="6">
                  <c:v>4.6118749999999995</c:v>
                </c:pt>
                <c:pt idx="7">
                  <c:v>4.7</c:v>
                </c:pt>
                <c:pt idx="8">
                  <c:v>3.314855769230769</c:v>
                </c:pt>
                <c:pt idx="9">
                  <c:v>4.4911111111111115</c:v>
                </c:pt>
                <c:pt idx="10">
                  <c:v>4.0008749999999997</c:v>
                </c:pt>
                <c:pt idx="11">
                  <c:v>3.6229166666666672</c:v>
                </c:pt>
              </c:numCache>
            </c:numRef>
          </c:val>
          <c:extLst>
            <c:ext xmlns:c16="http://schemas.microsoft.com/office/drawing/2014/chart" uri="{C3380CC4-5D6E-409C-BE32-E72D297353CC}">
              <c16:uniqueId val="{00000004-F1B7-4580-B122-D301CCE6164E}"/>
            </c:ext>
          </c:extLst>
        </c:ser>
        <c:ser>
          <c:idx val="5"/>
          <c:order val="5"/>
          <c:tx>
            <c:strRef>
              <c:f>'Trade-off Analysis Results'!$H$22</c:f>
              <c:strCache>
                <c:ptCount val="1"/>
                <c:pt idx="0">
                  <c:v>Project Complexity</c:v>
                </c:pt>
              </c:strCache>
            </c:strRef>
          </c:tx>
          <c:spPr>
            <a:solidFill>
              <a:schemeClr val="accent6"/>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Results'!$H$23:$H$34</c:f>
              <c:numCache>
                <c:formatCode>0.00</c:formatCode>
                <c:ptCount val="12"/>
                <c:pt idx="0">
                  <c:v>2.151979166666667</c:v>
                </c:pt>
                <c:pt idx="1">
                  <c:v>0</c:v>
                </c:pt>
                <c:pt idx="2">
                  <c:v>2.2329411764705882</c:v>
                </c:pt>
                <c:pt idx="3">
                  <c:v>1.4681111111111111</c:v>
                </c:pt>
                <c:pt idx="4">
                  <c:v>2.380168067226891</c:v>
                </c:pt>
                <c:pt idx="5">
                  <c:v>1.2775000000000001</c:v>
                </c:pt>
                <c:pt idx="6">
                  <c:v>2.28125</c:v>
                </c:pt>
                <c:pt idx="7">
                  <c:v>1.0706666666666664</c:v>
                </c:pt>
                <c:pt idx="8">
                  <c:v>2.2690833333333336</c:v>
                </c:pt>
                <c:pt idx="9">
                  <c:v>1.7979629629629632</c:v>
                </c:pt>
                <c:pt idx="10">
                  <c:v>3.0173333333333328</c:v>
                </c:pt>
                <c:pt idx="11">
                  <c:v>2.0683333333333334</c:v>
                </c:pt>
              </c:numCache>
            </c:numRef>
          </c:val>
          <c:extLst>
            <c:ext xmlns:c16="http://schemas.microsoft.com/office/drawing/2014/chart" uri="{C3380CC4-5D6E-409C-BE32-E72D297353CC}">
              <c16:uniqueId val="{00000005-F1B7-4580-B122-D301CCE6164E}"/>
            </c:ext>
          </c:extLst>
        </c:ser>
        <c:ser>
          <c:idx val="6"/>
          <c:order val="6"/>
          <c:tx>
            <c:strRef>
              <c:f>'Trade-off Analysis Results'!$I$22</c:f>
              <c:strCache>
                <c:ptCount val="1"/>
                <c:pt idx="0">
                  <c:v>Protect Habitats, Wildlife, and  Ecosystems</c:v>
                </c:pt>
              </c:strCache>
            </c:strRef>
          </c:tx>
          <c:spPr>
            <a:solidFill>
              <a:schemeClr val="accent1">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Results'!$I$23:$I$34</c:f>
              <c:numCache>
                <c:formatCode>0.00</c:formatCode>
                <c:ptCount val="12"/>
                <c:pt idx="0">
                  <c:v>2.76</c:v>
                </c:pt>
                <c:pt idx="1">
                  <c:v>0</c:v>
                </c:pt>
                <c:pt idx="2">
                  <c:v>2.76</c:v>
                </c:pt>
                <c:pt idx="3">
                  <c:v>2.8157575757575755</c:v>
                </c:pt>
                <c:pt idx="4">
                  <c:v>2.76</c:v>
                </c:pt>
                <c:pt idx="5">
                  <c:v>2.76</c:v>
                </c:pt>
                <c:pt idx="6">
                  <c:v>2.76</c:v>
                </c:pt>
                <c:pt idx="7">
                  <c:v>2.76</c:v>
                </c:pt>
                <c:pt idx="8">
                  <c:v>2.9360043184885285</c:v>
                </c:pt>
                <c:pt idx="9">
                  <c:v>2.76</c:v>
                </c:pt>
                <c:pt idx="10">
                  <c:v>2.8366666666666669</c:v>
                </c:pt>
                <c:pt idx="11">
                  <c:v>3.084705882352941</c:v>
                </c:pt>
              </c:numCache>
            </c:numRef>
          </c:val>
          <c:extLst>
            <c:ext xmlns:c16="http://schemas.microsoft.com/office/drawing/2014/chart" uri="{C3380CC4-5D6E-409C-BE32-E72D297353CC}">
              <c16:uniqueId val="{00000006-F1B7-4580-B122-D301CCE6164E}"/>
            </c:ext>
          </c:extLst>
        </c:ser>
        <c:ser>
          <c:idx val="7"/>
          <c:order val="7"/>
          <c:tx>
            <c:strRef>
              <c:f>'Trade-off Analysis Results'!$J$22</c:f>
              <c:strCache>
                <c:ptCount val="1"/>
                <c:pt idx="0">
                  <c:v>Provide for Scalability of Implementation</c:v>
                </c:pt>
              </c:strCache>
            </c:strRef>
          </c:tx>
          <c:spPr>
            <a:solidFill>
              <a:schemeClr val="accent2">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Results'!$J$23:$J$34</c:f>
              <c:numCache>
                <c:formatCode>0.00</c:formatCode>
                <c:ptCount val="12"/>
                <c:pt idx="0">
                  <c:v>2.5153333333333334</c:v>
                </c:pt>
                <c:pt idx="1">
                  <c:v>0</c:v>
                </c:pt>
                <c:pt idx="2">
                  <c:v>2.7720000000000002</c:v>
                </c:pt>
                <c:pt idx="3">
                  <c:v>2.3619444444444442</c:v>
                </c:pt>
                <c:pt idx="4">
                  <c:v>2.1559999999999997</c:v>
                </c:pt>
                <c:pt idx="5">
                  <c:v>2.9095</c:v>
                </c:pt>
                <c:pt idx="6">
                  <c:v>2.9631250000000002</c:v>
                </c:pt>
                <c:pt idx="7">
                  <c:v>1.9506666666666668</c:v>
                </c:pt>
                <c:pt idx="8">
                  <c:v>2.4777499999999995</c:v>
                </c:pt>
                <c:pt idx="9">
                  <c:v>2.5987499999999999</c:v>
                </c:pt>
                <c:pt idx="10">
                  <c:v>3.1349999999999998</c:v>
                </c:pt>
                <c:pt idx="11">
                  <c:v>2.6949999999999998</c:v>
                </c:pt>
              </c:numCache>
            </c:numRef>
          </c:val>
          <c:extLst>
            <c:ext xmlns:c16="http://schemas.microsoft.com/office/drawing/2014/chart" uri="{C3380CC4-5D6E-409C-BE32-E72D297353CC}">
              <c16:uniqueId val="{00000007-F1B7-4580-B122-D301CCE6164E}"/>
            </c:ext>
          </c:extLst>
        </c:ser>
        <c:ser>
          <c:idx val="8"/>
          <c:order val="8"/>
          <c:tx>
            <c:strRef>
              <c:f>'Trade-off Analysis Results'!$K$22</c:f>
              <c:strCache>
                <c:ptCount val="1"/>
                <c:pt idx="0">
                  <c:v>Quality of Life/Recreation</c:v>
                </c:pt>
              </c:strCache>
            </c:strRef>
          </c:tx>
          <c:spPr>
            <a:solidFill>
              <a:schemeClr val="accent3">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Results'!$K$23:$K$34</c:f>
              <c:numCache>
                <c:formatCode>0.00</c:formatCode>
                <c:ptCount val="12"/>
                <c:pt idx="0">
                  <c:v>2.6891071428571434</c:v>
                </c:pt>
                <c:pt idx="1">
                  <c:v>0</c:v>
                </c:pt>
                <c:pt idx="2">
                  <c:v>2.3484828783105116</c:v>
                </c:pt>
                <c:pt idx="3">
                  <c:v>2.2379662879710041</c:v>
                </c:pt>
                <c:pt idx="4">
                  <c:v>2.2314706703885134</c:v>
                </c:pt>
                <c:pt idx="5">
                  <c:v>2.5603510528826008</c:v>
                </c:pt>
                <c:pt idx="6">
                  <c:v>2.765801849519347</c:v>
                </c:pt>
                <c:pt idx="7">
                  <c:v>2.2313615221050718</c:v>
                </c:pt>
                <c:pt idx="8">
                  <c:v>2.910751712861551</c:v>
                </c:pt>
                <c:pt idx="9">
                  <c:v>2.3944685560620975</c:v>
                </c:pt>
                <c:pt idx="10">
                  <c:v>2.78780598063602</c:v>
                </c:pt>
                <c:pt idx="11">
                  <c:v>2.9992832997905214</c:v>
                </c:pt>
              </c:numCache>
            </c:numRef>
          </c:val>
          <c:extLst>
            <c:ext xmlns:c16="http://schemas.microsoft.com/office/drawing/2014/chart" uri="{C3380CC4-5D6E-409C-BE32-E72D297353CC}">
              <c16:uniqueId val="{00000008-F1B7-4580-B122-D301CCE6164E}"/>
            </c:ext>
          </c:extLst>
        </c:ser>
        <c:ser>
          <c:idx val="9"/>
          <c:order val="9"/>
          <c:tx>
            <c:strRef>
              <c:f>'Trade-off Analysis Results'!$L$22</c:f>
              <c:strCache>
                <c:ptCount val="1"/>
                <c:pt idx="0">
                  <c:v>Regional Economic Impact</c:v>
                </c:pt>
              </c:strCache>
            </c:strRef>
          </c:tx>
          <c:spPr>
            <a:solidFill>
              <a:schemeClr val="accent4">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Results'!$L$23:$L$34</c:f>
              <c:numCache>
                <c:formatCode>0.00</c:formatCode>
                <c:ptCount val="12"/>
                <c:pt idx="0">
                  <c:v>3.1554545454545457</c:v>
                </c:pt>
                <c:pt idx="1">
                  <c:v>2.028</c:v>
                </c:pt>
                <c:pt idx="2">
                  <c:v>2.73</c:v>
                </c:pt>
                <c:pt idx="3">
                  <c:v>3.3973333333333331</c:v>
                </c:pt>
                <c:pt idx="4">
                  <c:v>2.21</c:v>
                </c:pt>
                <c:pt idx="5">
                  <c:v>3.7439999999999998</c:v>
                </c:pt>
                <c:pt idx="6">
                  <c:v>3.6270000000000002</c:v>
                </c:pt>
                <c:pt idx="7">
                  <c:v>2.8414285714285716</c:v>
                </c:pt>
                <c:pt idx="8">
                  <c:v>2.5349999999999997</c:v>
                </c:pt>
                <c:pt idx="9">
                  <c:v>3.12</c:v>
                </c:pt>
                <c:pt idx="10">
                  <c:v>3.2759999999999998</c:v>
                </c:pt>
                <c:pt idx="11">
                  <c:v>2.8191428571428565</c:v>
                </c:pt>
              </c:numCache>
            </c:numRef>
          </c:val>
          <c:extLst>
            <c:ext xmlns:c16="http://schemas.microsoft.com/office/drawing/2014/chart" uri="{C3380CC4-5D6E-409C-BE32-E72D297353CC}">
              <c16:uniqueId val="{00000009-F1B7-4580-B122-D301CCE6164E}"/>
            </c:ext>
          </c:extLst>
        </c:ser>
        <c:ser>
          <c:idx val="10"/>
          <c:order val="10"/>
          <c:tx>
            <c:strRef>
              <c:f>'Trade-off Analysis Results'!$M$22</c:f>
              <c:strCache>
                <c:ptCount val="1"/>
                <c:pt idx="0">
                  <c:v>Regional Integration and Coordination</c:v>
                </c:pt>
              </c:strCache>
            </c:strRef>
          </c:tx>
          <c:spPr>
            <a:solidFill>
              <a:schemeClr val="accent5">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Results'!$M$23:$M$34</c:f>
              <c:numCache>
                <c:formatCode>0.00</c:formatCode>
                <c:ptCount val="12"/>
                <c:pt idx="0">
                  <c:v>2.3866406249999996</c:v>
                </c:pt>
                <c:pt idx="1">
                  <c:v>0</c:v>
                </c:pt>
                <c:pt idx="2">
                  <c:v>2.7019642857142854</c:v>
                </c:pt>
                <c:pt idx="3">
                  <c:v>3.0162140376984121</c:v>
                </c:pt>
                <c:pt idx="4">
                  <c:v>2.1554166666666665</c:v>
                </c:pt>
                <c:pt idx="5">
                  <c:v>3.5692410714285714</c:v>
                </c:pt>
                <c:pt idx="6">
                  <c:v>3.0888392857142857</c:v>
                </c:pt>
                <c:pt idx="7">
                  <c:v>3.2347222222222221</c:v>
                </c:pt>
                <c:pt idx="8">
                  <c:v>2.6175845864661658</c:v>
                </c:pt>
                <c:pt idx="9">
                  <c:v>3.0812499999999998</c:v>
                </c:pt>
                <c:pt idx="10">
                  <c:v>3.1696651785714289</c:v>
                </c:pt>
                <c:pt idx="11">
                  <c:v>2.6385903159340658</c:v>
                </c:pt>
              </c:numCache>
            </c:numRef>
          </c:val>
          <c:extLst>
            <c:ext xmlns:c16="http://schemas.microsoft.com/office/drawing/2014/chart" uri="{C3380CC4-5D6E-409C-BE32-E72D297353CC}">
              <c16:uniqueId val="{0000000A-F1B7-4580-B122-D301CCE6164E}"/>
            </c:ext>
          </c:extLst>
        </c:ser>
        <c:ser>
          <c:idx val="11"/>
          <c:order val="11"/>
          <c:tx>
            <c:strRef>
              <c:f>'Trade-off Analysis Results'!$N$22</c:f>
              <c:strCache>
                <c:ptCount val="1"/>
                <c:pt idx="0">
                  <c:v>Reliability and Robustness</c:v>
                </c:pt>
              </c:strCache>
            </c:strRef>
          </c:tx>
          <c:spPr>
            <a:solidFill>
              <a:schemeClr val="accent6">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Results'!$N$23:$N$34</c:f>
              <c:numCache>
                <c:formatCode>0.00</c:formatCode>
                <c:ptCount val="12"/>
                <c:pt idx="0">
                  <c:v>3.7769790502891958</c:v>
                </c:pt>
                <c:pt idx="1">
                  <c:v>0</c:v>
                </c:pt>
                <c:pt idx="2">
                  <c:v>3.2046082828686941</c:v>
                </c:pt>
                <c:pt idx="3">
                  <c:v>3.7770249519139214</c:v>
                </c:pt>
                <c:pt idx="4">
                  <c:v>3.203364837207654</c:v>
                </c:pt>
                <c:pt idx="5">
                  <c:v>4.1902521872328489</c:v>
                </c:pt>
                <c:pt idx="6">
                  <c:v>3.9043885662387332</c:v>
                </c:pt>
                <c:pt idx="7">
                  <c:v>3.9065811944646414</c:v>
                </c:pt>
                <c:pt idx="8">
                  <c:v>3.2904471365064616</c:v>
                </c:pt>
                <c:pt idx="9">
                  <c:v>3.6296172585319253</c:v>
                </c:pt>
                <c:pt idx="10">
                  <c:v>3.2012985096013877</c:v>
                </c:pt>
                <c:pt idx="11">
                  <c:v>3.4865854868613311</c:v>
                </c:pt>
              </c:numCache>
            </c:numRef>
          </c:val>
          <c:extLst>
            <c:ext xmlns:c16="http://schemas.microsoft.com/office/drawing/2014/chart" uri="{C3380CC4-5D6E-409C-BE32-E72D297353CC}">
              <c16:uniqueId val="{0000000B-F1B7-4580-B122-D301CCE6164E}"/>
            </c:ext>
          </c:extLst>
        </c:ser>
        <c:ser>
          <c:idx val="12"/>
          <c:order val="12"/>
          <c:tx>
            <c:strRef>
              <c:f>'Trade-off Analysis Results'!$O$22</c:f>
              <c:strCache>
                <c:ptCount val="1"/>
                <c:pt idx="0">
                  <c:v>Water Quality and Watersheds</c:v>
                </c:pt>
              </c:strCache>
            </c:strRef>
          </c:tx>
          <c:spPr>
            <a:solidFill>
              <a:schemeClr val="accent1">
                <a:lumMod val="80000"/>
                <a:lumOff val="2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Results'!$O$23:$O$34</c:f>
              <c:numCache>
                <c:formatCode>0.00</c:formatCode>
                <c:ptCount val="12"/>
                <c:pt idx="0">
                  <c:v>3.2388888888888885</c:v>
                </c:pt>
                <c:pt idx="1">
                  <c:v>0</c:v>
                </c:pt>
                <c:pt idx="2">
                  <c:v>3.1875</c:v>
                </c:pt>
                <c:pt idx="3">
                  <c:v>3.361640211640212</c:v>
                </c:pt>
                <c:pt idx="4">
                  <c:v>0</c:v>
                </c:pt>
                <c:pt idx="5">
                  <c:v>3.9805555555555556</c:v>
                </c:pt>
                <c:pt idx="6">
                  <c:v>3.259722222222222</c:v>
                </c:pt>
                <c:pt idx="7">
                  <c:v>2.8333333333333335</c:v>
                </c:pt>
                <c:pt idx="8">
                  <c:v>3.8635964912280714</c:v>
                </c:pt>
                <c:pt idx="9">
                  <c:v>3.5196078431372548</c:v>
                </c:pt>
                <c:pt idx="10">
                  <c:v>3.5277777777777777</c:v>
                </c:pt>
                <c:pt idx="11">
                  <c:v>3.7329365079365076</c:v>
                </c:pt>
              </c:numCache>
            </c:numRef>
          </c:val>
          <c:extLst>
            <c:ext xmlns:c16="http://schemas.microsoft.com/office/drawing/2014/chart" uri="{C3380CC4-5D6E-409C-BE32-E72D297353CC}">
              <c16:uniqueId val="{0000000C-F1B7-4580-B122-D301CCE6164E}"/>
            </c:ext>
          </c:extLst>
        </c:ser>
        <c:dLbls>
          <c:showLegendKey val="0"/>
          <c:showVal val="0"/>
          <c:showCatName val="0"/>
          <c:showSerName val="0"/>
          <c:showPercent val="0"/>
          <c:showBubbleSize val="0"/>
        </c:dLbls>
        <c:gapWidth val="150"/>
        <c:overlap val="100"/>
        <c:axId val="605874224"/>
        <c:axId val="368703600"/>
      </c:barChart>
      <c:catAx>
        <c:axId val="60587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03600"/>
        <c:crosses val="autoZero"/>
        <c:auto val="1"/>
        <c:lblAlgn val="ctr"/>
        <c:lblOffset val="100"/>
        <c:noMultiLvlLbl val="0"/>
      </c:catAx>
      <c:valAx>
        <c:axId val="368703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874224"/>
        <c:crosses val="autoZero"/>
        <c:crossBetween val="between"/>
      </c:valAx>
      <c:spPr>
        <a:noFill/>
        <a:ln>
          <a:noFill/>
        </a:ln>
        <a:effectLst/>
      </c:spPr>
    </c:plotArea>
    <c:legend>
      <c:legendPos val="b"/>
      <c:layout>
        <c:manualLayout>
          <c:xMode val="edge"/>
          <c:yMode val="edge"/>
          <c:x val="1.9931933920813154E-2"/>
          <c:y val="0.71143628847843066"/>
          <c:w val="0.96273443261165192"/>
          <c:h val="0.269996844607263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Results'!$K$37</c:f>
              <c:strCache>
                <c:ptCount val="1"/>
                <c:pt idx="0">
                  <c:v>Unweighted Scores for Quality of Life/Recreation</c:v>
                </c:pt>
              </c:strCache>
            </c:strRef>
          </c:tx>
          <c:spPr>
            <a:solidFill>
              <a:schemeClr val="accent3">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Results'!$K$38:$K$49</c:f>
              <c:numCache>
                <c:formatCode>0.00</c:formatCode>
                <c:ptCount val="12"/>
                <c:pt idx="0">
                  <c:v>3.6339285714285716</c:v>
                </c:pt>
                <c:pt idx="1">
                  <c:v>0</c:v>
                </c:pt>
                <c:pt idx="2">
                  <c:v>3.173625511230421</c:v>
                </c:pt>
                <c:pt idx="3">
                  <c:v>3.0242787675283838</c:v>
                </c:pt>
                <c:pt idx="4">
                  <c:v>3.0155009059304234</c:v>
                </c:pt>
                <c:pt idx="5">
                  <c:v>3.4599338552467573</c:v>
                </c:pt>
                <c:pt idx="6">
                  <c:v>3.7375700669180363</c:v>
                </c:pt>
                <c:pt idx="7">
                  <c:v>3.015353408250097</c:v>
                </c:pt>
                <c:pt idx="8">
                  <c:v>3.9334482606237171</c:v>
                </c:pt>
                <c:pt idx="9">
                  <c:v>3.2357683190028346</c:v>
                </c:pt>
                <c:pt idx="10">
                  <c:v>3.7673053792378646</c:v>
                </c:pt>
                <c:pt idx="11">
                  <c:v>4.0530855402574613</c:v>
                </c:pt>
              </c:numCache>
            </c:numRef>
          </c:val>
          <c:extLst>
            <c:ext xmlns:c16="http://schemas.microsoft.com/office/drawing/2014/chart" uri="{C3380CC4-5D6E-409C-BE32-E72D297353CC}">
              <c16:uniqueId val="{00000000-FB71-4BFF-9C98-250E60F36563}"/>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Results'!$L$37</c:f>
              <c:strCache>
                <c:ptCount val="1"/>
                <c:pt idx="0">
                  <c:v>Unweighted Scores for Regional Economic Impact</c:v>
                </c:pt>
              </c:strCache>
            </c:strRef>
          </c:tx>
          <c:spPr>
            <a:solidFill>
              <a:schemeClr val="accent4">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Results'!$L$38:$L$49</c:f>
              <c:numCache>
                <c:formatCode>0.00</c:formatCode>
                <c:ptCount val="12"/>
                <c:pt idx="0">
                  <c:v>4.0454545454545459</c:v>
                </c:pt>
                <c:pt idx="1">
                  <c:v>2.6</c:v>
                </c:pt>
                <c:pt idx="2">
                  <c:v>3.5</c:v>
                </c:pt>
                <c:pt idx="3">
                  <c:v>4.3555555555555552</c:v>
                </c:pt>
                <c:pt idx="4">
                  <c:v>2.8333333333333335</c:v>
                </c:pt>
                <c:pt idx="5">
                  <c:v>4.8</c:v>
                </c:pt>
                <c:pt idx="6">
                  <c:v>4.6500000000000004</c:v>
                </c:pt>
                <c:pt idx="7">
                  <c:v>3.6428571428571428</c:v>
                </c:pt>
                <c:pt idx="8">
                  <c:v>3.25</c:v>
                </c:pt>
                <c:pt idx="9">
                  <c:v>4</c:v>
                </c:pt>
                <c:pt idx="10">
                  <c:v>4.2</c:v>
                </c:pt>
                <c:pt idx="11">
                  <c:v>3.6142857142857139</c:v>
                </c:pt>
              </c:numCache>
            </c:numRef>
          </c:val>
          <c:extLst>
            <c:ext xmlns:c16="http://schemas.microsoft.com/office/drawing/2014/chart" uri="{C3380CC4-5D6E-409C-BE32-E72D297353CC}">
              <c16:uniqueId val="{00000000-64C3-4367-BD70-A4395A4629C9}"/>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Results'!$M$37</c:f>
              <c:strCache>
                <c:ptCount val="1"/>
                <c:pt idx="0">
                  <c:v>Unweighted Scores for Regional Integration and Coordination</c:v>
                </c:pt>
              </c:strCache>
            </c:strRef>
          </c:tx>
          <c:spPr>
            <a:solidFill>
              <a:schemeClr val="accent5">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Results'!$M$38:$M$49</c:f>
              <c:numCache>
                <c:formatCode>General</c:formatCode>
                <c:ptCount val="12"/>
                <c:pt idx="0" formatCode="0.00">
                  <c:v>2.8078124999999998</c:v>
                </c:pt>
                <c:pt idx="1">
                  <c:v>0</c:v>
                </c:pt>
                <c:pt idx="2" formatCode="0.00">
                  <c:v>3.1787815126050418</c:v>
                </c:pt>
                <c:pt idx="3" formatCode="0.00">
                  <c:v>3.5484871031746028</c:v>
                </c:pt>
                <c:pt idx="4" formatCode="0.00">
                  <c:v>2.5357843137254901</c:v>
                </c:pt>
                <c:pt idx="5" formatCode="0.00">
                  <c:v>4.1991071428571427</c:v>
                </c:pt>
                <c:pt idx="6" formatCode="0.00">
                  <c:v>3.6339285714285716</c:v>
                </c:pt>
                <c:pt idx="7" formatCode="0.00">
                  <c:v>3.8055555555555554</c:v>
                </c:pt>
                <c:pt idx="8" formatCode="0.00">
                  <c:v>3.079511278195489</c:v>
                </c:pt>
                <c:pt idx="9" formatCode="0.00">
                  <c:v>3.625</c:v>
                </c:pt>
                <c:pt idx="10" formatCode="0.00">
                  <c:v>3.7290178571428574</c:v>
                </c:pt>
                <c:pt idx="11" formatCode="0.00">
                  <c:v>3.104223901098901</c:v>
                </c:pt>
              </c:numCache>
            </c:numRef>
          </c:val>
          <c:extLst>
            <c:ext xmlns:c16="http://schemas.microsoft.com/office/drawing/2014/chart" uri="{C3380CC4-5D6E-409C-BE32-E72D297353CC}">
              <c16:uniqueId val="{00000000-4D5D-4CD3-9350-5B9C4836AF9E}"/>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Results'!$G$37</c:f>
              <c:strCache>
                <c:ptCount val="1"/>
                <c:pt idx="0">
                  <c:v>Unweighted Scores for Optimize Local Supplies</c:v>
                </c:pt>
              </c:strCache>
            </c:strRef>
          </c:tx>
          <c:spPr>
            <a:solidFill>
              <a:schemeClr val="accent5"/>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Results'!$G$38:$G$49</c:f>
              <c:numCache>
                <c:formatCode>0.00</c:formatCode>
                <c:ptCount val="12"/>
                <c:pt idx="0">
                  <c:v>3.802083333333333</c:v>
                </c:pt>
                <c:pt idx="1">
                  <c:v>0</c:v>
                </c:pt>
                <c:pt idx="2">
                  <c:v>4.2352941176470589</c:v>
                </c:pt>
                <c:pt idx="3">
                  <c:v>4.96875</c:v>
                </c:pt>
                <c:pt idx="4">
                  <c:v>2.8125</c:v>
                </c:pt>
                <c:pt idx="5">
                  <c:v>4.8375000000000004</c:v>
                </c:pt>
                <c:pt idx="6">
                  <c:v>4.90625</c:v>
                </c:pt>
                <c:pt idx="7">
                  <c:v>5</c:v>
                </c:pt>
                <c:pt idx="8">
                  <c:v>3.5264423076923075</c:v>
                </c:pt>
                <c:pt idx="9">
                  <c:v>4.7777777777777777</c:v>
                </c:pt>
                <c:pt idx="10">
                  <c:v>4.2562499999999996</c:v>
                </c:pt>
                <c:pt idx="11">
                  <c:v>3.854166666666667</c:v>
                </c:pt>
              </c:numCache>
            </c:numRef>
          </c:val>
          <c:extLst>
            <c:ext xmlns:c16="http://schemas.microsoft.com/office/drawing/2014/chart" uri="{C3380CC4-5D6E-409C-BE32-E72D297353CC}">
              <c16:uniqueId val="{00000000-03EE-4D83-B909-74866039A092}"/>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Results'!$N$37</c:f>
              <c:strCache>
                <c:ptCount val="1"/>
                <c:pt idx="0">
                  <c:v>Unweighted Scores for Reliability and Robustness</c:v>
                </c:pt>
              </c:strCache>
            </c:strRef>
          </c:tx>
          <c:spPr>
            <a:solidFill>
              <a:schemeClr val="accent6">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Results'!$N$38:$N$49</c:f>
              <c:numCache>
                <c:formatCode>0.00</c:formatCode>
                <c:ptCount val="12"/>
                <c:pt idx="0">
                  <c:v>3.7769790502891958</c:v>
                </c:pt>
                <c:pt idx="1">
                  <c:v>0</c:v>
                </c:pt>
                <c:pt idx="2">
                  <c:v>3.2046082828686941</c:v>
                </c:pt>
                <c:pt idx="3">
                  <c:v>3.777024951913921</c:v>
                </c:pt>
                <c:pt idx="4">
                  <c:v>3.2033648372076544</c:v>
                </c:pt>
                <c:pt idx="5">
                  <c:v>4.1902521872328489</c:v>
                </c:pt>
                <c:pt idx="6">
                  <c:v>3.9043885662387332</c:v>
                </c:pt>
                <c:pt idx="7">
                  <c:v>3.9065811944646414</c:v>
                </c:pt>
                <c:pt idx="8">
                  <c:v>3.2904471365064616</c:v>
                </c:pt>
                <c:pt idx="9">
                  <c:v>3.6296172585319257</c:v>
                </c:pt>
                <c:pt idx="10">
                  <c:v>3.2012985096013877</c:v>
                </c:pt>
                <c:pt idx="11">
                  <c:v>3.4865854868613311</c:v>
                </c:pt>
              </c:numCache>
            </c:numRef>
          </c:val>
          <c:extLst>
            <c:ext xmlns:c16="http://schemas.microsoft.com/office/drawing/2014/chart" uri="{C3380CC4-5D6E-409C-BE32-E72D297353CC}">
              <c16:uniqueId val="{00000000-375C-4B4F-A64F-D52C79D0DD63}"/>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Results'!$O$37</c:f>
              <c:strCache>
                <c:ptCount val="1"/>
                <c:pt idx="0">
                  <c:v>Unweighted Scores for Water Quality and Watersheds</c:v>
                </c:pt>
              </c:strCache>
            </c:strRef>
          </c:tx>
          <c:spPr>
            <a:solidFill>
              <a:schemeClr val="accent1">
                <a:lumMod val="60000"/>
                <a:lumOff val="4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Results'!$O$38:$O$49</c:f>
              <c:numCache>
                <c:formatCode>0.00</c:formatCode>
                <c:ptCount val="12"/>
                <c:pt idx="0">
                  <c:v>3.2388888888888889</c:v>
                </c:pt>
                <c:pt idx="1">
                  <c:v>0</c:v>
                </c:pt>
                <c:pt idx="2">
                  <c:v>3.1875</c:v>
                </c:pt>
                <c:pt idx="3">
                  <c:v>3.361640211640212</c:v>
                </c:pt>
                <c:pt idx="4">
                  <c:v>0</c:v>
                </c:pt>
                <c:pt idx="5">
                  <c:v>3.9805555555555556</c:v>
                </c:pt>
                <c:pt idx="6">
                  <c:v>3.2597222222222224</c:v>
                </c:pt>
                <c:pt idx="7">
                  <c:v>2.8333333333333335</c:v>
                </c:pt>
                <c:pt idx="8">
                  <c:v>3.8635964912280709</c:v>
                </c:pt>
                <c:pt idx="9">
                  <c:v>3.5196078431372548</c:v>
                </c:pt>
                <c:pt idx="10">
                  <c:v>3.5277777777777781</c:v>
                </c:pt>
                <c:pt idx="11">
                  <c:v>3.7329365079365076</c:v>
                </c:pt>
              </c:numCache>
            </c:numRef>
          </c:val>
          <c:extLst>
            <c:ext xmlns:c16="http://schemas.microsoft.com/office/drawing/2014/chart" uri="{C3380CC4-5D6E-409C-BE32-E72D297353CC}">
              <c16:uniqueId val="{00000000-614E-4264-B0AC-EAA400F1541A}"/>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Weighted Evaluation Objective Scores</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079838857352136"/>
          <c:y val="0.11477409911637064"/>
          <c:w val="0.57790114613180521"/>
          <c:h val="0.52178110346155115"/>
        </c:manualLayout>
      </c:layout>
      <c:barChart>
        <c:barDir val="bar"/>
        <c:grouping val="stacked"/>
        <c:varyColors val="0"/>
        <c:ser>
          <c:idx val="0"/>
          <c:order val="0"/>
          <c:tx>
            <c:strRef>
              <c:f>'Trade-off Analysis Results'!$C$22</c:f>
              <c:strCache>
                <c:ptCount val="1"/>
                <c:pt idx="0">
                  <c:v>Address Climate Change through GHG Reduction</c:v>
                </c:pt>
              </c:strCache>
            </c:strRef>
          </c:tx>
          <c:spPr>
            <a:solidFill>
              <a:schemeClr val="accent1"/>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Results'!$C$23:$C$34</c:f>
              <c:numCache>
                <c:formatCode>0.00</c:formatCode>
                <c:ptCount val="12"/>
                <c:pt idx="0">
                  <c:v>2.61375</c:v>
                </c:pt>
                <c:pt idx="1">
                  <c:v>0</c:v>
                </c:pt>
                <c:pt idx="2">
                  <c:v>2.665</c:v>
                </c:pt>
                <c:pt idx="3">
                  <c:v>2.4839166666666666</c:v>
                </c:pt>
                <c:pt idx="4">
                  <c:v>1.9474999999999998</c:v>
                </c:pt>
                <c:pt idx="5">
                  <c:v>2.61375</c:v>
                </c:pt>
                <c:pt idx="6">
                  <c:v>2.8836666666666662</c:v>
                </c:pt>
                <c:pt idx="7">
                  <c:v>1.9294117647058822</c:v>
                </c:pt>
                <c:pt idx="8">
                  <c:v>2.7469999999999999</c:v>
                </c:pt>
                <c:pt idx="9">
                  <c:v>2.604705882352941</c:v>
                </c:pt>
                <c:pt idx="10">
                  <c:v>3.0749999999999997</c:v>
                </c:pt>
                <c:pt idx="11">
                  <c:v>2.9734761904761902</c:v>
                </c:pt>
              </c:numCache>
            </c:numRef>
          </c:val>
          <c:extLst>
            <c:ext xmlns:c16="http://schemas.microsoft.com/office/drawing/2014/chart" uri="{C3380CC4-5D6E-409C-BE32-E72D297353CC}">
              <c16:uniqueId val="{00000000-CCD7-42A9-9E05-084EC6CA4976}"/>
            </c:ext>
          </c:extLst>
        </c:ser>
        <c:ser>
          <c:idx val="1"/>
          <c:order val="1"/>
          <c:tx>
            <c:strRef>
              <c:f>'Trade-off Analysis Results'!$D$22</c:f>
              <c:strCache>
                <c:ptCount val="1"/>
                <c:pt idx="0">
                  <c:v>Climate Resilience</c:v>
                </c:pt>
              </c:strCache>
            </c:strRef>
          </c:tx>
          <c:spPr>
            <a:solidFill>
              <a:schemeClr val="accent2"/>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Results'!$D$23:$D$34</c:f>
              <c:numCache>
                <c:formatCode>0.00</c:formatCode>
                <c:ptCount val="12"/>
                <c:pt idx="0">
                  <c:v>2.4669090909090903</c:v>
                </c:pt>
                <c:pt idx="1">
                  <c:v>0</c:v>
                </c:pt>
                <c:pt idx="2">
                  <c:v>4.8</c:v>
                </c:pt>
                <c:pt idx="3">
                  <c:v>3.5702479338842976</c:v>
                </c:pt>
                <c:pt idx="4">
                  <c:v>0</c:v>
                </c:pt>
                <c:pt idx="5">
                  <c:v>2.5409090909090906</c:v>
                </c:pt>
                <c:pt idx="6">
                  <c:v>2.6983302411873837</c:v>
                </c:pt>
                <c:pt idx="7">
                  <c:v>4.8</c:v>
                </c:pt>
                <c:pt idx="8">
                  <c:v>4.1662090584801641</c:v>
                </c:pt>
                <c:pt idx="9">
                  <c:v>4.8</c:v>
                </c:pt>
                <c:pt idx="10">
                  <c:v>3.6</c:v>
                </c:pt>
                <c:pt idx="11">
                  <c:v>3.815712682379349</c:v>
                </c:pt>
              </c:numCache>
            </c:numRef>
          </c:val>
          <c:extLst>
            <c:ext xmlns:c16="http://schemas.microsoft.com/office/drawing/2014/chart" uri="{C3380CC4-5D6E-409C-BE32-E72D297353CC}">
              <c16:uniqueId val="{00000001-CCD7-42A9-9E05-084EC6CA4976}"/>
            </c:ext>
          </c:extLst>
        </c:ser>
        <c:ser>
          <c:idx val="2"/>
          <c:order val="2"/>
          <c:tx>
            <c:strRef>
              <c:f>'Trade-off Analysis Results'!$E$22</c:f>
              <c:strCache>
                <c:ptCount val="1"/>
                <c:pt idx="0">
                  <c:v>Cost Effectiveness</c:v>
                </c:pt>
              </c:strCache>
            </c:strRef>
          </c:tx>
          <c:spPr>
            <a:solidFill>
              <a:schemeClr val="accent3"/>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Results'!$E$23:$E$34</c:f>
              <c:numCache>
                <c:formatCode>0.00</c:formatCode>
                <c:ptCount val="12"/>
                <c:pt idx="0">
                  <c:v>1.882986111111111</c:v>
                </c:pt>
                <c:pt idx="1">
                  <c:v>0</c:v>
                </c:pt>
                <c:pt idx="2">
                  <c:v>3.1166666666666663</c:v>
                </c:pt>
                <c:pt idx="3">
                  <c:v>1.8214285714285716</c:v>
                </c:pt>
                <c:pt idx="4">
                  <c:v>2.6166666666666663</c:v>
                </c:pt>
                <c:pt idx="5">
                  <c:v>1.6220833333333331</c:v>
                </c:pt>
                <c:pt idx="6">
                  <c:v>2.125</c:v>
                </c:pt>
                <c:pt idx="7">
                  <c:v>1.3851851851851853</c:v>
                </c:pt>
                <c:pt idx="8">
                  <c:v>2.4392763157894737</c:v>
                </c:pt>
                <c:pt idx="9">
                  <c:v>2.2666666666666666</c:v>
                </c:pt>
                <c:pt idx="10">
                  <c:v>3.4885416666666673</c:v>
                </c:pt>
                <c:pt idx="11">
                  <c:v>2.4842261904761904</c:v>
                </c:pt>
              </c:numCache>
            </c:numRef>
          </c:val>
          <c:extLst>
            <c:ext xmlns:c16="http://schemas.microsoft.com/office/drawing/2014/chart" uri="{C3380CC4-5D6E-409C-BE32-E72D297353CC}">
              <c16:uniqueId val="{00000002-CCD7-42A9-9E05-084EC6CA4976}"/>
            </c:ext>
          </c:extLst>
        </c:ser>
        <c:ser>
          <c:idx val="3"/>
          <c:order val="3"/>
          <c:tx>
            <c:strRef>
              <c:f>'Trade-off Analysis Results'!$F$22</c:f>
              <c:strCache>
                <c:ptCount val="1"/>
                <c:pt idx="0">
                  <c:v>Environmental Justice</c:v>
                </c:pt>
              </c:strCache>
            </c:strRef>
          </c:tx>
          <c:spPr>
            <a:solidFill>
              <a:schemeClr val="accent4"/>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Results'!$F$23:$F$34</c:f>
              <c:numCache>
                <c:formatCode>0.00</c:formatCode>
                <c:ptCount val="12"/>
                <c:pt idx="0">
                  <c:v>2.61</c:v>
                </c:pt>
                <c:pt idx="1">
                  <c:v>0</c:v>
                </c:pt>
                <c:pt idx="2">
                  <c:v>0</c:v>
                </c:pt>
                <c:pt idx="3">
                  <c:v>2.6824999999999997</c:v>
                </c:pt>
                <c:pt idx="4">
                  <c:v>0</c:v>
                </c:pt>
                <c:pt idx="5">
                  <c:v>2.7187499999999996</c:v>
                </c:pt>
                <c:pt idx="6">
                  <c:v>2.6507812499999996</c:v>
                </c:pt>
                <c:pt idx="7">
                  <c:v>0</c:v>
                </c:pt>
                <c:pt idx="8">
                  <c:v>2.8515803571428568</c:v>
                </c:pt>
                <c:pt idx="9">
                  <c:v>2.61</c:v>
                </c:pt>
                <c:pt idx="10">
                  <c:v>3.0449999999999995</c:v>
                </c:pt>
                <c:pt idx="11">
                  <c:v>3.2987499999999996</c:v>
                </c:pt>
              </c:numCache>
            </c:numRef>
          </c:val>
          <c:extLst>
            <c:ext xmlns:c16="http://schemas.microsoft.com/office/drawing/2014/chart" uri="{C3380CC4-5D6E-409C-BE32-E72D297353CC}">
              <c16:uniqueId val="{00000003-CCD7-42A9-9E05-084EC6CA4976}"/>
            </c:ext>
          </c:extLst>
        </c:ser>
        <c:ser>
          <c:idx val="4"/>
          <c:order val="4"/>
          <c:tx>
            <c:strRef>
              <c:f>'Trade-off Analysis Results'!$G$22</c:f>
              <c:strCache>
                <c:ptCount val="1"/>
                <c:pt idx="0">
                  <c:v>Optimize Local Supplies</c:v>
                </c:pt>
              </c:strCache>
            </c:strRef>
          </c:tx>
          <c:spPr>
            <a:solidFill>
              <a:schemeClr val="accent5"/>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Results'!$G$23:$G$34</c:f>
              <c:numCache>
                <c:formatCode>0.00</c:formatCode>
                <c:ptCount val="12"/>
                <c:pt idx="0">
                  <c:v>3.5739583333333327</c:v>
                </c:pt>
                <c:pt idx="1">
                  <c:v>0</c:v>
                </c:pt>
                <c:pt idx="2">
                  <c:v>3.9811764705882355</c:v>
                </c:pt>
                <c:pt idx="3">
                  <c:v>4.6706250000000002</c:v>
                </c:pt>
                <c:pt idx="4">
                  <c:v>2.6437499999999998</c:v>
                </c:pt>
                <c:pt idx="5">
                  <c:v>4.54725</c:v>
                </c:pt>
                <c:pt idx="6">
                  <c:v>4.6118749999999995</c:v>
                </c:pt>
                <c:pt idx="7">
                  <c:v>4.7</c:v>
                </c:pt>
                <c:pt idx="8">
                  <c:v>3.314855769230769</c:v>
                </c:pt>
                <c:pt idx="9">
                  <c:v>4.4911111111111115</c:v>
                </c:pt>
                <c:pt idx="10">
                  <c:v>4.0008749999999997</c:v>
                </c:pt>
                <c:pt idx="11">
                  <c:v>3.6229166666666672</c:v>
                </c:pt>
              </c:numCache>
            </c:numRef>
          </c:val>
          <c:extLst>
            <c:ext xmlns:c16="http://schemas.microsoft.com/office/drawing/2014/chart" uri="{C3380CC4-5D6E-409C-BE32-E72D297353CC}">
              <c16:uniqueId val="{00000004-CCD7-42A9-9E05-084EC6CA4976}"/>
            </c:ext>
          </c:extLst>
        </c:ser>
        <c:ser>
          <c:idx val="5"/>
          <c:order val="5"/>
          <c:tx>
            <c:strRef>
              <c:f>'Trade-off Analysis Results'!$H$22</c:f>
              <c:strCache>
                <c:ptCount val="1"/>
                <c:pt idx="0">
                  <c:v>Project Complexity</c:v>
                </c:pt>
              </c:strCache>
            </c:strRef>
          </c:tx>
          <c:spPr>
            <a:solidFill>
              <a:schemeClr val="accent6"/>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Results'!$H$23:$H$34</c:f>
              <c:numCache>
                <c:formatCode>0.00</c:formatCode>
                <c:ptCount val="12"/>
                <c:pt idx="0">
                  <c:v>2.151979166666667</c:v>
                </c:pt>
                <c:pt idx="1">
                  <c:v>0</c:v>
                </c:pt>
                <c:pt idx="2">
                  <c:v>2.2329411764705882</c:v>
                </c:pt>
                <c:pt idx="3">
                  <c:v>1.4681111111111111</c:v>
                </c:pt>
                <c:pt idx="4">
                  <c:v>2.380168067226891</c:v>
                </c:pt>
                <c:pt idx="5">
                  <c:v>1.2775000000000001</c:v>
                </c:pt>
                <c:pt idx="6">
                  <c:v>2.28125</c:v>
                </c:pt>
                <c:pt idx="7">
                  <c:v>1.0706666666666664</c:v>
                </c:pt>
                <c:pt idx="8">
                  <c:v>2.2690833333333336</c:v>
                </c:pt>
                <c:pt idx="9">
                  <c:v>1.7979629629629632</c:v>
                </c:pt>
                <c:pt idx="10">
                  <c:v>3.0173333333333328</c:v>
                </c:pt>
                <c:pt idx="11">
                  <c:v>2.0683333333333334</c:v>
                </c:pt>
              </c:numCache>
            </c:numRef>
          </c:val>
          <c:extLst>
            <c:ext xmlns:c16="http://schemas.microsoft.com/office/drawing/2014/chart" uri="{C3380CC4-5D6E-409C-BE32-E72D297353CC}">
              <c16:uniqueId val="{00000005-CCD7-42A9-9E05-084EC6CA4976}"/>
            </c:ext>
          </c:extLst>
        </c:ser>
        <c:ser>
          <c:idx val="6"/>
          <c:order val="6"/>
          <c:tx>
            <c:strRef>
              <c:f>'Trade-off Analysis Results'!$I$22</c:f>
              <c:strCache>
                <c:ptCount val="1"/>
                <c:pt idx="0">
                  <c:v>Protect Habitats, Wildlife, and  Ecosystems</c:v>
                </c:pt>
              </c:strCache>
            </c:strRef>
          </c:tx>
          <c:spPr>
            <a:solidFill>
              <a:schemeClr val="accent1">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Results'!$I$23:$I$34</c:f>
              <c:numCache>
                <c:formatCode>0.00</c:formatCode>
                <c:ptCount val="12"/>
                <c:pt idx="0">
                  <c:v>2.76</c:v>
                </c:pt>
                <c:pt idx="1">
                  <c:v>0</c:v>
                </c:pt>
                <c:pt idx="2">
                  <c:v>2.76</c:v>
                </c:pt>
                <c:pt idx="3">
                  <c:v>2.8157575757575755</c:v>
                </c:pt>
                <c:pt idx="4">
                  <c:v>2.76</c:v>
                </c:pt>
                <c:pt idx="5">
                  <c:v>2.76</c:v>
                </c:pt>
                <c:pt idx="6">
                  <c:v>2.76</c:v>
                </c:pt>
                <c:pt idx="7">
                  <c:v>2.76</c:v>
                </c:pt>
                <c:pt idx="8">
                  <c:v>2.9360043184885285</c:v>
                </c:pt>
                <c:pt idx="9">
                  <c:v>2.76</c:v>
                </c:pt>
                <c:pt idx="10">
                  <c:v>2.8366666666666669</c:v>
                </c:pt>
                <c:pt idx="11">
                  <c:v>3.084705882352941</c:v>
                </c:pt>
              </c:numCache>
            </c:numRef>
          </c:val>
          <c:extLst>
            <c:ext xmlns:c16="http://schemas.microsoft.com/office/drawing/2014/chart" uri="{C3380CC4-5D6E-409C-BE32-E72D297353CC}">
              <c16:uniqueId val="{00000006-CCD7-42A9-9E05-084EC6CA4976}"/>
            </c:ext>
          </c:extLst>
        </c:ser>
        <c:ser>
          <c:idx val="7"/>
          <c:order val="7"/>
          <c:tx>
            <c:strRef>
              <c:f>'Trade-off Analysis Results'!$J$22</c:f>
              <c:strCache>
                <c:ptCount val="1"/>
                <c:pt idx="0">
                  <c:v>Provide for Scalability of Implementation</c:v>
                </c:pt>
              </c:strCache>
            </c:strRef>
          </c:tx>
          <c:spPr>
            <a:solidFill>
              <a:schemeClr val="accent2">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Results'!$J$23:$J$34</c:f>
              <c:numCache>
                <c:formatCode>0.00</c:formatCode>
                <c:ptCount val="12"/>
                <c:pt idx="0">
                  <c:v>2.5153333333333334</c:v>
                </c:pt>
                <c:pt idx="1">
                  <c:v>0</c:v>
                </c:pt>
                <c:pt idx="2">
                  <c:v>2.7720000000000002</c:v>
                </c:pt>
                <c:pt idx="3">
                  <c:v>2.3619444444444442</c:v>
                </c:pt>
                <c:pt idx="4">
                  <c:v>2.1559999999999997</c:v>
                </c:pt>
                <c:pt idx="5">
                  <c:v>2.9095</c:v>
                </c:pt>
                <c:pt idx="6">
                  <c:v>2.9631250000000002</c:v>
                </c:pt>
                <c:pt idx="7">
                  <c:v>1.9506666666666668</c:v>
                </c:pt>
                <c:pt idx="8">
                  <c:v>2.4777499999999995</c:v>
                </c:pt>
                <c:pt idx="9">
                  <c:v>2.5987499999999999</c:v>
                </c:pt>
                <c:pt idx="10">
                  <c:v>3.1349999999999998</c:v>
                </c:pt>
                <c:pt idx="11">
                  <c:v>2.6949999999999998</c:v>
                </c:pt>
              </c:numCache>
            </c:numRef>
          </c:val>
          <c:extLst>
            <c:ext xmlns:c16="http://schemas.microsoft.com/office/drawing/2014/chart" uri="{C3380CC4-5D6E-409C-BE32-E72D297353CC}">
              <c16:uniqueId val="{00000007-CCD7-42A9-9E05-084EC6CA4976}"/>
            </c:ext>
          </c:extLst>
        </c:ser>
        <c:ser>
          <c:idx val="8"/>
          <c:order val="8"/>
          <c:tx>
            <c:strRef>
              <c:f>'Trade-off Analysis Results'!$K$22</c:f>
              <c:strCache>
                <c:ptCount val="1"/>
                <c:pt idx="0">
                  <c:v>Quality of Life/Recreation</c:v>
                </c:pt>
              </c:strCache>
            </c:strRef>
          </c:tx>
          <c:spPr>
            <a:solidFill>
              <a:schemeClr val="accent3">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Results'!$K$23:$K$34</c:f>
              <c:numCache>
                <c:formatCode>0.00</c:formatCode>
                <c:ptCount val="12"/>
                <c:pt idx="0">
                  <c:v>2.6891071428571434</c:v>
                </c:pt>
                <c:pt idx="1">
                  <c:v>0</c:v>
                </c:pt>
                <c:pt idx="2">
                  <c:v>2.3484828783105116</c:v>
                </c:pt>
                <c:pt idx="3">
                  <c:v>2.2379662879710041</c:v>
                </c:pt>
                <c:pt idx="4">
                  <c:v>2.2314706703885134</c:v>
                </c:pt>
                <c:pt idx="5">
                  <c:v>2.5603510528826008</c:v>
                </c:pt>
                <c:pt idx="6">
                  <c:v>2.765801849519347</c:v>
                </c:pt>
                <c:pt idx="7">
                  <c:v>2.2313615221050718</c:v>
                </c:pt>
                <c:pt idx="8">
                  <c:v>2.910751712861551</c:v>
                </c:pt>
                <c:pt idx="9">
                  <c:v>2.3944685560620975</c:v>
                </c:pt>
                <c:pt idx="10">
                  <c:v>2.78780598063602</c:v>
                </c:pt>
                <c:pt idx="11">
                  <c:v>2.9992832997905214</c:v>
                </c:pt>
              </c:numCache>
            </c:numRef>
          </c:val>
          <c:extLst>
            <c:ext xmlns:c16="http://schemas.microsoft.com/office/drawing/2014/chart" uri="{C3380CC4-5D6E-409C-BE32-E72D297353CC}">
              <c16:uniqueId val="{00000008-CCD7-42A9-9E05-084EC6CA4976}"/>
            </c:ext>
          </c:extLst>
        </c:ser>
        <c:ser>
          <c:idx val="9"/>
          <c:order val="9"/>
          <c:tx>
            <c:strRef>
              <c:f>'Trade-off Analysis Results'!$L$22</c:f>
              <c:strCache>
                <c:ptCount val="1"/>
                <c:pt idx="0">
                  <c:v>Regional Economic Impact</c:v>
                </c:pt>
              </c:strCache>
            </c:strRef>
          </c:tx>
          <c:spPr>
            <a:solidFill>
              <a:schemeClr val="accent4">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Results'!$L$23:$L$34</c:f>
              <c:numCache>
                <c:formatCode>0.00</c:formatCode>
                <c:ptCount val="12"/>
                <c:pt idx="0">
                  <c:v>3.1554545454545457</c:v>
                </c:pt>
                <c:pt idx="1">
                  <c:v>2.028</c:v>
                </c:pt>
                <c:pt idx="2">
                  <c:v>2.73</c:v>
                </c:pt>
                <c:pt idx="3">
                  <c:v>3.3973333333333331</c:v>
                </c:pt>
                <c:pt idx="4">
                  <c:v>2.21</c:v>
                </c:pt>
                <c:pt idx="5">
                  <c:v>3.7439999999999998</c:v>
                </c:pt>
                <c:pt idx="6">
                  <c:v>3.6270000000000002</c:v>
                </c:pt>
                <c:pt idx="7">
                  <c:v>2.8414285714285716</c:v>
                </c:pt>
                <c:pt idx="8">
                  <c:v>2.5349999999999997</c:v>
                </c:pt>
                <c:pt idx="9">
                  <c:v>3.12</c:v>
                </c:pt>
                <c:pt idx="10">
                  <c:v>3.2759999999999998</c:v>
                </c:pt>
                <c:pt idx="11">
                  <c:v>2.8191428571428565</c:v>
                </c:pt>
              </c:numCache>
            </c:numRef>
          </c:val>
          <c:extLst>
            <c:ext xmlns:c16="http://schemas.microsoft.com/office/drawing/2014/chart" uri="{C3380CC4-5D6E-409C-BE32-E72D297353CC}">
              <c16:uniqueId val="{00000009-CCD7-42A9-9E05-084EC6CA4976}"/>
            </c:ext>
          </c:extLst>
        </c:ser>
        <c:ser>
          <c:idx val="10"/>
          <c:order val="10"/>
          <c:tx>
            <c:strRef>
              <c:f>'Trade-off Analysis Results'!$M$22</c:f>
              <c:strCache>
                <c:ptCount val="1"/>
                <c:pt idx="0">
                  <c:v>Regional Integration and Coordination</c:v>
                </c:pt>
              </c:strCache>
            </c:strRef>
          </c:tx>
          <c:spPr>
            <a:solidFill>
              <a:schemeClr val="accent5">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Results'!$M$23:$M$34</c:f>
              <c:numCache>
                <c:formatCode>0.00</c:formatCode>
                <c:ptCount val="12"/>
                <c:pt idx="0">
                  <c:v>2.3866406249999996</c:v>
                </c:pt>
                <c:pt idx="1">
                  <c:v>0</c:v>
                </c:pt>
                <c:pt idx="2">
                  <c:v>2.7019642857142854</c:v>
                </c:pt>
                <c:pt idx="3">
                  <c:v>3.0162140376984121</c:v>
                </c:pt>
                <c:pt idx="4">
                  <c:v>2.1554166666666665</c:v>
                </c:pt>
                <c:pt idx="5">
                  <c:v>3.5692410714285714</c:v>
                </c:pt>
                <c:pt idx="6">
                  <c:v>3.0888392857142857</c:v>
                </c:pt>
                <c:pt idx="7">
                  <c:v>3.2347222222222221</c:v>
                </c:pt>
                <c:pt idx="8">
                  <c:v>2.6175845864661658</c:v>
                </c:pt>
                <c:pt idx="9">
                  <c:v>3.0812499999999998</c:v>
                </c:pt>
                <c:pt idx="10">
                  <c:v>3.1696651785714289</c:v>
                </c:pt>
                <c:pt idx="11">
                  <c:v>2.6385903159340658</c:v>
                </c:pt>
              </c:numCache>
            </c:numRef>
          </c:val>
          <c:extLst>
            <c:ext xmlns:c16="http://schemas.microsoft.com/office/drawing/2014/chart" uri="{C3380CC4-5D6E-409C-BE32-E72D297353CC}">
              <c16:uniqueId val="{0000000A-CCD7-42A9-9E05-084EC6CA4976}"/>
            </c:ext>
          </c:extLst>
        </c:ser>
        <c:ser>
          <c:idx val="11"/>
          <c:order val="11"/>
          <c:tx>
            <c:strRef>
              <c:f>'Trade-off Analysis Results'!$N$22</c:f>
              <c:strCache>
                <c:ptCount val="1"/>
                <c:pt idx="0">
                  <c:v>Reliability and Robustness</c:v>
                </c:pt>
              </c:strCache>
            </c:strRef>
          </c:tx>
          <c:spPr>
            <a:solidFill>
              <a:schemeClr val="accent6">
                <a:lumMod val="6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Results'!$N$23:$N$34</c:f>
              <c:numCache>
                <c:formatCode>0.00</c:formatCode>
                <c:ptCount val="12"/>
                <c:pt idx="0">
                  <c:v>3.7769790502891958</c:v>
                </c:pt>
                <c:pt idx="1">
                  <c:v>0</c:v>
                </c:pt>
                <c:pt idx="2">
                  <c:v>3.2046082828686941</c:v>
                </c:pt>
                <c:pt idx="3">
                  <c:v>3.7770249519139214</c:v>
                </c:pt>
                <c:pt idx="4">
                  <c:v>3.203364837207654</c:v>
                </c:pt>
                <c:pt idx="5">
                  <c:v>4.1902521872328489</c:v>
                </c:pt>
                <c:pt idx="6">
                  <c:v>3.9043885662387332</c:v>
                </c:pt>
                <c:pt idx="7">
                  <c:v>3.9065811944646414</c:v>
                </c:pt>
                <c:pt idx="8">
                  <c:v>3.2904471365064616</c:v>
                </c:pt>
                <c:pt idx="9">
                  <c:v>3.6296172585319253</c:v>
                </c:pt>
                <c:pt idx="10">
                  <c:v>3.2012985096013877</c:v>
                </c:pt>
                <c:pt idx="11">
                  <c:v>3.4865854868613311</c:v>
                </c:pt>
              </c:numCache>
            </c:numRef>
          </c:val>
          <c:extLst>
            <c:ext xmlns:c16="http://schemas.microsoft.com/office/drawing/2014/chart" uri="{C3380CC4-5D6E-409C-BE32-E72D297353CC}">
              <c16:uniqueId val="{0000000B-CCD7-42A9-9E05-084EC6CA4976}"/>
            </c:ext>
          </c:extLst>
        </c:ser>
        <c:ser>
          <c:idx val="12"/>
          <c:order val="12"/>
          <c:tx>
            <c:strRef>
              <c:f>'Trade-off Analysis Results'!$O$22</c:f>
              <c:strCache>
                <c:ptCount val="1"/>
                <c:pt idx="0">
                  <c:v>Water Quality and Watersheds</c:v>
                </c:pt>
              </c:strCache>
            </c:strRef>
          </c:tx>
          <c:spPr>
            <a:solidFill>
              <a:schemeClr val="accent1">
                <a:lumMod val="80000"/>
                <a:lumOff val="20000"/>
              </a:schemeClr>
            </a:solidFill>
            <a:ln>
              <a:noFill/>
            </a:ln>
            <a:effectLst/>
          </c:spPr>
          <c:invertIfNegative val="0"/>
          <c:cat>
            <c:strRef>
              <c:f>'Trade-off Analysis Results'!$B$23:$B$34</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Results'!$O$23:$O$34</c:f>
              <c:numCache>
                <c:formatCode>0.00</c:formatCode>
                <c:ptCount val="12"/>
                <c:pt idx="0">
                  <c:v>3.2388888888888885</c:v>
                </c:pt>
                <c:pt idx="1">
                  <c:v>0</c:v>
                </c:pt>
                <c:pt idx="2">
                  <c:v>3.1875</c:v>
                </c:pt>
                <c:pt idx="3">
                  <c:v>3.361640211640212</c:v>
                </c:pt>
                <c:pt idx="4">
                  <c:v>0</c:v>
                </c:pt>
                <c:pt idx="5">
                  <c:v>3.9805555555555556</c:v>
                </c:pt>
                <c:pt idx="6">
                  <c:v>3.259722222222222</c:v>
                </c:pt>
                <c:pt idx="7">
                  <c:v>2.8333333333333335</c:v>
                </c:pt>
                <c:pt idx="8">
                  <c:v>3.8635964912280714</c:v>
                </c:pt>
                <c:pt idx="9">
                  <c:v>3.5196078431372548</c:v>
                </c:pt>
                <c:pt idx="10">
                  <c:v>3.5277777777777777</c:v>
                </c:pt>
                <c:pt idx="11">
                  <c:v>3.7329365079365076</c:v>
                </c:pt>
              </c:numCache>
            </c:numRef>
          </c:val>
          <c:extLst>
            <c:ext xmlns:c16="http://schemas.microsoft.com/office/drawing/2014/chart" uri="{C3380CC4-5D6E-409C-BE32-E72D297353CC}">
              <c16:uniqueId val="{0000000C-CCD7-42A9-9E05-084EC6CA4976}"/>
            </c:ext>
          </c:extLst>
        </c:ser>
        <c:dLbls>
          <c:showLegendKey val="0"/>
          <c:showVal val="0"/>
          <c:showCatName val="0"/>
          <c:showSerName val="0"/>
          <c:showPercent val="0"/>
          <c:showBubbleSize val="0"/>
        </c:dLbls>
        <c:gapWidth val="150"/>
        <c:overlap val="100"/>
        <c:axId val="605874224"/>
        <c:axId val="368703600"/>
      </c:barChart>
      <c:catAx>
        <c:axId val="60587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03600"/>
        <c:crosses val="autoZero"/>
        <c:auto val="1"/>
        <c:lblAlgn val="ctr"/>
        <c:lblOffset val="100"/>
        <c:noMultiLvlLbl val="0"/>
      </c:catAx>
      <c:valAx>
        <c:axId val="368703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874224"/>
        <c:crosses val="autoZero"/>
        <c:crossBetween val="between"/>
      </c:valAx>
      <c:spPr>
        <a:noFill/>
        <a:ln>
          <a:noFill/>
        </a:ln>
        <a:effectLst/>
      </c:spPr>
    </c:plotArea>
    <c:legend>
      <c:legendPos val="b"/>
      <c:layout>
        <c:manualLayout>
          <c:xMode val="edge"/>
          <c:yMode val="edge"/>
          <c:x val="1.9931933920813154E-2"/>
          <c:y val="0.71143628847843066"/>
          <c:w val="0.96273443261165192"/>
          <c:h val="0.269996844607263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Unweighted Evaluation Objective Scores</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0542367946062"/>
          <c:y val="0.11477418230860228"/>
          <c:w val="0.60783489126531365"/>
          <c:h val="0.52178110346155115"/>
        </c:manualLayout>
      </c:layout>
      <c:barChart>
        <c:barDir val="bar"/>
        <c:grouping val="stacked"/>
        <c:varyColors val="0"/>
        <c:ser>
          <c:idx val="0"/>
          <c:order val="0"/>
          <c:tx>
            <c:strRef>
              <c:f>'Trade-off Analysis Results'!$C$22</c:f>
              <c:strCache>
                <c:ptCount val="1"/>
                <c:pt idx="0">
                  <c:v>Address Climate Change through GHG Reduction</c:v>
                </c:pt>
              </c:strCache>
            </c:strRef>
          </c:tx>
          <c:spPr>
            <a:solidFill>
              <a:schemeClr val="accent1"/>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Results'!$C$38:$C$49</c:f>
              <c:numCache>
                <c:formatCode>0.00</c:formatCode>
                <c:ptCount val="12"/>
                <c:pt idx="0">
                  <c:v>3.1875</c:v>
                </c:pt>
                <c:pt idx="1">
                  <c:v>0</c:v>
                </c:pt>
                <c:pt idx="2">
                  <c:v>3.25</c:v>
                </c:pt>
                <c:pt idx="3">
                  <c:v>3.0291666666666668</c:v>
                </c:pt>
                <c:pt idx="4">
                  <c:v>2.375</c:v>
                </c:pt>
                <c:pt idx="5">
                  <c:v>3.1875</c:v>
                </c:pt>
                <c:pt idx="6">
                  <c:v>3.5166666666666666</c:v>
                </c:pt>
                <c:pt idx="7">
                  <c:v>2.3529411764705883</c:v>
                </c:pt>
                <c:pt idx="8">
                  <c:v>3.35</c:v>
                </c:pt>
                <c:pt idx="9">
                  <c:v>3.1764705882352939</c:v>
                </c:pt>
                <c:pt idx="10">
                  <c:v>3.75</c:v>
                </c:pt>
                <c:pt idx="11">
                  <c:v>3.6261904761904762</c:v>
                </c:pt>
              </c:numCache>
            </c:numRef>
          </c:val>
          <c:extLst>
            <c:ext xmlns:c16="http://schemas.microsoft.com/office/drawing/2014/chart" uri="{C3380CC4-5D6E-409C-BE32-E72D297353CC}">
              <c16:uniqueId val="{00000000-650E-4903-83F6-830C28953780}"/>
            </c:ext>
          </c:extLst>
        </c:ser>
        <c:ser>
          <c:idx val="1"/>
          <c:order val="1"/>
          <c:tx>
            <c:strRef>
              <c:f>'Trade-off Analysis Results'!$D$22</c:f>
              <c:strCache>
                <c:ptCount val="1"/>
                <c:pt idx="0">
                  <c:v>Climate Resilience</c:v>
                </c:pt>
              </c:strCache>
            </c:strRef>
          </c:tx>
          <c:spPr>
            <a:solidFill>
              <a:schemeClr val="accent2"/>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Results'!$D$38:$D$49</c:f>
              <c:numCache>
                <c:formatCode>0.00</c:formatCode>
                <c:ptCount val="12"/>
                <c:pt idx="0">
                  <c:v>2.5696969696969694</c:v>
                </c:pt>
                <c:pt idx="1">
                  <c:v>0</c:v>
                </c:pt>
                <c:pt idx="2">
                  <c:v>5</c:v>
                </c:pt>
                <c:pt idx="3">
                  <c:v>3.7190082644628104</c:v>
                </c:pt>
                <c:pt idx="4">
                  <c:v>0</c:v>
                </c:pt>
                <c:pt idx="5">
                  <c:v>2.6467803030303028</c:v>
                </c:pt>
                <c:pt idx="6">
                  <c:v>2.8107606679035246</c:v>
                </c:pt>
                <c:pt idx="7">
                  <c:v>5</c:v>
                </c:pt>
                <c:pt idx="8">
                  <c:v>4.3398011025835039</c:v>
                </c:pt>
                <c:pt idx="9">
                  <c:v>5</c:v>
                </c:pt>
                <c:pt idx="10">
                  <c:v>3.75</c:v>
                </c:pt>
                <c:pt idx="11">
                  <c:v>3.9747007108118222</c:v>
                </c:pt>
              </c:numCache>
            </c:numRef>
          </c:val>
          <c:extLst>
            <c:ext xmlns:c16="http://schemas.microsoft.com/office/drawing/2014/chart" uri="{C3380CC4-5D6E-409C-BE32-E72D297353CC}">
              <c16:uniqueId val="{00000001-650E-4903-83F6-830C28953780}"/>
            </c:ext>
          </c:extLst>
        </c:ser>
        <c:ser>
          <c:idx val="2"/>
          <c:order val="2"/>
          <c:tx>
            <c:strRef>
              <c:f>'Trade-off Analysis Results'!$E$22</c:f>
              <c:strCache>
                <c:ptCount val="1"/>
                <c:pt idx="0">
                  <c:v>Cost Effectiveness</c:v>
                </c:pt>
              </c:strCache>
            </c:strRef>
          </c:tx>
          <c:spPr>
            <a:solidFill>
              <a:schemeClr val="accent3"/>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Results'!$E$38:$E$49</c:f>
              <c:numCache>
                <c:formatCode>0.00</c:formatCode>
                <c:ptCount val="12"/>
                <c:pt idx="0">
                  <c:v>2.2152777777777777</c:v>
                </c:pt>
                <c:pt idx="1">
                  <c:v>0</c:v>
                </c:pt>
                <c:pt idx="2">
                  <c:v>3.6666666666666665</c:v>
                </c:pt>
                <c:pt idx="3">
                  <c:v>2.1428571428571428</c:v>
                </c:pt>
                <c:pt idx="4">
                  <c:v>3.0784313725490193</c:v>
                </c:pt>
                <c:pt idx="5">
                  <c:v>1.9083333333333332</c:v>
                </c:pt>
                <c:pt idx="6">
                  <c:v>2.5</c:v>
                </c:pt>
                <c:pt idx="7">
                  <c:v>1.6296296296296298</c:v>
                </c:pt>
                <c:pt idx="8">
                  <c:v>2.8697368421052634</c:v>
                </c:pt>
                <c:pt idx="9">
                  <c:v>2.6666666666666665</c:v>
                </c:pt>
                <c:pt idx="10">
                  <c:v>4.104166666666667</c:v>
                </c:pt>
                <c:pt idx="11">
                  <c:v>2.9226190476190474</c:v>
                </c:pt>
              </c:numCache>
            </c:numRef>
          </c:val>
          <c:extLst>
            <c:ext xmlns:c16="http://schemas.microsoft.com/office/drawing/2014/chart" uri="{C3380CC4-5D6E-409C-BE32-E72D297353CC}">
              <c16:uniqueId val="{00000002-650E-4903-83F6-830C28953780}"/>
            </c:ext>
          </c:extLst>
        </c:ser>
        <c:ser>
          <c:idx val="3"/>
          <c:order val="3"/>
          <c:tx>
            <c:strRef>
              <c:f>'Trade-off Analysis Results'!$F$22</c:f>
              <c:strCache>
                <c:ptCount val="1"/>
                <c:pt idx="0">
                  <c:v>Environmental Justice</c:v>
                </c:pt>
              </c:strCache>
            </c:strRef>
          </c:tx>
          <c:spPr>
            <a:solidFill>
              <a:schemeClr val="accent4"/>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Results'!$F$38:$F$49</c:f>
              <c:numCache>
                <c:formatCode>0.00</c:formatCode>
                <c:ptCount val="12"/>
                <c:pt idx="0">
                  <c:v>3</c:v>
                </c:pt>
                <c:pt idx="1">
                  <c:v>0</c:v>
                </c:pt>
                <c:pt idx="2">
                  <c:v>0</c:v>
                </c:pt>
                <c:pt idx="3">
                  <c:v>3.083333333333333</c:v>
                </c:pt>
                <c:pt idx="4">
                  <c:v>0</c:v>
                </c:pt>
                <c:pt idx="5">
                  <c:v>3.125</c:v>
                </c:pt>
                <c:pt idx="6">
                  <c:v>3.046875</c:v>
                </c:pt>
                <c:pt idx="7">
                  <c:v>0</c:v>
                </c:pt>
                <c:pt idx="8">
                  <c:v>3.2776785714285714</c:v>
                </c:pt>
                <c:pt idx="9">
                  <c:v>3</c:v>
                </c:pt>
                <c:pt idx="10">
                  <c:v>3.5</c:v>
                </c:pt>
                <c:pt idx="11">
                  <c:v>3.791666666666667</c:v>
                </c:pt>
              </c:numCache>
            </c:numRef>
          </c:val>
          <c:extLst>
            <c:ext xmlns:c16="http://schemas.microsoft.com/office/drawing/2014/chart" uri="{C3380CC4-5D6E-409C-BE32-E72D297353CC}">
              <c16:uniqueId val="{00000003-650E-4903-83F6-830C28953780}"/>
            </c:ext>
          </c:extLst>
        </c:ser>
        <c:ser>
          <c:idx val="4"/>
          <c:order val="4"/>
          <c:tx>
            <c:strRef>
              <c:f>'Trade-off Analysis Results'!$G$22</c:f>
              <c:strCache>
                <c:ptCount val="1"/>
                <c:pt idx="0">
                  <c:v>Optimize Local Supplies</c:v>
                </c:pt>
              </c:strCache>
            </c:strRef>
          </c:tx>
          <c:spPr>
            <a:solidFill>
              <a:schemeClr val="accent5"/>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Results'!$G$38:$G$49</c:f>
              <c:numCache>
                <c:formatCode>0.00</c:formatCode>
                <c:ptCount val="12"/>
                <c:pt idx="0">
                  <c:v>3.802083333333333</c:v>
                </c:pt>
                <c:pt idx="1">
                  <c:v>0</c:v>
                </c:pt>
                <c:pt idx="2">
                  <c:v>4.2352941176470589</c:v>
                </c:pt>
                <c:pt idx="3">
                  <c:v>4.96875</c:v>
                </c:pt>
                <c:pt idx="4">
                  <c:v>2.8125</c:v>
                </c:pt>
                <c:pt idx="5">
                  <c:v>4.8375000000000004</c:v>
                </c:pt>
                <c:pt idx="6">
                  <c:v>4.90625</c:v>
                </c:pt>
                <c:pt idx="7">
                  <c:v>5</c:v>
                </c:pt>
                <c:pt idx="8">
                  <c:v>3.5264423076923075</c:v>
                </c:pt>
                <c:pt idx="9">
                  <c:v>4.7777777777777777</c:v>
                </c:pt>
                <c:pt idx="10">
                  <c:v>4.2562499999999996</c:v>
                </c:pt>
                <c:pt idx="11">
                  <c:v>3.854166666666667</c:v>
                </c:pt>
              </c:numCache>
            </c:numRef>
          </c:val>
          <c:extLst>
            <c:ext xmlns:c16="http://schemas.microsoft.com/office/drawing/2014/chart" uri="{C3380CC4-5D6E-409C-BE32-E72D297353CC}">
              <c16:uniqueId val="{00000004-650E-4903-83F6-830C28953780}"/>
            </c:ext>
          </c:extLst>
        </c:ser>
        <c:ser>
          <c:idx val="5"/>
          <c:order val="5"/>
          <c:tx>
            <c:strRef>
              <c:f>'Trade-off Analysis Results'!$H$22</c:f>
              <c:strCache>
                <c:ptCount val="1"/>
                <c:pt idx="0">
                  <c:v>Project Complexity</c:v>
                </c:pt>
              </c:strCache>
            </c:strRef>
          </c:tx>
          <c:spPr>
            <a:solidFill>
              <a:schemeClr val="accent6"/>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Results'!$H$38:$H$49</c:f>
              <c:numCache>
                <c:formatCode>0.00</c:formatCode>
                <c:ptCount val="12"/>
                <c:pt idx="0">
                  <c:v>2.947916666666667</c:v>
                </c:pt>
                <c:pt idx="1">
                  <c:v>0</c:v>
                </c:pt>
                <c:pt idx="2">
                  <c:v>3.0588235294117645</c:v>
                </c:pt>
                <c:pt idx="3">
                  <c:v>2.0111111111111111</c:v>
                </c:pt>
                <c:pt idx="4">
                  <c:v>3.2605042016806722</c:v>
                </c:pt>
                <c:pt idx="5">
                  <c:v>1.75</c:v>
                </c:pt>
                <c:pt idx="6">
                  <c:v>3.125</c:v>
                </c:pt>
                <c:pt idx="7">
                  <c:v>1.4666666666666666</c:v>
                </c:pt>
                <c:pt idx="8">
                  <c:v>3.1083333333333334</c:v>
                </c:pt>
                <c:pt idx="9">
                  <c:v>2.4629629629629632</c:v>
                </c:pt>
                <c:pt idx="10">
                  <c:v>4.1333333333333329</c:v>
                </c:pt>
                <c:pt idx="11">
                  <c:v>2.8333333333333335</c:v>
                </c:pt>
              </c:numCache>
            </c:numRef>
          </c:val>
          <c:extLst>
            <c:ext xmlns:c16="http://schemas.microsoft.com/office/drawing/2014/chart" uri="{C3380CC4-5D6E-409C-BE32-E72D297353CC}">
              <c16:uniqueId val="{00000005-650E-4903-83F6-830C28953780}"/>
            </c:ext>
          </c:extLst>
        </c:ser>
        <c:ser>
          <c:idx val="6"/>
          <c:order val="6"/>
          <c:tx>
            <c:strRef>
              <c:f>'Trade-off Analysis Results'!$I$22</c:f>
              <c:strCache>
                <c:ptCount val="1"/>
                <c:pt idx="0">
                  <c:v>Protect Habitats, Wildlife, and  Ecosystems</c:v>
                </c:pt>
              </c:strCache>
            </c:strRef>
          </c:tx>
          <c:spPr>
            <a:solidFill>
              <a:schemeClr val="accent1">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Results'!$I$38:$I$49</c:f>
              <c:numCache>
                <c:formatCode>0.00</c:formatCode>
                <c:ptCount val="12"/>
                <c:pt idx="0">
                  <c:v>3</c:v>
                </c:pt>
                <c:pt idx="1">
                  <c:v>0</c:v>
                </c:pt>
                <c:pt idx="2">
                  <c:v>3</c:v>
                </c:pt>
                <c:pt idx="3">
                  <c:v>3.0606060606060606</c:v>
                </c:pt>
                <c:pt idx="4">
                  <c:v>3</c:v>
                </c:pt>
                <c:pt idx="5">
                  <c:v>3</c:v>
                </c:pt>
                <c:pt idx="6">
                  <c:v>3</c:v>
                </c:pt>
                <c:pt idx="7">
                  <c:v>3</c:v>
                </c:pt>
                <c:pt idx="8">
                  <c:v>3.1913090418353574</c:v>
                </c:pt>
                <c:pt idx="9">
                  <c:v>3</c:v>
                </c:pt>
                <c:pt idx="10">
                  <c:v>3.0833333333333335</c:v>
                </c:pt>
                <c:pt idx="11">
                  <c:v>3.3529411764705883</c:v>
                </c:pt>
              </c:numCache>
            </c:numRef>
          </c:val>
          <c:extLst>
            <c:ext xmlns:c16="http://schemas.microsoft.com/office/drawing/2014/chart" uri="{C3380CC4-5D6E-409C-BE32-E72D297353CC}">
              <c16:uniqueId val="{00000006-650E-4903-83F6-830C28953780}"/>
            </c:ext>
          </c:extLst>
        </c:ser>
        <c:ser>
          <c:idx val="7"/>
          <c:order val="7"/>
          <c:tx>
            <c:strRef>
              <c:f>'Trade-off Analysis Results'!$J$22</c:f>
              <c:strCache>
                <c:ptCount val="1"/>
                <c:pt idx="0">
                  <c:v>Provide for Scalability of Implementation</c:v>
                </c:pt>
              </c:strCache>
            </c:strRef>
          </c:tx>
          <c:spPr>
            <a:solidFill>
              <a:schemeClr val="accent2">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Results'!$J$38:$J$49</c:f>
              <c:numCache>
                <c:formatCode>0.00</c:formatCode>
                <c:ptCount val="12"/>
                <c:pt idx="0">
                  <c:v>3.2666666666666666</c:v>
                </c:pt>
                <c:pt idx="1">
                  <c:v>0</c:v>
                </c:pt>
                <c:pt idx="2">
                  <c:v>3.6</c:v>
                </c:pt>
                <c:pt idx="3">
                  <c:v>3.0674603174603172</c:v>
                </c:pt>
                <c:pt idx="4">
                  <c:v>2.8</c:v>
                </c:pt>
                <c:pt idx="5">
                  <c:v>3.7785714285714285</c:v>
                </c:pt>
                <c:pt idx="6">
                  <c:v>3.8482142857142856</c:v>
                </c:pt>
                <c:pt idx="7">
                  <c:v>2.5333333333333332</c:v>
                </c:pt>
                <c:pt idx="8">
                  <c:v>3.2178571428571425</c:v>
                </c:pt>
                <c:pt idx="9">
                  <c:v>3.375</c:v>
                </c:pt>
                <c:pt idx="10">
                  <c:v>4.0714285714285712</c:v>
                </c:pt>
                <c:pt idx="11">
                  <c:v>3.5</c:v>
                </c:pt>
              </c:numCache>
            </c:numRef>
          </c:val>
          <c:extLst>
            <c:ext xmlns:c16="http://schemas.microsoft.com/office/drawing/2014/chart" uri="{C3380CC4-5D6E-409C-BE32-E72D297353CC}">
              <c16:uniqueId val="{00000007-650E-4903-83F6-830C28953780}"/>
            </c:ext>
          </c:extLst>
        </c:ser>
        <c:ser>
          <c:idx val="8"/>
          <c:order val="8"/>
          <c:tx>
            <c:strRef>
              <c:f>'Trade-off Analysis Results'!$K$22</c:f>
              <c:strCache>
                <c:ptCount val="1"/>
                <c:pt idx="0">
                  <c:v>Quality of Life/Recreation</c:v>
                </c:pt>
              </c:strCache>
            </c:strRef>
          </c:tx>
          <c:spPr>
            <a:solidFill>
              <a:schemeClr val="accent3">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Results'!$K$38:$K$49</c:f>
              <c:numCache>
                <c:formatCode>0.00</c:formatCode>
                <c:ptCount val="12"/>
                <c:pt idx="0">
                  <c:v>3.6339285714285716</c:v>
                </c:pt>
                <c:pt idx="1">
                  <c:v>0</c:v>
                </c:pt>
                <c:pt idx="2">
                  <c:v>3.173625511230421</c:v>
                </c:pt>
                <c:pt idx="3">
                  <c:v>3.0242787675283838</c:v>
                </c:pt>
                <c:pt idx="4">
                  <c:v>3.0155009059304234</c:v>
                </c:pt>
                <c:pt idx="5">
                  <c:v>3.4599338552467573</c:v>
                </c:pt>
                <c:pt idx="6">
                  <c:v>3.7375700669180363</c:v>
                </c:pt>
                <c:pt idx="7">
                  <c:v>3.015353408250097</c:v>
                </c:pt>
                <c:pt idx="8">
                  <c:v>3.9334482606237171</c:v>
                </c:pt>
                <c:pt idx="9">
                  <c:v>3.2357683190028346</c:v>
                </c:pt>
                <c:pt idx="10">
                  <c:v>3.7673053792378646</c:v>
                </c:pt>
                <c:pt idx="11">
                  <c:v>4.0530855402574613</c:v>
                </c:pt>
              </c:numCache>
            </c:numRef>
          </c:val>
          <c:extLst>
            <c:ext xmlns:c16="http://schemas.microsoft.com/office/drawing/2014/chart" uri="{C3380CC4-5D6E-409C-BE32-E72D297353CC}">
              <c16:uniqueId val="{00000008-650E-4903-83F6-830C28953780}"/>
            </c:ext>
          </c:extLst>
        </c:ser>
        <c:ser>
          <c:idx val="9"/>
          <c:order val="9"/>
          <c:tx>
            <c:strRef>
              <c:f>'Trade-off Analysis Results'!$L$22</c:f>
              <c:strCache>
                <c:ptCount val="1"/>
                <c:pt idx="0">
                  <c:v>Regional Economic Impact</c:v>
                </c:pt>
              </c:strCache>
            </c:strRef>
          </c:tx>
          <c:spPr>
            <a:solidFill>
              <a:schemeClr val="accent4">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Results'!$L$38:$L$49</c:f>
              <c:numCache>
                <c:formatCode>0.00</c:formatCode>
                <c:ptCount val="12"/>
                <c:pt idx="0">
                  <c:v>4.0454545454545459</c:v>
                </c:pt>
                <c:pt idx="1">
                  <c:v>2.6</c:v>
                </c:pt>
                <c:pt idx="2">
                  <c:v>3.5</c:v>
                </c:pt>
                <c:pt idx="3">
                  <c:v>4.3555555555555552</c:v>
                </c:pt>
                <c:pt idx="4">
                  <c:v>2.8333333333333335</c:v>
                </c:pt>
                <c:pt idx="5">
                  <c:v>4.8</c:v>
                </c:pt>
                <c:pt idx="6">
                  <c:v>4.6500000000000004</c:v>
                </c:pt>
                <c:pt idx="7">
                  <c:v>3.6428571428571428</c:v>
                </c:pt>
                <c:pt idx="8">
                  <c:v>3.25</c:v>
                </c:pt>
                <c:pt idx="9">
                  <c:v>4</c:v>
                </c:pt>
                <c:pt idx="10">
                  <c:v>4.2</c:v>
                </c:pt>
                <c:pt idx="11">
                  <c:v>3.6142857142857139</c:v>
                </c:pt>
              </c:numCache>
            </c:numRef>
          </c:val>
          <c:extLst>
            <c:ext xmlns:c16="http://schemas.microsoft.com/office/drawing/2014/chart" uri="{C3380CC4-5D6E-409C-BE32-E72D297353CC}">
              <c16:uniqueId val="{00000009-650E-4903-83F6-830C28953780}"/>
            </c:ext>
          </c:extLst>
        </c:ser>
        <c:ser>
          <c:idx val="10"/>
          <c:order val="10"/>
          <c:tx>
            <c:strRef>
              <c:f>'Trade-off Analysis Results'!$M$22</c:f>
              <c:strCache>
                <c:ptCount val="1"/>
                <c:pt idx="0">
                  <c:v>Regional Integration and Coordination</c:v>
                </c:pt>
              </c:strCache>
            </c:strRef>
          </c:tx>
          <c:spPr>
            <a:solidFill>
              <a:schemeClr val="accent5">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Results'!$M$38:$M$49</c:f>
              <c:numCache>
                <c:formatCode>General</c:formatCode>
                <c:ptCount val="12"/>
                <c:pt idx="0" formatCode="0.00">
                  <c:v>2.8078124999999998</c:v>
                </c:pt>
                <c:pt idx="1">
                  <c:v>0</c:v>
                </c:pt>
                <c:pt idx="2" formatCode="0.00">
                  <c:v>3.1787815126050418</c:v>
                </c:pt>
                <c:pt idx="3" formatCode="0.00">
                  <c:v>3.5484871031746028</c:v>
                </c:pt>
                <c:pt idx="4" formatCode="0.00">
                  <c:v>2.5357843137254901</c:v>
                </c:pt>
                <c:pt idx="5" formatCode="0.00">
                  <c:v>4.1991071428571427</c:v>
                </c:pt>
                <c:pt idx="6" formatCode="0.00">
                  <c:v>3.6339285714285716</c:v>
                </c:pt>
                <c:pt idx="7" formatCode="0.00">
                  <c:v>3.8055555555555554</c:v>
                </c:pt>
                <c:pt idx="8" formatCode="0.00">
                  <c:v>3.079511278195489</c:v>
                </c:pt>
                <c:pt idx="9" formatCode="0.00">
                  <c:v>3.625</c:v>
                </c:pt>
                <c:pt idx="10" formatCode="0.00">
                  <c:v>3.7290178571428574</c:v>
                </c:pt>
                <c:pt idx="11" formatCode="0.00">
                  <c:v>3.104223901098901</c:v>
                </c:pt>
              </c:numCache>
            </c:numRef>
          </c:val>
          <c:extLst>
            <c:ext xmlns:c16="http://schemas.microsoft.com/office/drawing/2014/chart" uri="{C3380CC4-5D6E-409C-BE32-E72D297353CC}">
              <c16:uniqueId val="{0000000A-650E-4903-83F6-830C28953780}"/>
            </c:ext>
          </c:extLst>
        </c:ser>
        <c:ser>
          <c:idx val="11"/>
          <c:order val="11"/>
          <c:tx>
            <c:strRef>
              <c:f>'Trade-off Analysis Results'!$N$22</c:f>
              <c:strCache>
                <c:ptCount val="1"/>
                <c:pt idx="0">
                  <c:v>Reliability and Robustness</c:v>
                </c:pt>
              </c:strCache>
            </c:strRef>
          </c:tx>
          <c:spPr>
            <a:solidFill>
              <a:schemeClr val="accent6">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Results'!$N$38:$N$49</c:f>
              <c:numCache>
                <c:formatCode>0.00</c:formatCode>
                <c:ptCount val="12"/>
                <c:pt idx="0">
                  <c:v>3.7769790502891958</c:v>
                </c:pt>
                <c:pt idx="1">
                  <c:v>0</c:v>
                </c:pt>
                <c:pt idx="2">
                  <c:v>3.2046082828686941</c:v>
                </c:pt>
                <c:pt idx="3">
                  <c:v>3.777024951913921</c:v>
                </c:pt>
                <c:pt idx="4">
                  <c:v>3.2033648372076544</c:v>
                </c:pt>
                <c:pt idx="5">
                  <c:v>4.1902521872328489</c:v>
                </c:pt>
                <c:pt idx="6">
                  <c:v>3.9043885662387332</c:v>
                </c:pt>
                <c:pt idx="7">
                  <c:v>3.9065811944646414</c:v>
                </c:pt>
                <c:pt idx="8">
                  <c:v>3.2904471365064616</c:v>
                </c:pt>
                <c:pt idx="9">
                  <c:v>3.6296172585319257</c:v>
                </c:pt>
                <c:pt idx="10">
                  <c:v>3.2012985096013877</c:v>
                </c:pt>
                <c:pt idx="11">
                  <c:v>3.4865854868613311</c:v>
                </c:pt>
              </c:numCache>
            </c:numRef>
          </c:val>
          <c:extLst>
            <c:ext xmlns:c16="http://schemas.microsoft.com/office/drawing/2014/chart" uri="{C3380CC4-5D6E-409C-BE32-E72D297353CC}">
              <c16:uniqueId val="{0000000B-650E-4903-83F6-830C28953780}"/>
            </c:ext>
          </c:extLst>
        </c:ser>
        <c:ser>
          <c:idx val="12"/>
          <c:order val="12"/>
          <c:tx>
            <c:strRef>
              <c:f>'Trade-off Analysis Results'!$O$22</c:f>
              <c:strCache>
                <c:ptCount val="1"/>
                <c:pt idx="0">
                  <c:v>Water Quality and Watersheds</c:v>
                </c:pt>
              </c:strCache>
            </c:strRef>
          </c:tx>
          <c:spPr>
            <a:solidFill>
              <a:schemeClr val="accent1">
                <a:lumMod val="80000"/>
                <a:lumOff val="2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Results'!$O$38:$O$49</c:f>
              <c:numCache>
                <c:formatCode>0.00</c:formatCode>
                <c:ptCount val="12"/>
                <c:pt idx="0">
                  <c:v>3.2388888888888889</c:v>
                </c:pt>
                <c:pt idx="1">
                  <c:v>0</c:v>
                </c:pt>
                <c:pt idx="2">
                  <c:v>3.1875</c:v>
                </c:pt>
                <c:pt idx="3">
                  <c:v>3.361640211640212</c:v>
                </c:pt>
                <c:pt idx="4">
                  <c:v>0</c:v>
                </c:pt>
                <c:pt idx="5">
                  <c:v>3.9805555555555556</c:v>
                </c:pt>
                <c:pt idx="6">
                  <c:v>3.2597222222222224</c:v>
                </c:pt>
                <c:pt idx="7">
                  <c:v>2.8333333333333335</c:v>
                </c:pt>
                <c:pt idx="8">
                  <c:v>3.8635964912280709</c:v>
                </c:pt>
                <c:pt idx="9">
                  <c:v>3.5196078431372548</c:v>
                </c:pt>
                <c:pt idx="10">
                  <c:v>3.5277777777777781</c:v>
                </c:pt>
                <c:pt idx="11">
                  <c:v>3.7329365079365076</c:v>
                </c:pt>
              </c:numCache>
            </c:numRef>
          </c:val>
          <c:extLst>
            <c:ext xmlns:c16="http://schemas.microsoft.com/office/drawing/2014/chart" uri="{C3380CC4-5D6E-409C-BE32-E72D297353CC}">
              <c16:uniqueId val="{0000000C-650E-4903-83F6-830C28953780}"/>
            </c:ext>
          </c:extLst>
        </c:ser>
        <c:dLbls>
          <c:showLegendKey val="0"/>
          <c:showVal val="0"/>
          <c:showCatName val="0"/>
          <c:showSerName val="0"/>
          <c:showPercent val="0"/>
          <c:showBubbleSize val="0"/>
        </c:dLbls>
        <c:gapWidth val="150"/>
        <c:overlap val="100"/>
        <c:axId val="605874224"/>
        <c:axId val="368703600"/>
      </c:barChart>
      <c:catAx>
        <c:axId val="60587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03600"/>
        <c:crosses val="autoZero"/>
        <c:auto val="1"/>
        <c:lblAlgn val="ctr"/>
        <c:lblOffset val="100"/>
        <c:noMultiLvlLbl val="0"/>
      </c:catAx>
      <c:valAx>
        <c:axId val="368703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874224"/>
        <c:crosses val="autoZero"/>
        <c:crossBetween val="between"/>
      </c:valAx>
      <c:spPr>
        <a:noFill/>
        <a:ln>
          <a:noFill/>
        </a:ln>
        <a:effectLst/>
      </c:spPr>
    </c:plotArea>
    <c:legend>
      <c:legendPos val="b"/>
      <c:layout>
        <c:manualLayout>
          <c:xMode val="edge"/>
          <c:yMode val="edge"/>
          <c:x val="1.2661433052120847E-2"/>
          <c:y val="0.71143628847843066"/>
          <c:w val="0.9774317550717514"/>
          <c:h val="0.269996844607263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Results'!$C$37</c:f>
              <c:strCache>
                <c:ptCount val="1"/>
                <c:pt idx="0">
                  <c:v>Unweighted Scores for Address Climate Change through Greenhouse Gas (GHG) Reduction</c:v>
                </c:pt>
              </c:strCache>
            </c:strRef>
          </c:tx>
          <c:spPr>
            <a:solidFill>
              <a:schemeClr val="accent1"/>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Results'!$C$38:$C$49</c:f>
              <c:numCache>
                <c:formatCode>0.00</c:formatCode>
                <c:ptCount val="12"/>
                <c:pt idx="0">
                  <c:v>3.1875</c:v>
                </c:pt>
                <c:pt idx="1">
                  <c:v>0</c:v>
                </c:pt>
                <c:pt idx="2">
                  <c:v>3.25</c:v>
                </c:pt>
                <c:pt idx="3">
                  <c:v>3.0291666666666668</c:v>
                </c:pt>
                <c:pt idx="4">
                  <c:v>2.375</c:v>
                </c:pt>
                <c:pt idx="5">
                  <c:v>3.1875</c:v>
                </c:pt>
                <c:pt idx="6">
                  <c:v>3.5166666666666666</c:v>
                </c:pt>
                <c:pt idx="7">
                  <c:v>2.3529411764705883</c:v>
                </c:pt>
                <c:pt idx="8">
                  <c:v>3.35</c:v>
                </c:pt>
                <c:pt idx="9">
                  <c:v>3.1764705882352939</c:v>
                </c:pt>
                <c:pt idx="10">
                  <c:v>3.75</c:v>
                </c:pt>
                <c:pt idx="11">
                  <c:v>3.6261904761904762</c:v>
                </c:pt>
              </c:numCache>
            </c:numRef>
          </c:val>
          <c:extLst>
            <c:ext xmlns:c16="http://schemas.microsoft.com/office/drawing/2014/chart" uri="{C3380CC4-5D6E-409C-BE32-E72D297353CC}">
              <c16:uniqueId val="{00000000-8E48-4260-93FF-D412BED71505}"/>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Results'!$D$37</c:f>
              <c:strCache>
                <c:ptCount val="1"/>
                <c:pt idx="0">
                  <c:v>Unweighted Scores for Climate Resilience</c:v>
                </c:pt>
              </c:strCache>
            </c:strRef>
          </c:tx>
          <c:spPr>
            <a:solidFill>
              <a:schemeClr val="accent2"/>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Results'!$D$38:$D$49</c:f>
              <c:numCache>
                <c:formatCode>0.00</c:formatCode>
                <c:ptCount val="12"/>
                <c:pt idx="0">
                  <c:v>2.5696969696969694</c:v>
                </c:pt>
                <c:pt idx="1">
                  <c:v>0</c:v>
                </c:pt>
                <c:pt idx="2">
                  <c:v>5</c:v>
                </c:pt>
                <c:pt idx="3">
                  <c:v>3.7190082644628104</c:v>
                </c:pt>
                <c:pt idx="4">
                  <c:v>0</c:v>
                </c:pt>
                <c:pt idx="5">
                  <c:v>2.6467803030303028</c:v>
                </c:pt>
                <c:pt idx="6">
                  <c:v>2.8107606679035246</c:v>
                </c:pt>
                <c:pt idx="7">
                  <c:v>5</c:v>
                </c:pt>
                <c:pt idx="8">
                  <c:v>4.3398011025835039</c:v>
                </c:pt>
                <c:pt idx="9">
                  <c:v>5</c:v>
                </c:pt>
                <c:pt idx="10">
                  <c:v>3.75</c:v>
                </c:pt>
                <c:pt idx="11">
                  <c:v>3.9747007108118222</c:v>
                </c:pt>
              </c:numCache>
            </c:numRef>
          </c:val>
          <c:extLst>
            <c:ext xmlns:c16="http://schemas.microsoft.com/office/drawing/2014/chart" uri="{C3380CC4-5D6E-409C-BE32-E72D297353CC}">
              <c16:uniqueId val="{00000000-7085-4307-9668-6413DAF9626F}"/>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Unweighted Evaluation Objective Scores</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0542367946062"/>
          <c:y val="0.11477418230860228"/>
          <c:w val="0.64793745606040143"/>
          <c:h val="0.52178110346155115"/>
        </c:manualLayout>
      </c:layout>
      <c:barChart>
        <c:barDir val="bar"/>
        <c:grouping val="stacked"/>
        <c:varyColors val="0"/>
        <c:ser>
          <c:idx val="0"/>
          <c:order val="0"/>
          <c:tx>
            <c:strRef>
              <c:f>'Trade-off Analysis Results'!$C$22</c:f>
              <c:strCache>
                <c:ptCount val="1"/>
                <c:pt idx="0">
                  <c:v>Address Climate Change through GHG Reduction</c:v>
                </c:pt>
              </c:strCache>
            </c:strRef>
          </c:tx>
          <c:spPr>
            <a:solidFill>
              <a:schemeClr val="accent1"/>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Results'!$C$38:$C$49</c:f>
              <c:numCache>
                <c:formatCode>0.00</c:formatCode>
                <c:ptCount val="12"/>
                <c:pt idx="0">
                  <c:v>3.1875</c:v>
                </c:pt>
                <c:pt idx="1">
                  <c:v>0</c:v>
                </c:pt>
                <c:pt idx="2">
                  <c:v>3.25</c:v>
                </c:pt>
                <c:pt idx="3">
                  <c:v>3.0291666666666668</c:v>
                </c:pt>
                <c:pt idx="4">
                  <c:v>2.375</c:v>
                </c:pt>
                <c:pt idx="5">
                  <c:v>3.1875</c:v>
                </c:pt>
                <c:pt idx="6">
                  <c:v>3.5166666666666666</c:v>
                </c:pt>
                <c:pt idx="7">
                  <c:v>2.3529411764705883</c:v>
                </c:pt>
                <c:pt idx="8">
                  <c:v>3.35</c:v>
                </c:pt>
                <c:pt idx="9">
                  <c:v>3.1764705882352939</c:v>
                </c:pt>
                <c:pt idx="10">
                  <c:v>3.75</c:v>
                </c:pt>
                <c:pt idx="11">
                  <c:v>3.6261904761904762</c:v>
                </c:pt>
              </c:numCache>
            </c:numRef>
          </c:val>
          <c:extLst>
            <c:ext xmlns:c16="http://schemas.microsoft.com/office/drawing/2014/chart" uri="{C3380CC4-5D6E-409C-BE32-E72D297353CC}">
              <c16:uniqueId val="{00000000-20EF-446B-81A1-E4D83B2C66FC}"/>
            </c:ext>
          </c:extLst>
        </c:ser>
        <c:ser>
          <c:idx val="1"/>
          <c:order val="1"/>
          <c:tx>
            <c:strRef>
              <c:f>'Trade-off Analysis Results'!$D$22</c:f>
              <c:strCache>
                <c:ptCount val="1"/>
                <c:pt idx="0">
                  <c:v>Climate Resilience</c:v>
                </c:pt>
              </c:strCache>
            </c:strRef>
          </c:tx>
          <c:spPr>
            <a:solidFill>
              <a:schemeClr val="accent2"/>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Results'!$D$38:$D$49</c:f>
              <c:numCache>
                <c:formatCode>0.00</c:formatCode>
                <c:ptCount val="12"/>
                <c:pt idx="0">
                  <c:v>2.5696969696969694</c:v>
                </c:pt>
                <c:pt idx="1">
                  <c:v>0</c:v>
                </c:pt>
                <c:pt idx="2">
                  <c:v>5</c:v>
                </c:pt>
                <c:pt idx="3">
                  <c:v>3.7190082644628104</c:v>
                </c:pt>
                <c:pt idx="4">
                  <c:v>0</c:v>
                </c:pt>
                <c:pt idx="5">
                  <c:v>2.6467803030303028</c:v>
                </c:pt>
                <c:pt idx="6">
                  <c:v>2.8107606679035246</c:v>
                </c:pt>
                <c:pt idx="7">
                  <c:v>5</c:v>
                </c:pt>
                <c:pt idx="8">
                  <c:v>4.3398011025835039</c:v>
                </c:pt>
                <c:pt idx="9">
                  <c:v>5</c:v>
                </c:pt>
                <c:pt idx="10">
                  <c:v>3.75</c:v>
                </c:pt>
                <c:pt idx="11">
                  <c:v>3.9747007108118222</c:v>
                </c:pt>
              </c:numCache>
            </c:numRef>
          </c:val>
          <c:extLst>
            <c:ext xmlns:c16="http://schemas.microsoft.com/office/drawing/2014/chart" uri="{C3380CC4-5D6E-409C-BE32-E72D297353CC}">
              <c16:uniqueId val="{00000001-20EF-446B-81A1-E4D83B2C66FC}"/>
            </c:ext>
          </c:extLst>
        </c:ser>
        <c:ser>
          <c:idx val="2"/>
          <c:order val="2"/>
          <c:tx>
            <c:strRef>
              <c:f>'Trade-off Analysis Results'!$E$22</c:f>
              <c:strCache>
                <c:ptCount val="1"/>
                <c:pt idx="0">
                  <c:v>Cost Effectiveness</c:v>
                </c:pt>
              </c:strCache>
            </c:strRef>
          </c:tx>
          <c:spPr>
            <a:solidFill>
              <a:schemeClr val="accent3"/>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Results'!$E$38:$E$49</c:f>
              <c:numCache>
                <c:formatCode>0.00</c:formatCode>
                <c:ptCount val="12"/>
                <c:pt idx="0">
                  <c:v>2.2152777777777777</c:v>
                </c:pt>
                <c:pt idx="1">
                  <c:v>0</c:v>
                </c:pt>
                <c:pt idx="2">
                  <c:v>3.6666666666666665</c:v>
                </c:pt>
                <c:pt idx="3">
                  <c:v>2.1428571428571428</c:v>
                </c:pt>
                <c:pt idx="4">
                  <c:v>3.0784313725490193</c:v>
                </c:pt>
                <c:pt idx="5">
                  <c:v>1.9083333333333332</c:v>
                </c:pt>
                <c:pt idx="6">
                  <c:v>2.5</c:v>
                </c:pt>
                <c:pt idx="7">
                  <c:v>1.6296296296296298</c:v>
                </c:pt>
                <c:pt idx="8">
                  <c:v>2.8697368421052634</c:v>
                </c:pt>
                <c:pt idx="9">
                  <c:v>2.6666666666666665</c:v>
                </c:pt>
                <c:pt idx="10">
                  <c:v>4.104166666666667</c:v>
                </c:pt>
                <c:pt idx="11">
                  <c:v>2.9226190476190474</c:v>
                </c:pt>
              </c:numCache>
            </c:numRef>
          </c:val>
          <c:extLst>
            <c:ext xmlns:c16="http://schemas.microsoft.com/office/drawing/2014/chart" uri="{C3380CC4-5D6E-409C-BE32-E72D297353CC}">
              <c16:uniqueId val="{00000002-20EF-446B-81A1-E4D83B2C66FC}"/>
            </c:ext>
          </c:extLst>
        </c:ser>
        <c:ser>
          <c:idx val="3"/>
          <c:order val="3"/>
          <c:tx>
            <c:strRef>
              <c:f>'Trade-off Analysis Results'!$F$22</c:f>
              <c:strCache>
                <c:ptCount val="1"/>
                <c:pt idx="0">
                  <c:v>Environmental Justice</c:v>
                </c:pt>
              </c:strCache>
            </c:strRef>
          </c:tx>
          <c:spPr>
            <a:solidFill>
              <a:schemeClr val="accent4"/>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Results'!$F$38:$F$49</c:f>
              <c:numCache>
                <c:formatCode>0.00</c:formatCode>
                <c:ptCount val="12"/>
                <c:pt idx="0">
                  <c:v>3</c:v>
                </c:pt>
                <c:pt idx="1">
                  <c:v>0</c:v>
                </c:pt>
                <c:pt idx="2">
                  <c:v>0</c:v>
                </c:pt>
                <c:pt idx="3">
                  <c:v>3.083333333333333</c:v>
                </c:pt>
                <c:pt idx="4">
                  <c:v>0</c:v>
                </c:pt>
                <c:pt idx="5">
                  <c:v>3.125</c:v>
                </c:pt>
                <c:pt idx="6">
                  <c:v>3.046875</c:v>
                </c:pt>
                <c:pt idx="7">
                  <c:v>0</c:v>
                </c:pt>
                <c:pt idx="8">
                  <c:v>3.2776785714285714</c:v>
                </c:pt>
                <c:pt idx="9">
                  <c:v>3</c:v>
                </c:pt>
                <c:pt idx="10">
                  <c:v>3.5</c:v>
                </c:pt>
                <c:pt idx="11">
                  <c:v>3.791666666666667</c:v>
                </c:pt>
              </c:numCache>
            </c:numRef>
          </c:val>
          <c:extLst>
            <c:ext xmlns:c16="http://schemas.microsoft.com/office/drawing/2014/chart" uri="{C3380CC4-5D6E-409C-BE32-E72D297353CC}">
              <c16:uniqueId val="{00000003-20EF-446B-81A1-E4D83B2C66FC}"/>
            </c:ext>
          </c:extLst>
        </c:ser>
        <c:ser>
          <c:idx val="4"/>
          <c:order val="4"/>
          <c:tx>
            <c:strRef>
              <c:f>'Trade-off Analysis Results'!$G$22</c:f>
              <c:strCache>
                <c:ptCount val="1"/>
                <c:pt idx="0">
                  <c:v>Optimize Local Supplies</c:v>
                </c:pt>
              </c:strCache>
            </c:strRef>
          </c:tx>
          <c:spPr>
            <a:solidFill>
              <a:schemeClr val="accent5"/>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Results'!$G$38:$G$49</c:f>
              <c:numCache>
                <c:formatCode>0.00</c:formatCode>
                <c:ptCount val="12"/>
                <c:pt idx="0">
                  <c:v>3.802083333333333</c:v>
                </c:pt>
                <c:pt idx="1">
                  <c:v>0</c:v>
                </c:pt>
                <c:pt idx="2">
                  <c:v>4.2352941176470589</c:v>
                </c:pt>
                <c:pt idx="3">
                  <c:v>4.96875</c:v>
                </c:pt>
                <c:pt idx="4">
                  <c:v>2.8125</c:v>
                </c:pt>
                <c:pt idx="5">
                  <c:v>4.8375000000000004</c:v>
                </c:pt>
                <c:pt idx="6">
                  <c:v>4.90625</c:v>
                </c:pt>
                <c:pt idx="7">
                  <c:v>5</c:v>
                </c:pt>
                <c:pt idx="8">
                  <c:v>3.5264423076923075</c:v>
                </c:pt>
                <c:pt idx="9">
                  <c:v>4.7777777777777777</c:v>
                </c:pt>
                <c:pt idx="10">
                  <c:v>4.2562499999999996</c:v>
                </c:pt>
                <c:pt idx="11">
                  <c:v>3.854166666666667</c:v>
                </c:pt>
              </c:numCache>
            </c:numRef>
          </c:val>
          <c:extLst>
            <c:ext xmlns:c16="http://schemas.microsoft.com/office/drawing/2014/chart" uri="{C3380CC4-5D6E-409C-BE32-E72D297353CC}">
              <c16:uniqueId val="{00000004-20EF-446B-81A1-E4D83B2C66FC}"/>
            </c:ext>
          </c:extLst>
        </c:ser>
        <c:ser>
          <c:idx val="5"/>
          <c:order val="5"/>
          <c:tx>
            <c:strRef>
              <c:f>'Trade-off Analysis Results'!$H$22</c:f>
              <c:strCache>
                <c:ptCount val="1"/>
                <c:pt idx="0">
                  <c:v>Project Complexity</c:v>
                </c:pt>
              </c:strCache>
            </c:strRef>
          </c:tx>
          <c:spPr>
            <a:solidFill>
              <a:schemeClr val="accent6"/>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Results'!$H$38:$H$49</c:f>
              <c:numCache>
                <c:formatCode>0.00</c:formatCode>
                <c:ptCount val="12"/>
                <c:pt idx="0">
                  <c:v>2.947916666666667</c:v>
                </c:pt>
                <c:pt idx="1">
                  <c:v>0</c:v>
                </c:pt>
                <c:pt idx="2">
                  <c:v>3.0588235294117645</c:v>
                </c:pt>
                <c:pt idx="3">
                  <c:v>2.0111111111111111</c:v>
                </c:pt>
                <c:pt idx="4">
                  <c:v>3.2605042016806722</c:v>
                </c:pt>
                <c:pt idx="5">
                  <c:v>1.75</c:v>
                </c:pt>
                <c:pt idx="6">
                  <c:v>3.125</c:v>
                </c:pt>
                <c:pt idx="7">
                  <c:v>1.4666666666666666</c:v>
                </c:pt>
                <c:pt idx="8">
                  <c:v>3.1083333333333334</c:v>
                </c:pt>
                <c:pt idx="9">
                  <c:v>2.4629629629629632</c:v>
                </c:pt>
                <c:pt idx="10">
                  <c:v>4.1333333333333329</c:v>
                </c:pt>
                <c:pt idx="11">
                  <c:v>2.8333333333333335</c:v>
                </c:pt>
              </c:numCache>
            </c:numRef>
          </c:val>
          <c:extLst>
            <c:ext xmlns:c16="http://schemas.microsoft.com/office/drawing/2014/chart" uri="{C3380CC4-5D6E-409C-BE32-E72D297353CC}">
              <c16:uniqueId val="{00000005-20EF-446B-81A1-E4D83B2C66FC}"/>
            </c:ext>
          </c:extLst>
        </c:ser>
        <c:ser>
          <c:idx val="6"/>
          <c:order val="6"/>
          <c:tx>
            <c:strRef>
              <c:f>'Trade-off Analysis Results'!$I$22</c:f>
              <c:strCache>
                <c:ptCount val="1"/>
                <c:pt idx="0">
                  <c:v>Protect Habitats, Wildlife, and  Ecosystems</c:v>
                </c:pt>
              </c:strCache>
            </c:strRef>
          </c:tx>
          <c:spPr>
            <a:solidFill>
              <a:schemeClr val="accent1">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Results'!$I$38:$I$49</c:f>
              <c:numCache>
                <c:formatCode>0.00</c:formatCode>
                <c:ptCount val="12"/>
                <c:pt idx="0">
                  <c:v>3</c:v>
                </c:pt>
                <c:pt idx="1">
                  <c:v>0</c:v>
                </c:pt>
                <c:pt idx="2">
                  <c:v>3</c:v>
                </c:pt>
                <c:pt idx="3">
                  <c:v>3.0606060606060606</c:v>
                </c:pt>
                <c:pt idx="4">
                  <c:v>3</c:v>
                </c:pt>
                <c:pt idx="5">
                  <c:v>3</c:v>
                </c:pt>
                <c:pt idx="6">
                  <c:v>3</c:v>
                </c:pt>
                <c:pt idx="7">
                  <c:v>3</c:v>
                </c:pt>
                <c:pt idx="8">
                  <c:v>3.1913090418353574</c:v>
                </c:pt>
                <c:pt idx="9">
                  <c:v>3</c:v>
                </c:pt>
                <c:pt idx="10">
                  <c:v>3.0833333333333335</c:v>
                </c:pt>
                <c:pt idx="11">
                  <c:v>3.3529411764705883</c:v>
                </c:pt>
              </c:numCache>
            </c:numRef>
          </c:val>
          <c:extLst>
            <c:ext xmlns:c16="http://schemas.microsoft.com/office/drawing/2014/chart" uri="{C3380CC4-5D6E-409C-BE32-E72D297353CC}">
              <c16:uniqueId val="{00000006-20EF-446B-81A1-E4D83B2C66FC}"/>
            </c:ext>
          </c:extLst>
        </c:ser>
        <c:ser>
          <c:idx val="7"/>
          <c:order val="7"/>
          <c:tx>
            <c:strRef>
              <c:f>'Trade-off Analysis Results'!$J$22</c:f>
              <c:strCache>
                <c:ptCount val="1"/>
                <c:pt idx="0">
                  <c:v>Provide for Scalability of Implementation</c:v>
                </c:pt>
              </c:strCache>
            </c:strRef>
          </c:tx>
          <c:spPr>
            <a:solidFill>
              <a:schemeClr val="accent2">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Results'!$J$38:$J$49</c:f>
              <c:numCache>
                <c:formatCode>0.00</c:formatCode>
                <c:ptCount val="12"/>
                <c:pt idx="0">
                  <c:v>3.2666666666666666</c:v>
                </c:pt>
                <c:pt idx="1">
                  <c:v>0</c:v>
                </c:pt>
                <c:pt idx="2">
                  <c:v>3.6</c:v>
                </c:pt>
                <c:pt idx="3">
                  <c:v>3.0674603174603172</c:v>
                </c:pt>
                <c:pt idx="4">
                  <c:v>2.8</c:v>
                </c:pt>
                <c:pt idx="5">
                  <c:v>3.7785714285714285</c:v>
                </c:pt>
                <c:pt idx="6">
                  <c:v>3.8482142857142856</c:v>
                </c:pt>
                <c:pt idx="7">
                  <c:v>2.5333333333333332</c:v>
                </c:pt>
                <c:pt idx="8">
                  <c:v>3.2178571428571425</c:v>
                </c:pt>
                <c:pt idx="9">
                  <c:v>3.375</c:v>
                </c:pt>
                <c:pt idx="10">
                  <c:v>4.0714285714285712</c:v>
                </c:pt>
                <c:pt idx="11">
                  <c:v>3.5</c:v>
                </c:pt>
              </c:numCache>
            </c:numRef>
          </c:val>
          <c:extLst>
            <c:ext xmlns:c16="http://schemas.microsoft.com/office/drawing/2014/chart" uri="{C3380CC4-5D6E-409C-BE32-E72D297353CC}">
              <c16:uniqueId val="{00000007-20EF-446B-81A1-E4D83B2C66FC}"/>
            </c:ext>
          </c:extLst>
        </c:ser>
        <c:ser>
          <c:idx val="8"/>
          <c:order val="8"/>
          <c:tx>
            <c:strRef>
              <c:f>'Trade-off Analysis Results'!$K$22</c:f>
              <c:strCache>
                <c:ptCount val="1"/>
                <c:pt idx="0">
                  <c:v>Quality of Life/Recreation</c:v>
                </c:pt>
              </c:strCache>
            </c:strRef>
          </c:tx>
          <c:spPr>
            <a:solidFill>
              <a:schemeClr val="accent3">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Results'!$K$38:$K$49</c:f>
              <c:numCache>
                <c:formatCode>0.00</c:formatCode>
                <c:ptCount val="12"/>
                <c:pt idx="0">
                  <c:v>3.6339285714285716</c:v>
                </c:pt>
                <c:pt idx="1">
                  <c:v>0</c:v>
                </c:pt>
                <c:pt idx="2">
                  <c:v>3.173625511230421</c:v>
                </c:pt>
                <c:pt idx="3">
                  <c:v>3.0242787675283838</c:v>
                </c:pt>
                <c:pt idx="4">
                  <c:v>3.0155009059304234</c:v>
                </c:pt>
                <c:pt idx="5">
                  <c:v>3.4599338552467573</c:v>
                </c:pt>
                <c:pt idx="6">
                  <c:v>3.7375700669180363</c:v>
                </c:pt>
                <c:pt idx="7">
                  <c:v>3.015353408250097</c:v>
                </c:pt>
                <c:pt idx="8">
                  <c:v>3.9334482606237171</c:v>
                </c:pt>
                <c:pt idx="9">
                  <c:v>3.2357683190028346</c:v>
                </c:pt>
                <c:pt idx="10">
                  <c:v>3.7673053792378646</c:v>
                </c:pt>
                <c:pt idx="11">
                  <c:v>4.0530855402574613</c:v>
                </c:pt>
              </c:numCache>
            </c:numRef>
          </c:val>
          <c:extLst>
            <c:ext xmlns:c16="http://schemas.microsoft.com/office/drawing/2014/chart" uri="{C3380CC4-5D6E-409C-BE32-E72D297353CC}">
              <c16:uniqueId val="{00000008-20EF-446B-81A1-E4D83B2C66FC}"/>
            </c:ext>
          </c:extLst>
        </c:ser>
        <c:ser>
          <c:idx val="9"/>
          <c:order val="9"/>
          <c:tx>
            <c:strRef>
              <c:f>'Trade-off Analysis Results'!$L$22</c:f>
              <c:strCache>
                <c:ptCount val="1"/>
                <c:pt idx="0">
                  <c:v>Regional Economic Impact</c:v>
                </c:pt>
              </c:strCache>
            </c:strRef>
          </c:tx>
          <c:spPr>
            <a:solidFill>
              <a:schemeClr val="accent4">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Results'!$L$38:$L$49</c:f>
              <c:numCache>
                <c:formatCode>0.00</c:formatCode>
                <c:ptCount val="12"/>
                <c:pt idx="0">
                  <c:v>4.0454545454545459</c:v>
                </c:pt>
                <c:pt idx="1">
                  <c:v>2.6</c:v>
                </c:pt>
                <c:pt idx="2">
                  <c:v>3.5</c:v>
                </c:pt>
                <c:pt idx="3">
                  <c:v>4.3555555555555552</c:v>
                </c:pt>
                <c:pt idx="4">
                  <c:v>2.8333333333333335</c:v>
                </c:pt>
                <c:pt idx="5">
                  <c:v>4.8</c:v>
                </c:pt>
                <c:pt idx="6">
                  <c:v>4.6500000000000004</c:v>
                </c:pt>
                <c:pt idx="7">
                  <c:v>3.6428571428571428</c:v>
                </c:pt>
                <c:pt idx="8">
                  <c:v>3.25</c:v>
                </c:pt>
                <c:pt idx="9">
                  <c:v>4</c:v>
                </c:pt>
                <c:pt idx="10">
                  <c:v>4.2</c:v>
                </c:pt>
                <c:pt idx="11">
                  <c:v>3.6142857142857139</c:v>
                </c:pt>
              </c:numCache>
            </c:numRef>
          </c:val>
          <c:extLst>
            <c:ext xmlns:c16="http://schemas.microsoft.com/office/drawing/2014/chart" uri="{C3380CC4-5D6E-409C-BE32-E72D297353CC}">
              <c16:uniqueId val="{00000009-20EF-446B-81A1-E4D83B2C66FC}"/>
            </c:ext>
          </c:extLst>
        </c:ser>
        <c:ser>
          <c:idx val="10"/>
          <c:order val="10"/>
          <c:tx>
            <c:strRef>
              <c:f>'Trade-off Analysis Results'!$M$22</c:f>
              <c:strCache>
                <c:ptCount val="1"/>
                <c:pt idx="0">
                  <c:v>Regional Integration and Coordination</c:v>
                </c:pt>
              </c:strCache>
            </c:strRef>
          </c:tx>
          <c:spPr>
            <a:solidFill>
              <a:schemeClr val="accent5">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Results'!$M$38:$M$49</c:f>
              <c:numCache>
                <c:formatCode>General</c:formatCode>
                <c:ptCount val="12"/>
                <c:pt idx="0" formatCode="0.00">
                  <c:v>2.8078124999999998</c:v>
                </c:pt>
                <c:pt idx="1">
                  <c:v>0</c:v>
                </c:pt>
                <c:pt idx="2" formatCode="0.00">
                  <c:v>3.1787815126050418</c:v>
                </c:pt>
                <c:pt idx="3" formatCode="0.00">
                  <c:v>3.5484871031746028</c:v>
                </c:pt>
                <c:pt idx="4" formatCode="0.00">
                  <c:v>2.5357843137254901</c:v>
                </c:pt>
                <c:pt idx="5" formatCode="0.00">
                  <c:v>4.1991071428571427</c:v>
                </c:pt>
                <c:pt idx="6" formatCode="0.00">
                  <c:v>3.6339285714285716</c:v>
                </c:pt>
                <c:pt idx="7" formatCode="0.00">
                  <c:v>3.8055555555555554</c:v>
                </c:pt>
                <c:pt idx="8" formatCode="0.00">
                  <c:v>3.079511278195489</c:v>
                </c:pt>
                <c:pt idx="9" formatCode="0.00">
                  <c:v>3.625</c:v>
                </c:pt>
                <c:pt idx="10" formatCode="0.00">
                  <c:v>3.7290178571428574</c:v>
                </c:pt>
                <c:pt idx="11" formatCode="0.00">
                  <c:v>3.104223901098901</c:v>
                </c:pt>
              </c:numCache>
            </c:numRef>
          </c:val>
          <c:extLst>
            <c:ext xmlns:c16="http://schemas.microsoft.com/office/drawing/2014/chart" uri="{C3380CC4-5D6E-409C-BE32-E72D297353CC}">
              <c16:uniqueId val="{0000000A-20EF-446B-81A1-E4D83B2C66FC}"/>
            </c:ext>
          </c:extLst>
        </c:ser>
        <c:ser>
          <c:idx val="11"/>
          <c:order val="11"/>
          <c:tx>
            <c:strRef>
              <c:f>'Trade-off Analysis Results'!$N$22</c:f>
              <c:strCache>
                <c:ptCount val="1"/>
                <c:pt idx="0">
                  <c:v>Reliability and Robustness</c:v>
                </c:pt>
              </c:strCache>
            </c:strRef>
          </c:tx>
          <c:spPr>
            <a:solidFill>
              <a:schemeClr val="accent6">
                <a:lumMod val="6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Results'!$N$38:$N$49</c:f>
              <c:numCache>
                <c:formatCode>0.00</c:formatCode>
                <c:ptCount val="12"/>
                <c:pt idx="0">
                  <c:v>3.7769790502891958</c:v>
                </c:pt>
                <c:pt idx="1">
                  <c:v>0</c:v>
                </c:pt>
                <c:pt idx="2">
                  <c:v>3.2046082828686941</c:v>
                </c:pt>
                <c:pt idx="3">
                  <c:v>3.777024951913921</c:v>
                </c:pt>
                <c:pt idx="4">
                  <c:v>3.2033648372076544</c:v>
                </c:pt>
                <c:pt idx="5">
                  <c:v>4.1902521872328489</c:v>
                </c:pt>
                <c:pt idx="6">
                  <c:v>3.9043885662387332</c:v>
                </c:pt>
                <c:pt idx="7">
                  <c:v>3.9065811944646414</c:v>
                </c:pt>
                <c:pt idx="8">
                  <c:v>3.2904471365064616</c:v>
                </c:pt>
                <c:pt idx="9">
                  <c:v>3.6296172585319257</c:v>
                </c:pt>
                <c:pt idx="10">
                  <c:v>3.2012985096013877</c:v>
                </c:pt>
                <c:pt idx="11">
                  <c:v>3.4865854868613311</c:v>
                </c:pt>
              </c:numCache>
            </c:numRef>
          </c:val>
          <c:extLst>
            <c:ext xmlns:c16="http://schemas.microsoft.com/office/drawing/2014/chart" uri="{C3380CC4-5D6E-409C-BE32-E72D297353CC}">
              <c16:uniqueId val="{0000000B-20EF-446B-81A1-E4D83B2C66FC}"/>
            </c:ext>
          </c:extLst>
        </c:ser>
        <c:ser>
          <c:idx val="12"/>
          <c:order val="12"/>
          <c:tx>
            <c:strRef>
              <c:f>'Trade-off Analysis Results'!$O$22</c:f>
              <c:strCache>
                <c:ptCount val="1"/>
                <c:pt idx="0">
                  <c:v>Water Quality and Watersheds</c:v>
                </c:pt>
              </c:strCache>
            </c:strRef>
          </c:tx>
          <c:spPr>
            <a:solidFill>
              <a:schemeClr val="accent1">
                <a:lumMod val="80000"/>
                <a:lumOff val="2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Results'!$O$38:$O$49</c:f>
              <c:numCache>
                <c:formatCode>0.00</c:formatCode>
                <c:ptCount val="12"/>
                <c:pt idx="0">
                  <c:v>3.2388888888888889</c:v>
                </c:pt>
                <c:pt idx="1">
                  <c:v>0</c:v>
                </c:pt>
                <c:pt idx="2">
                  <c:v>3.1875</c:v>
                </c:pt>
                <c:pt idx="3">
                  <c:v>3.361640211640212</c:v>
                </c:pt>
                <c:pt idx="4">
                  <c:v>0</c:v>
                </c:pt>
                <c:pt idx="5">
                  <c:v>3.9805555555555556</c:v>
                </c:pt>
                <c:pt idx="6">
                  <c:v>3.2597222222222224</c:v>
                </c:pt>
                <c:pt idx="7">
                  <c:v>2.8333333333333335</c:v>
                </c:pt>
                <c:pt idx="8">
                  <c:v>3.8635964912280709</c:v>
                </c:pt>
                <c:pt idx="9">
                  <c:v>3.5196078431372548</c:v>
                </c:pt>
                <c:pt idx="10">
                  <c:v>3.5277777777777781</c:v>
                </c:pt>
                <c:pt idx="11">
                  <c:v>3.7329365079365076</c:v>
                </c:pt>
              </c:numCache>
            </c:numRef>
          </c:val>
          <c:extLst>
            <c:ext xmlns:c16="http://schemas.microsoft.com/office/drawing/2014/chart" uri="{C3380CC4-5D6E-409C-BE32-E72D297353CC}">
              <c16:uniqueId val="{0000000C-20EF-446B-81A1-E4D83B2C66FC}"/>
            </c:ext>
          </c:extLst>
        </c:ser>
        <c:dLbls>
          <c:showLegendKey val="0"/>
          <c:showVal val="0"/>
          <c:showCatName val="0"/>
          <c:showSerName val="0"/>
          <c:showPercent val="0"/>
          <c:showBubbleSize val="0"/>
        </c:dLbls>
        <c:gapWidth val="150"/>
        <c:overlap val="100"/>
        <c:axId val="605874224"/>
        <c:axId val="368703600"/>
      </c:barChart>
      <c:catAx>
        <c:axId val="605874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703600"/>
        <c:crosses val="autoZero"/>
        <c:auto val="1"/>
        <c:lblAlgn val="ctr"/>
        <c:lblOffset val="100"/>
        <c:noMultiLvlLbl val="0"/>
      </c:catAx>
      <c:valAx>
        <c:axId val="3687036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874224"/>
        <c:crosses val="autoZero"/>
        <c:crossBetween val="between"/>
      </c:valAx>
      <c:spPr>
        <a:noFill/>
        <a:ln>
          <a:noFill/>
        </a:ln>
        <a:effectLst/>
      </c:spPr>
    </c:plotArea>
    <c:legend>
      <c:legendPos val="b"/>
      <c:layout>
        <c:manualLayout>
          <c:xMode val="edge"/>
          <c:yMode val="edge"/>
          <c:x val="1.2661433052120847E-2"/>
          <c:y val="0.71143628847843066"/>
          <c:w val="0.9774317550717514"/>
          <c:h val="0.269996844607263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Results'!$E$37</c:f>
              <c:strCache>
                <c:ptCount val="1"/>
                <c:pt idx="0">
                  <c:v>Unweighted Scores for Cost Effectiveness</c:v>
                </c:pt>
              </c:strCache>
            </c:strRef>
          </c:tx>
          <c:spPr>
            <a:solidFill>
              <a:schemeClr val="accent3"/>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Results'!$E$38:$E$49</c:f>
              <c:numCache>
                <c:formatCode>0.00</c:formatCode>
                <c:ptCount val="12"/>
                <c:pt idx="0">
                  <c:v>2.2152777777777777</c:v>
                </c:pt>
                <c:pt idx="1">
                  <c:v>0</c:v>
                </c:pt>
                <c:pt idx="2">
                  <c:v>3.6666666666666665</c:v>
                </c:pt>
                <c:pt idx="3">
                  <c:v>2.1428571428571428</c:v>
                </c:pt>
                <c:pt idx="4">
                  <c:v>3.0784313725490193</c:v>
                </c:pt>
                <c:pt idx="5">
                  <c:v>1.9083333333333332</c:v>
                </c:pt>
                <c:pt idx="6">
                  <c:v>2.5</c:v>
                </c:pt>
                <c:pt idx="7">
                  <c:v>1.6296296296296298</c:v>
                </c:pt>
                <c:pt idx="8">
                  <c:v>2.8697368421052634</c:v>
                </c:pt>
                <c:pt idx="9">
                  <c:v>2.6666666666666665</c:v>
                </c:pt>
                <c:pt idx="10">
                  <c:v>4.104166666666667</c:v>
                </c:pt>
                <c:pt idx="11">
                  <c:v>2.9226190476190474</c:v>
                </c:pt>
              </c:numCache>
            </c:numRef>
          </c:val>
          <c:extLst>
            <c:ext xmlns:c16="http://schemas.microsoft.com/office/drawing/2014/chart" uri="{C3380CC4-5D6E-409C-BE32-E72D297353CC}">
              <c16:uniqueId val="{00000000-C1DA-4494-A2D1-A9BA40EB0C57}"/>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Results'!$F$37</c:f>
              <c:strCache>
                <c:ptCount val="1"/>
                <c:pt idx="0">
                  <c:v>Unweighted Scores for Environmental Justice</c:v>
                </c:pt>
              </c:strCache>
            </c:strRef>
          </c:tx>
          <c:spPr>
            <a:solidFill>
              <a:schemeClr val="accent4"/>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Results'!$F$38:$F$49</c:f>
              <c:numCache>
                <c:formatCode>0.00</c:formatCode>
                <c:ptCount val="12"/>
                <c:pt idx="0">
                  <c:v>3</c:v>
                </c:pt>
                <c:pt idx="1">
                  <c:v>0</c:v>
                </c:pt>
                <c:pt idx="2">
                  <c:v>0</c:v>
                </c:pt>
                <c:pt idx="3">
                  <c:v>3.083333333333333</c:v>
                </c:pt>
                <c:pt idx="4">
                  <c:v>0</c:v>
                </c:pt>
                <c:pt idx="5">
                  <c:v>3.125</c:v>
                </c:pt>
                <c:pt idx="6">
                  <c:v>3.046875</c:v>
                </c:pt>
                <c:pt idx="7">
                  <c:v>0</c:v>
                </c:pt>
                <c:pt idx="8">
                  <c:v>3.2776785714285714</c:v>
                </c:pt>
                <c:pt idx="9">
                  <c:v>3</c:v>
                </c:pt>
                <c:pt idx="10">
                  <c:v>3.5</c:v>
                </c:pt>
                <c:pt idx="11">
                  <c:v>3.791666666666667</c:v>
                </c:pt>
              </c:numCache>
            </c:numRef>
          </c:val>
          <c:extLst>
            <c:ext xmlns:c16="http://schemas.microsoft.com/office/drawing/2014/chart" uri="{C3380CC4-5D6E-409C-BE32-E72D297353CC}">
              <c16:uniqueId val="{00000000-5AFF-4C7C-8BA3-72CD42F10510}"/>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Results'!$H$37</c:f>
              <c:strCache>
                <c:ptCount val="1"/>
                <c:pt idx="0">
                  <c:v>Unweighted Scores for Project Complexity</c:v>
                </c:pt>
              </c:strCache>
            </c:strRef>
          </c:tx>
          <c:spPr>
            <a:solidFill>
              <a:schemeClr val="accent6"/>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Results'!$H$38:$H$49</c:f>
              <c:numCache>
                <c:formatCode>0.00</c:formatCode>
                <c:ptCount val="12"/>
                <c:pt idx="0">
                  <c:v>2.947916666666667</c:v>
                </c:pt>
                <c:pt idx="1">
                  <c:v>0</c:v>
                </c:pt>
                <c:pt idx="2">
                  <c:v>3.0588235294117645</c:v>
                </c:pt>
                <c:pt idx="3">
                  <c:v>2.0111111111111111</c:v>
                </c:pt>
                <c:pt idx="4">
                  <c:v>3.2605042016806722</c:v>
                </c:pt>
                <c:pt idx="5">
                  <c:v>1.75</c:v>
                </c:pt>
                <c:pt idx="6">
                  <c:v>3.125</c:v>
                </c:pt>
                <c:pt idx="7">
                  <c:v>1.4666666666666666</c:v>
                </c:pt>
                <c:pt idx="8">
                  <c:v>3.1083333333333334</c:v>
                </c:pt>
                <c:pt idx="9">
                  <c:v>2.4629629629629632</c:v>
                </c:pt>
                <c:pt idx="10">
                  <c:v>4.1333333333333329</c:v>
                </c:pt>
                <c:pt idx="11">
                  <c:v>2.8333333333333335</c:v>
                </c:pt>
              </c:numCache>
            </c:numRef>
          </c:val>
          <c:extLst>
            <c:ext xmlns:c16="http://schemas.microsoft.com/office/drawing/2014/chart" uri="{C3380CC4-5D6E-409C-BE32-E72D297353CC}">
              <c16:uniqueId val="{00000000-187C-40EF-A8A2-C1391148ACDD}"/>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Results'!$I$37</c:f>
              <c:strCache>
                <c:ptCount val="1"/>
                <c:pt idx="0">
                  <c:v>Unweighted Scores for Protect Habitats, Wildlife, Ecosystems</c:v>
                </c:pt>
              </c:strCache>
            </c:strRef>
          </c:tx>
          <c:spPr>
            <a:solidFill>
              <a:schemeClr val="accent1">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Results'!$I$38:$I$49</c:f>
              <c:numCache>
                <c:formatCode>0.00</c:formatCode>
                <c:ptCount val="12"/>
                <c:pt idx="0">
                  <c:v>3</c:v>
                </c:pt>
                <c:pt idx="1">
                  <c:v>0</c:v>
                </c:pt>
                <c:pt idx="2">
                  <c:v>3</c:v>
                </c:pt>
                <c:pt idx="3">
                  <c:v>3.0606060606060606</c:v>
                </c:pt>
                <c:pt idx="4">
                  <c:v>3</c:v>
                </c:pt>
                <c:pt idx="5">
                  <c:v>3</c:v>
                </c:pt>
                <c:pt idx="6">
                  <c:v>3</c:v>
                </c:pt>
                <c:pt idx="7">
                  <c:v>3</c:v>
                </c:pt>
                <c:pt idx="8">
                  <c:v>3.1913090418353574</c:v>
                </c:pt>
                <c:pt idx="9">
                  <c:v>3</c:v>
                </c:pt>
                <c:pt idx="10">
                  <c:v>3.0833333333333335</c:v>
                </c:pt>
                <c:pt idx="11">
                  <c:v>3.3529411764705883</c:v>
                </c:pt>
              </c:numCache>
            </c:numRef>
          </c:val>
          <c:extLst>
            <c:ext xmlns:c16="http://schemas.microsoft.com/office/drawing/2014/chart" uri="{C3380CC4-5D6E-409C-BE32-E72D297353CC}">
              <c16:uniqueId val="{00000000-85DA-47A7-8A66-CF2C3667C019}"/>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Results'!$J$37</c:f>
              <c:strCache>
                <c:ptCount val="1"/>
                <c:pt idx="0">
                  <c:v>Unweighted Scores for Provide for Scalability of Implementation</c:v>
                </c:pt>
              </c:strCache>
            </c:strRef>
          </c:tx>
          <c:spPr>
            <a:solidFill>
              <a:schemeClr val="accent2">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Results'!$J$38:$J$49</c:f>
              <c:numCache>
                <c:formatCode>0.00</c:formatCode>
                <c:ptCount val="12"/>
                <c:pt idx="0">
                  <c:v>3.2666666666666666</c:v>
                </c:pt>
                <c:pt idx="1">
                  <c:v>0</c:v>
                </c:pt>
                <c:pt idx="2">
                  <c:v>3.6</c:v>
                </c:pt>
                <c:pt idx="3">
                  <c:v>3.0674603174603172</c:v>
                </c:pt>
                <c:pt idx="4">
                  <c:v>2.8</c:v>
                </c:pt>
                <c:pt idx="5">
                  <c:v>3.7785714285714285</c:v>
                </c:pt>
                <c:pt idx="6">
                  <c:v>3.8482142857142856</c:v>
                </c:pt>
                <c:pt idx="7">
                  <c:v>2.5333333333333332</c:v>
                </c:pt>
                <c:pt idx="8">
                  <c:v>3.2178571428571425</c:v>
                </c:pt>
                <c:pt idx="9">
                  <c:v>3.375</c:v>
                </c:pt>
                <c:pt idx="10">
                  <c:v>4.0714285714285712</c:v>
                </c:pt>
                <c:pt idx="11">
                  <c:v>3.5</c:v>
                </c:pt>
              </c:numCache>
            </c:numRef>
          </c:val>
          <c:extLst>
            <c:ext xmlns:c16="http://schemas.microsoft.com/office/drawing/2014/chart" uri="{C3380CC4-5D6E-409C-BE32-E72D297353CC}">
              <c16:uniqueId val="{00000000-E410-4D1E-B7EF-A3D338DFC71D}"/>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Results'!$K$37</c:f>
              <c:strCache>
                <c:ptCount val="1"/>
                <c:pt idx="0">
                  <c:v>Unweighted Scores for Quality of Life/Recreation</c:v>
                </c:pt>
              </c:strCache>
            </c:strRef>
          </c:tx>
          <c:spPr>
            <a:solidFill>
              <a:schemeClr val="accent3">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Results'!$K$38:$K$49</c:f>
              <c:numCache>
                <c:formatCode>0.00</c:formatCode>
                <c:ptCount val="12"/>
                <c:pt idx="0">
                  <c:v>3.6339285714285716</c:v>
                </c:pt>
                <c:pt idx="1">
                  <c:v>0</c:v>
                </c:pt>
                <c:pt idx="2">
                  <c:v>3.173625511230421</c:v>
                </c:pt>
                <c:pt idx="3">
                  <c:v>3.0242787675283838</c:v>
                </c:pt>
                <c:pt idx="4">
                  <c:v>3.0155009059304234</c:v>
                </c:pt>
                <c:pt idx="5">
                  <c:v>3.4599338552467573</c:v>
                </c:pt>
                <c:pt idx="6">
                  <c:v>3.7375700669180363</c:v>
                </c:pt>
                <c:pt idx="7">
                  <c:v>3.015353408250097</c:v>
                </c:pt>
                <c:pt idx="8">
                  <c:v>3.9334482606237171</c:v>
                </c:pt>
                <c:pt idx="9">
                  <c:v>3.2357683190028346</c:v>
                </c:pt>
                <c:pt idx="10">
                  <c:v>3.7673053792378646</c:v>
                </c:pt>
                <c:pt idx="11">
                  <c:v>4.0530855402574613</c:v>
                </c:pt>
              </c:numCache>
            </c:numRef>
          </c:val>
          <c:extLst>
            <c:ext xmlns:c16="http://schemas.microsoft.com/office/drawing/2014/chart" uri="{C3380CC4-5D6E-409C-BE32-E72D297353CC}">
              <c16:uniqueId val="{00000000-8262-4A35-8588-990B07029CB4}"/>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Results'!$L$37</c:f>
              <c:strCache>
                <c:ptCount val="1"/>
                <c:pt idx="0">
                  <c:v>Unweighted Scores for Regional Economic Impact</c:v>
                </c:pt>
              </c:strCache>
            </c:strRef>
          </c:tx>
          <c:spPr>
            <a:solidFill>
              <a:schemeClr val="accent4">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Results'!$L$38:$L$49</c:f>
              <c:numCache>
                <c:formatCode>0.00</c:formatCode>
                <c:ptCount val="12"/>
                <c:pt idx="0">
                  <c:v>4.0454545454545459</c:v>
                </c:pt>
                <c:pt idx="1">
                  <c:v>2.6</c:v>
                </c:pt>
                <c:pt idx="2">
                  <c:v>3.5</c:v>
                </c:pt>
                <c:pt idx="3">
                  <c:v>4.3555555555555552</c:v>
                </c:pt>
                <c:pt idx="4">
                  <c:v>2.8333333333333335</c:v>
                </c:pt>
                <c:pt idx="5">
                  <c:v>4.8</c:v>
                </c:pt>
                <c:pt idx="6">
                  <c:v>4.6500000000000004</c:v>
                </c:pt>
                <c:pt idx="7">
                  <c:v>3.6428571428571428</c:v>
                </c:pt>
                <c:pt idx="8">
                  <c:v>3.25</c:v>
                </c:pt>
                <c:pt idx="9">
                  <c:v>4</c:v>
                </c:pt>
                <c:pt idx="10">
                  <c:v>4.2</c:v>
                </c:pt>
                <c:pt idx="11">
                  <c:v>3.6142857142857139</c:v>
                </c:pt>
              </c:numCache>
            </c:numRef>
          </c:val>
          <c:extLst>
            <c:ext xmlns:c16="http://schemas.microsoft.com/office/drawing/2014/chart" uri="{C3380CC4-5D6E-409C-BE32-E72D297353CC}">
              <c16:uniqueId val="{00000000-64EF-461C-AE67-585B9680A810}"/>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Results'!$M$37</c:f>
              <c:strCache>
                <c:ptCount val="1"/>
                <c:pt idx="0">
                  <c:v>Unweighted Scores for Regional Integration and Coordination</c:v>
                </c:pt>
              </c:strCache>
            </c:strRef>
          </c:tx>
          <c:spPr>
            <a:solidFill>
              <a:schemeClr val="accent5">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Results'!$M$38:$M$49</c:f>
              <c:numCache>
                <c:formatCode>General</c:formatCode>
                <c:ptCount val="12"/>
                <c:pt idx="0" formatCode="0.00">
                  <c:v>2.8078124999999998</c:v>
                </c:pt>
                <c:pt idx="1">
                  <c:v>0</c:v>
                </c:pt>
                <c:pt idx="2" formatCode="0.00">
                  <c:v>3.1787815126050418</c:v>
                </c:pt>
                <c:pt idx="3" formatCode="0.00">
                  <c:v>3.5484871031746028</c:v>
                </c:pt>
                <c:pt idx="4" formatCode="0.00">
                  <c:v>2.5357843137254901</c:v>
                </c:pt>
                <c:pt idx="5" formatCode="0.00">
                  <c:v>4.1991071428571427</c:v>
                </c:pt>
                <c:pt idx="6" formatCode="0.00">
                  <c:v>3.6339285714285716</c:v>
                </c:pt>
                <c:pt idx="7" formatCode="0.00">
                  <c:v>3.8055555555555554</c:v>
                </c:pt>
                <c:pt idx="8" formatCode="0.00">
                  <c:v>3.079511278195489</c:v>
                </c:pt>
                <c:pt idx="9" formatCode="0.00">
                  <c:v>3.625</c:v>
                </c:pt>
                <c:pt idx="10" formatCode="0.00">
                  <c:v>3.7290178571428574</c:v>
                </c:pt>
                <c:pt idx="11" formatCode="0.00">
                  <c:v>3.104223901098901</c:v>
                </c:pt>
              </c:numCache>
            </c:numRef>
          </c:val>
          <c:extLst>
            <c:ext xmlns:c16="http://schemas.microsoft.com/office/drawing/2014/chart" uri="{C3380CC4-5D6E-409C-BE32-E72D297353CC}">
              <c16:uniqueId val="{00000000-124E-4438-82F4-F338F58273D8}"/>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Results'!$G$37</c:f>
              <c:strCache>
                <c:ptCount val="1"/>
                <c:pt idx="0">
                  <c:v>Unweighted Scores for Optimize Local Supplies</c:v>
                </c:pt>
              </c:strCache>
            </c:strRef>
          </c:tx>
          <c:spPr>
            <a:solidFill>
              <a:schemeClr val="accent5"/>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Results'!$G$38:$G$49</c:f>
              <c:numCache>
                <c:formatCode>0.00</c:formatCode>
                <c:ptCount val="12"/>
                <c:pt idx="0">
                  <c:v>3.802083333333333</c:v>
                </c:pt>
                <c:pt idx="1">
                  <c:v>0</c:v>
                </c:pt>
                <c:pt idx="2">
                  <c:v>4.2352941176470589</c:v>
                </c:pt>
                <c:pt idx="3">
                  <c:v>4.96875</c:v>
                </c:pt>
                <c:pt idx="4">
                  <c:v>2.8125</c:v>
                </c:pt>
                <c:pt idx="5">
                  <c:v>4.8375000000000004</c:v>
                </c:pt>
                <c:pt idx="6">
                  <c:v>4.90625</c:v>
                </c:pt>
                <c:pt idx="7">
                  <c:v>5</c:v>
                </c:pt>
                <c:pt idx="8">
                  <c:v>3.5264423076923075</c:v>
                </c:pt>
                <c:pt idx="9">
                  <c:v>4.7777777777777777</c:v>
                </c:pt>
                <c:pt idx="10">
                  <c:v>4.2562499999999996</c:v>
                </c:pt>
                <c:pt idx="11">
                  <c:v>3.854166666666667</c:v>
                </c:pt>
              </c:numCache>
            </c:numRef>
          </c:val>
          <c:extLst>
            <c:ext xmlns:c16="http://schemas.microsoft.com/office/drawing/2014/chart" uri="{C3380CC4-5D6E-409C-BE32-E72D297353CC}">
              <c16:uniqueId val="{00000000-866F-4A53-BE50-0DCA6EE874F8}"/>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Results'!$N$37</c:f>
              <c:strCache>
                <c:ptCount val="1"/>
                <c:pt idx="0">
                  <c:v>Unweighted Scores for Reliability and Robustness</c:v>
                </c:pt>
              </c:strCache>
            </c:strRef>
          </c:tx>
          <c:spPr>
            <a:solidFill>
              <a:schemeClr val="accent6">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Results'!$N$38:$N$49</c:f>
              <c:numCache>
                <c:formatCode>0.00</c:formatCode>
                <c:ptCount val="12"/>
                <c:pt idx="0">
                  <c:v>3.7769790502891958</c:v>
                </c:pt>
                <c:pt idx="1">
                  <c:v>0</c:v>
                </c:pt>
                <c:pt idx="2">
                  <c:v>3.2046082828686941</c:v>
                </c:pt>
                <c:pt idx="3">
                  <c:v>3.777024951913921</c:v>
                </c:pt>
                <c:pt idx="4">
                  <c:v>3.2033648372076544</c:v>
                </c:pt>
                <c:pt idx="5">
                  <c:v>4.1902521872328489</c:v>
                </c:pt>
                <c:pt idx="6">
                  <c:v>3.9043885662387332</c:v>
                </c:pt>
                <c:pt idx="7">
                  <c:v>3.9065811944646414</c:v>
                </c:pt>
                <c:pt idx="8">
                  <c:v>3.2904471365064616</c:v>
                </c:pt>
                <c:pt idx="9">
                  <c:v>3.6296172585319257</c:v>
                </c:pt>
                <c:pt idx="10">
                  <c:v>3.2012985096013877</c:v>
                </c:pt>
                <c:pt idx="11">
                  <c:v>3.4865854868613311</c:v>
                </c:pt>
              </c:numCache>
            </c:numRef>
          </c:val>
          <c:extLst>
            <c:ext xmlns:c16="http://schemas.microsoft.com/office/drawing/2014/chart" uri="{C3380CC4-5D6E-409C-BE32-E72D297353CC}">
              <c16:uniqueId val="{00000000-AC65-4801-9325-B3FA5945332D}"/>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Results'!$C$37</c:f>
              <c:strCache>
                <c:ptCount val="1"/>
                <c:pt idx="0">
                  <c:v>Unweighted Scores for Address Climate Change through Greenhouse Gas (GHG) Reduction</c:v>
                </c:pt>
              </c:strCache>
            </c:strRef>
          </c:tx>
          <c:spPr>
            <a:solidFill>
              <a:schemeClr val="accent1"/>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Results'!$C$38:$C$49</c:f>
              <c:numCache>
                <c:formatCode>0.00</c:formatCode>
                <c:ptCount val="12"/>
                <c:pt idx="0">
                  <c:v>3.1875</c:v>
                </c:pt>
                <c:pt idx="1">
                  <c:v>0</c:v>
                </c:pt>
                <c:pt idx="2">
                  <c:v>3.25</c:v>
                </c:pt>
                <c:pt idx="3">
                  <c:v>3.0291666666666668</c:v>
                </c:pt>
                <c:pt idx="4">
                  <c:v>2.375</c:v>
                </c:pt>
                <c:pt idx="5">
                  <c:v>3.1875</c:v>
                </c:pt>
                <c:pt idx="6">
                  <c:v>3.5166666666666666</c:v>
                </c:pt>
                <c:pt idx="7">
                  <c:v>2.3529411764705883</c:v>
                </c:pt>
                <c:pt idx="8">
                  <c:v>3.35</c:v>
                </c:pt>
                <c:pt idx="9">
                  <c:v>3.1764705882352939</c:v>
                </c:pt>
                <c:pt idx="10">
                  <c:v>3.75</c:v>
                </c:pt>
                <c:pt idx="11">
                  <c:v>3.6261904761904762</c:v>
                </c:pt>
              </c:numCache>
            </c:numRef>
          </c:val>
          <c:extLst>
            <c:ext xmlns:c16="http://schemas.microsoft.com/office/drawing/2014/chart" uri="{C3380CC4-5D6E-409C-BE32-E72D297353CC}">
              <c16:uniqueId val="{00000000-D7F2-45D2-9D1A-E52E84DDCABB}"/>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Results'!$O$37</c:f>
              <c:strCache>
                <c:ptCount val="1"/>
                <c:pt idx="0">
                  <c:v>Unweighted Scores for Water Quality and Watersheds</c:v>
                </c:pt>
              </c:strCache>
            </c:strRef>
          </c:tx>
          <c:spPr>
            <a:solidFill>
              <a:schemeClr val="accent1">
                <a:lumMod val="60000"/>
                <a:lumOff val="4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Results'!$O$38:$O$49</c:f>
              <c:numCache>
                <c:formatCode>0.00</c:formatCode>
                <c:ptCount val="12"/>
                <c:pt idx="0">
                  <c:v>3.2388888888888889</c:v>
                </c:pt>
                <c:pt idx="1">
                  <c:v>0</c:v>
                </c:pt>
                <c:pt idx="2">
                  <c:v>3.1875</c:v>
                </c:pt>
                <c:pt idx="3">
                  <c:v>3.361640211640212</c:v>
                </c:pt>
                <c:pt idx="4">
                  <c:v>0</c:v>
                </c:pt>
                <c:pt idx="5">
                  <c:v>3.9805555555555556</c:v>
                </c:pt>
                <c:pt idx="6">
                  <c:v>3.2597222222222224</c:v>
                </c:pt>
                <c:pt idx="7">
                  <c:v>2.8333333333333335</c:v>
                </c:pt>
                <c:pt idx="8">
                  <c:v>3.8635964912280709</c:v>
                </c:pt>
                <c:pt idx="9">
                  <c:v>3.5196078431372548</c:v>
                </c:pt>
                <c:pt idx="10">
                  <c:v>3.5277777777777781</c:v>
                </c:pt>
                <c:pt idx="11">
                  <c:v>3.7329365079365076</c:v>
                </c:pt>
              </c:numCache>
            </c:numRef>
          </c:val>
          <c:extLst>
            <c:ext xmlns:c16="http://schemas.microsoft.com/office/drawing/2014/chart" uri="{C3380CC4-5D6E-409C-BE32-E72D297353CC}">
              <c16:uniqueId val="{00000000-D83C-446C-9D1B-BD73026EBDDD}"/>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Results'!$D$38:$D$49</c:f>
              <c:numCache>
                <c:formatCode>0.00</c:formatCode>
                <c:ptCount val="12"/>
                <c:pt idx="0">
                  <c:v>2.5696969696969694</c:v>
                </c:pt>
                <c:pt idx="1">
                  <c:v>0</c:v>
                </c:pt>
                <c:pt idx="2">
                  <c:v>5</c:v>
                </c:pt>
                <c:pt idx="3">
                  <c:v>3.7190082644628104</c:v>
                </c:pt>
                <c:pt idx="4">
                  <c:v>0</c:v>
                </c:pt>
                <c:pt idx="5">
                  <c:v>2.6467803030303028</c:v>
                </c:pt>
                <c:pt idx="6">
                  <c:v>2.8107606679035246</c:v>
                </c:pt>
                <c:pt idx="7">
                  <c:v>5</c:v>
                </c:pt>
                <c:pt idx="8">
                  <c:v>4.3398011025835039</c:v>
                </c:pt>
                <c:pt idx="9">
                  <c:v>5</c:v>
                </c:pt>
                <c:pt idx="10">
                  <c:v>3.75</c:v>
                </c:pt>
                <c:pt idx="11">
                  <c:v>3.9747007108118222</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BD75-4532-BC38-57682ACFAB3F}"/>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Results'!$E$37</c:f>
              <c:strCache>
                <c:ptCount val="1"/>
                <c:pt idx="0">
                  <c:v>Unweighted Scores for Cost Effectiveness</c:v>
                </c:pt>
              </c:strCache>
            </c:strRef>
          </c:tx>
          <c:spPr>
            <a:solidFill>
              <a:schemeClr val="accent3"/>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Results'!$E$38:$E$49</c:f>
              <c:numCache>
                <c:formatCode>0.00</c:formatCode>
                <c:ptCount val="12"/>
                <c:pt idx="0">
                  <c:v>2.2152777777777777</c:v>
                </c:pt>
                <c:pt idx="1">
                  <c:v>0</c:v>
                </c:pt>
                <c:pt idx="2">
                  <c:v>3.6666666666666665</c:v>
                </c:pt>
                <c:pt idx="3">
                  <c:v>2.1428571428571428</c:v>
                </c:pt>
                <c:pt idx="4">
                  <c:v>3.0784313725490193</c:v>
                </c:pt>
                <c:pt idx="5">
                  <c:v>1.9083333333333332</c:v>
                </c:pt>
                <c:pt idx="6">
                  <c:v>2.5</c:v>
                </c:pt>
                <c:pt idx="7">
                  <c:v>1.6296296296296298</c:v>
                </c:pt>
                <c:pt idx="8">
                  <c:v>2.8697368421052634</c:v>
                </c:pt>
                <c:pt idx="9">
                  <c:v>2.6666666666666665</c:v>
                </c:pt>
                <c:pt idx="10">
                  <c:v>4.104166666666667</c:v>
                </c:pt>
                <c:pt idx="11">
                  <c:v>2.9226190476190474</c:v>
                </c:pt>
              </c:numCache>
            </c:numRef>
          </c:val>
          <c:extLst>
            <c:ext xmlns:c16="http://schemas.microsoft.com/office/drawing/2014/chart" uri="{C3380CC4-5D6E-409C-BE32-E72D297353CC}">
              <c16:uniqueId val="{00000000-B90B-4A01-9D40-C0DBD0714F39}"/>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Results'!$F$37</c:f>
              <c:strCache>
                <c:ptCount val="1"/>
                <c:pt idx="0">
                  <c:v>Unweighted Scores for Environmental Justice</c:v>
                </c:pt>
              </c:strCache>
            </c:strRef>
          </c:tx>
          <c:spPr>
            <a:solidFill>
              <a:schemeClr val="accent4"/>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Results'!$F$38:$F$49</c:f>
              <c:numCache>
                <c:formatCode>0.00</c:formatCode>
                <c:ptCount val="12"/>
                <c:pt idx="0">
                  <c:v>3</c:v>
                </c:pt>
                <c:pt idx="1">
                  <c:v>0</c:v>
                </c:pt>
                <c:pt idx="2">
                  <c:v>0</c:v>
                </c:pt>
                <c:pt idx="3">
                  <c:v>3.083333333333333</c:v>
                </c:pt>
                <c:pt idx="4">
                  <c:v>0</c:v>
                </c:pt>
                <c:pt idx="5">
                  <c:v>3.125</c:v>
                </c:pt>
                <c:pt idx="6">
                  <c:v>3.046875</c:v>
                </c:pt>
                <c:pt idx="7">
                  <c:v>0</c:v>
                </c:pt>
                <c:pt idx="8">
                  <c:v>3.2776785714285714</c:v>
                </c:pt>
                <c:pt idx="9">
                  <c:v>3</c:v>
                </c:pt>
                <c:pt idx="10">
                  <c:v>3.5</c:v>
                </c:pt>
                <c:pt idx="11">
                  <c:v>3.791666666666667</c:v>
                </c:pt>
              </c:numCache>
            </c:numRef>
          </c:val>
          <c:extLst>
            <c:ext xmlns:c16="http://schemas.microsoft.com/office/drawing/2014/chart" uri="{C3380CC4-5D6E-409C-BE32-E72D297353CC}">
              <c16:uniqueId val="{00000000-93FC-4C8A-A52D-B1691FEB4986}"/>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Results'!$H$37</c:f>
              <c:strCache>
                <c:ptCount val="1"/>
                <c:pt idx="0">
                  <c:v>Unweighted Scores for Project Complexity</c:v>
                </c:pt>
              </c:strCache>
            </c:strRef>
          </c:tx>
          <c:spPr>
            <a:solidFill>
              <a:schemeClr val="accent6"/>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Results'!$H$38:$H$49</c:f>
              <c:numCache>
                <c:formatCode>0.00</c:formatCode>
                <c:ptCount val="12"/>
                <c:pt idx="0">
                  <c:v>2.947916666666667</c:v>
                </c:pt>
                <c:pt idx="1">
                  <c:v>0</c:v>
                </c:pt>
                <c:pt idx="2">
                  <c:v>3.0588235294117645</c:v>
                </c:pt>
                <c:pt idx="3">
                  <c:v>2.0111111111111111</c:v>
                </c:pt>
                <c:pt idx="4">
                  <c:v>3.2605042016806722</c:v>
                </c:pt>
                <c:pt idx="5">
                  <c:v>1.75</c:v>
                </c:pt>
                <c:pt idx="6">
                  <c:v>3.125</c:v>
                </c:pt>
                <c:pt idx="7">
                  <c:v>1.4666666666666666</c:v>
                </c:pt>
                <c:pt idx="8">
                  <c:v>3.1083333333333334</c:v>
                </c:pt>
                <c:pt idx="9">
                  <c:v>2.4629629629629632</c:v>
                </c:pt>
                <c:pt idx="10">
                  <c:v>4.1333333333333329</c:v>
                </c:pt>
                <c:pt idx="11">
                  <c:v>2.8333333333333335</c:v>
                </c:pt>
              </c:numCache>
            </c:numRef>
          </c:val>
          <c:extLst>
            <c:ext xmlns:c16="http://schemas.microsoft.com/office/drawing/2014/chart" uri="{C3380CC4-5D6E-409C-BE32-E72D297353CC}">
              <c16:uniqueId val="{00000000-BB72-4E6F-B088-EBDBE52DC697}"/>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Results'!$I$37</c:f>
              <c:strCache>
                <c:ptCount val="1"/>
                <c:pt idx="0">
                  <c:v>Unweighted Scores for Protect Habitats, Wildlife, Ecosystems</c:v>
                </c:pt>
              </c:strCache>
            </c:strRef>
          </c:tx>
          <c:spPr>
            <a:solidFill>
              <a:schemeClr val="accent1">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Results'!$I$38:$I$49</c:f>
              <c:numCache>
                <c:formatCode>0.00</c:formatCode>
                <c:ptCount val="12"/>
                <c:pt idx="0">
                  <c:v>3</c:v>
                </c:pt>
                <c:pt idx="1">
                  <c:v>0</c:v>
                </c:pt>
                <c:pt idx="2">
                  <c:v>3</c:v>
                </c:pt>
                <c:pt idx="3">
                  <c:v>3.0606060606060606</c:v>
                </c:pt>
                <c:pt idx="4">
                  <c:v>3</c:v>
                </c:pt>
                <c:pt idx="5">
                  <c:v>3</c:v>
                </c:pt>
                <c:pt idx="6">
                  <c:v>3</c:v>
                </c:pt>
                <c:pt idx="7">
                  <c:v>3</c:v>
                </c:pt>
                <c:pt idx="8">
                  <c:v>3.1913090418353574</c:v>
                </c:pt>
                <c:pt idx="9">
                  <c:v>3</c:v>
                </c:pt>
                <c:pt idx="10">
                  <c:v>3.0833333333333335</c:v>
                </c:pt>
                <c:pt idx="11">
                  <c:v>3.3529411764705883</c:v>
                </c:pt>
              </c:numCache>
            </c:numRef>
          </c:val>
          <c:extLst>
            <c:ext xmlns:c16="http://schemas.microsoft.com/office/drawing/2014/chart" uri="{C3380CC4-5D6E-409C-BE32-E72D297353CC}">
              <c16:uniqueId val="{00000000-9216-48CE-9AE8-271D0B696B85}"/>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'Trade-off Analysis Results'!$J$37</c:f>
              <c:strCache>
                <c:ptCount val="1"/>
                <c:pt idx="0">
                  <c:v>Unweighted Scores for Provide for Scalability of Implementation</c:v>
                </c:pt>
              </c:strCache>
            </c:strRef>
          </c:tx>
          <c:spPr>
            <a:solidFill>
              <a:schemeClr val="accent2">
                <a:lumMod val="50000"/>
              </a:schemeClr>
            </a:solidFill>
            <a:ln>
              <a:noFill/>
            </a:ln>
            <a:effectLst/>
          </c:spPr>
          <c:invertIfNegative val="0"/>
          <c:cat>
            <c:strRef>
              <c:f>'Trade-off Analysis Results'!$B$38:$B$49</c:f>
              <c:strCache>
                <c:ptCount val="12"/>
                <c:pt idx="0">
                  <c:v>Conveyance Improvement</c:v>
                </c:pt>
                <c:pt idx="1">
                  <c:v>Enhanced Conservation</c:v>
                </c:pt>
                <c:pt idx="2">
                  <c:v>Gray Water Use</c:v>
                </c:pt>
                <c:pt idx="3">
                  <c:v>Groundwater</c:v>
                </c:pt>
                <c:pt idx="4">
                  <c:v>Imported Water Purchases</c:v>
                </c:pt>
                <c:pt idx="5">
                  <c:v>Potable Reuse</c:v>
                </c:pt>
                <c:pt idx="6">
                  <c:v>Recycled Water</c:v>
                </c:pt>
                <c:pt idx="7">
                  <c:v>Seawater Desalination</c:v>
                </c:pt>
                <c:pt idx="8">
                  <c:v>Stormwater BMPs</c:v>
                </c:pt>
                <c:pt idx="9">
                  <c:v>Stormwater Capture</c:v>
                </c:pt>
                <c:pt idx="10">
                  <c:v>Urban &amp; Ag. Water Use Efficiency</c:v>
                </c:pt>
                <c:pt idx="11">
                  <c:v>Watershed and Ecosystem Management</c:v>
                </c:pt>
              </c:strCache>
            </c:strRef>
          </c:cat>
          <c:val>
            <c:numRef>
              <c:f>'Trade-off Analysis Results'!$J$38:$J$49</c:f>
              <c:numCache>
                <c:formatCode>0.00</c:formatCode>
                <c:ptCount val="12"/>
                <c:pt idx="0">
                  <c:v>3.2666666666666666</c:v>
                </c:pt>
                <c:pt idx="1">
                  <c:v>0</c:v>
                </c:pt>
                <c:pt idx="2">
                  <c:v>3.6</c:v>
                </c:pt>
                <c:pt idx="3">
                  <c:v>3.0674603174603172</c:v>
                </c:pt>
                <c:pt idx="4">
                  <c:v>2.8</c:v>
                </c:pt>
                <c:pt idx="5">
                  <c:v>3.7785714285714285</c:v>
                </c:pt>
                <c:pt idx="6">
                  <c:v>3.8482142857142856</c:v>
                </c:pt>
                <c:pt idx="7">
                  <c:v>2.5333333333333332</c:v>
                </c:pt>
                <c:pt idx="8">
                  <c:v>3.2178571428571425</c:v>
                </c:pt>
                <c:pt idx="9">
                  <c:v>3.375</c:v>
                </c:pt>
                <c:pt idx="10">
                  <c:v>4.0714285714285712</c:v>
                </c:pt>
                <c:pt idx="11">
                  <c:v>3.5</c:v>
                </c:pt>
              </c:numCache>
            </c:numRef>
          </c:val>
          <c:extLst>
            <c:ext xmlns:c16="http://schemas.microsoft.com/office/drawing/2014/chart" uri="{C3380CC4-5D6E-409C-BE32-E72D297353CC}">
              <c16:uniqueId val="{00000000-268A-4739-9277-8A9137C7E143}"/>
            </c:ext>
          </c:extLst>
        </c:ser>
        <c:dLbls>
          <c:showLegendKey val="0"/>
          <c:showVal val="0"/>
          <c:showCatName val="0"/>
          <c:showSerName val="0"/>
          <c:showPercent val="0"/>
          <c:showBubbleSize val="0"/>
        </c:dLbls>
        <c:gapWidth val="219"/>
        <c:overlap val="-27"/>
        <c:axId val="558330736"/>
        <c:axId val="663855472"/>
      </c:barChart>
      <c:catAx>
        <c:axId val="55833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855472"/>
        <c:crosses val="autoZero"/>
        <c:auto val="1"/>
        <c:lblAlgn val="ctr"/>
        <c:lblOffset val="100"/>
        <c:noMultiLvlLbl val="0"/>
      </c:catAx>
      <c:valAx>
        <c:axId val="663855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33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5" Type="http://schemas.openxmlformats.org/officeDocument/2006/relationships/image" Target="../media/image51.png"/><Relationship Id="rId4"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2</xdr:row>
      <xdr:rowOff>142876</xdr:rowOff>
    </xdr:from>
    <xdr:to>
      <xdr:col>6</xdr:col>
      <xdr:colOff>339806</xdr:colOff>
      <xdr:row>5</xdr:row>
      <xdr:rowOff>66675</xdr:rowOff>
    </xdr:to>
    <xdr:pic>
      <xdr:nvPicPr>
        <xdr:cNvPr id="4" name="Picture 3">
          <a:extLst>
            <a:ext uri="{FF2B5EF4-FFF2-40B4-BE49-F238E27FC236}">
              <a16:creationId xmlns:a16="http://schemas.microsoft.com/office/drawing/2014/main" id="{CFF8FE54-1A20-44DB-9C67-7FB555B245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342901"/>
          <a:ext cx="3171112" cy="542924"/>
        </a:xfrm>
        <a:prstGeom prst="rect">
          <a:avLst/>
        </a:prstGeom>
      </xdr:spPr>
    </xdr:pic>
    <xdr:clientData/>
  </xdr:twoCellAnchor>
  <xdr:twoCellAnchor editAs="oneCell">
    <xdr:from>
      <xdr:col>7</xdr:col>
      <xdr:colOff>457200</xdr:colOff>
      <xdr:row>1</xdr:row>
      <xdr:rowOff>0</xdr:rowOff>
    </xdr:from>
    <xdr:to>
      <xdr:col>11</xdr:col>
      <xdr:colOff>573958</xdr:colOff>
      <xdr:row>6</xdr:row>
      <xdr:rowOff>189914</xdr:rowOff>
    </xdr:to>
    <xdr:pic>
      <xdr:nvPicPr>
        <xdr:cNvPr id="8" name="Picture 7" descr="Image result for city of san diego public utilities logo">
          <a:extLst>
            <a:ext uri="{FF2B5EF4-FFF2-40B4-BE49-F238E27FC236}">
              <a16:creationId xmlns:a16="http://schemas.microsoft.com/office/drawing/2014/main" id="{81D6F264-8B36-45F3-9C76-FEAC76BC6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0"/>
          <a:ext cx="2555158" cy="1218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0.19231</cdr:x>
      <cdr:y>0.27139</cdr:y>
    </cdr:from>
    <cdr:to>
      <cdr:x>0.24539</cdr:x>
      <cdr:y>0.59715</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119717"/>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11.xml><?xml version="1.0" encoding="utf-8"?>
<c:userShapes xmlns:c="http://schemas.openxmlformats.org/drawingml/2006/chart">
  <cdr:relSizeAnchor xmlns:cdr="http://schemas.openxmlformats.org/drawingml/2006/chartDrawing">
    <cdr:from>
      <cdr:x>0.19231</cdr:x>
      <cdr:y>0.27139</cdr:y>
    </cdr:from>
    <cdr:to>
      <cdr:x>0.24539</cdr:x>
      <cdr:y>0.59715</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119716"/>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12.xml><?xml version="1.0" encoding="utf-8"?>
<c:userShapes xmlns:c="http://schemas.openxmlformats.org/drawingml/2006/chart">
  <cdr:relSizeAnchor xmlns:cdr="http://schemas.openxmlformats.org/drawingml/2006/chartDrawing">
    <cdr:from>
      <cdr:x>0.19231</cdr:x>
      <cdr:y>0.26882</cdr:y>
    </cdr:from>
    <cdr:to>
      <cdr:x>0.24539</cdr:x>
      <cdr:y>0.59459</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109133"/>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13.xml><?xml version="1.0" encoding="utf-8"?>
<c:userShapes xmlns:c="http://schemas.openxmlformats.org/drawingml/2006/chart">
  <cdr:relSizeAnchor xmlns:cdr="http://schemas.openxmlformats.org/drawingml/2006/chartDrawing">
    <cdr:from>
      <cdr:x>0.19383</cdr:x>
      <cdr:y>0.26882</cdr:y>
    </cdr:from>
    <cdr:to>
      <cdr:x>0.24691</cdr:x>
      <cdr:y>0.59459</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52550" y="1109134"/>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14.xml><?xml version="1.0" encoding="utf-8"?>
<c:userShapes xmlns:c="http://schemas.openxmlformats.org/drawingml/2006/chart">
  <cdr:relSizeAnchor xmlns:cdr="http://schemas.openxmlformats.org/drawingml/2006/chartDrawing">
    <cdr:from>
      <cdr:x>0.19079</cdr:x>
      <cdr:y>0.26882</cdr:y>
    </cdr:from>
    <cdr:to>
      <cdr:x>0.24387</cdr:x>
      <cdr:y>0.59459</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31384" y="1109134"/>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dr:relSizeAnchor xmlns:cdr="http://schemas.openxmlformats.org/drawingml/2006/chartDrawing">
    <cdr:from>
      <cdr:x>0.41222</cdr:x>
      <cdr:y>0.27139</cdr:y>
    </cdr:from>
    <cdr:to>
      <cdr:x>0.4653</cdr:x>
      <cdr:y>0.59715</cdr:y>
    </cdr:to>
    <cdr:sp macro="" textlink="">
      <cdr:nvSpPr>
        <cdr:cNvPr id="3"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2876550" y="1119716"/>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12</xdr:col>
      <xdr:colOff>333375</xdr:colOff>
      <xdr:row>5</xdr:row>
      <xdr:rowOff>35718</xdr:rowOff>
    </xdr:from>
    <xdr:to>
      <xdr:col>22</xdr:col>
      <xdr:colOff>159542</xdr:colOff>
      <xdr:row>397</xdr:row>
      <xdr:rowOff>130968</xdr:rowOff>
    </xdr:to>
    <xdr:grpSp>
      <xdr:nvGrpSpPr>
        <xdr:cNvPr id="3" name="Group 2">
          <a:extLst>
            <a:ext uri="{FF2B5EF4-FFF2-40B4-BE49-F238E27FC236}">
              <a16:creationId xmlns:a16="http://schemas.microsoft.com/office/drawing/2014/main" id="{9EFA071B-862B-44C8-A558-21B12DF312C2}"/>
            </a:ext>
          </a:extLst>
        </xdr:cNvPr>
        <xdr:cNvGrpSpPr/>
      </xdr:nvGrpSpPr>
      <xdr:grpSpPr>
        <a:xfrm>
          <a:off x="14001750" y="1178718"/>
          <a:ext cx="5672136" cy="5131594"/>
          <a:chOff x="25122188" y="1166812"/>
          <a:chExt cx="5672136" cy="5131594"/>
        </a:xfrm>
      </xdr:grpSpPr>
      <xdr:sp macro="" textlink="">
        <xdr:nvSpPr>
          <xdr:cNvPr id="7" name="Rectangle 6">
            <a:extLst>
              <a:ext uri="{FF2B5EF4-FFF2-40B4-BE49-F238E27FC236}">
                <a16:creationId xmlns:a16="http://schemas.microsoft.com/office/drawing/2014/main" id="{8A996810-7484-4A15-8974-89D1A04E4F29}"/>
              </a:ext>
            </a:extLst>
          </xdr:cNvPr>
          <xdr:cNvSpPr/>
        </xdr:nvSpPr>
        <xdr:spPr>
          <a:xfrm>
            <a:off x="25122188" y="1166812"/>
            <a:ext cx="5672136" cy="513159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Address Climate Change Through GHG Reduction Evaluation Objective.</a:t>
            </a:r>
          </a:p>
        </xdr:txBody>
      </xdr:sp>
      <xdr:pic>
        <xdr:nvPicPr>
          <xdr:cNvPr id="9" name="Picture 8">
            <a:extLst>
              <a:ext uri="{FF2B5EF4-FFF2-40B4-BE49-F238E27FC236}">
                <a16:creationId xmlns:a16="http://schemas.microsoft.com/office/drawing/2014/main" id="{13AA9385-84AE-44A3-AAD0-9F2C98B769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253282" y="1309687"/>
            <a:ext cx="3595687" cy="4639475"/>
          </a:xfrm>
          <a:prstGeom prst="rect">
            <a:avLst/>
          </a:prstGeom>
          <a:noFill/>
        </xdr:spPr>
      </xdr:pic>
    </xdr:grpSp>
    <xdr:clientData/>
  </xdr:twoCellAnchor>
  <xdr:twoCellAnchor editAs="absolute">
    <xdr:from>
      <xdr:col>12</xdr:col>
      <xdr:colOff>333375</xdr:colOff>
      <xdr:row>398</xdr:row>
      <xdr:rowOff>154784</xdr:rowOff>
    </xdr:from>
    <xdr:to>
      <xdr:col>27</xdr:col>
      <xdr:colOff>194414</xdr:colOff>
      <xdr:row>417</xdr:row>
      <xdr:rowOff>154782</xdr:rowOff>
    </xdr:to>
    <xdr:grpSp>
      <xdr:nvGrpSpPr>
        <xdr:cNvPr id="2" name="Group 1">
          <a:extLst>
            <a:ext uri="{FF2B5EF4-FFF2-40B4-BE49-F238E27FC236}">
              <a16:creationId xmlns:a16="http://schemas.microsoft.com/office/drawing/2014/main" id="{A783874A-3A5A-46DF-B9DF-5390742CC8F1}"/>
            </a:ext>
          </a:extLst>
        </xdr:cNvPr>
        <xdr:cNvGrpSpPr/>
      </xdr:nvGrpSpPr>
      <xdr:grpSpPr>
        <a:xfrm>
          <a:off x="14001750" y="6524628"/>
          <a:ext cx="8743102" cy="3619498"/>
          <a:chOff x="13668375" y="6953250"/>
          <a:chExt cx="8743102" cy="3540937"/>
        </a:xfrm>
      </xdr:grpSpPr>
      <xdr:sp macro="" textlink="">
        <xdr:nvSpPr>
          <xdr:cNvPr id="11" name="Rectangle 10">
            <a:extLst>
              <a:ext uri="{FF2B5EF4-FFF2-40B4-BE49-F238E27FC236}">
                <a16:creationId xmlns:a16="http://schemas.microsoft.com/office/drawing/2014/main" id="{9916E1D3-F76E-47C6-8AF7-B8AAC0F8ABA5}"/>
              </a:ext>
            </a:extLst>
          </xdr:cNvPr>
          <xdr:cNvSpPr/>
        </xdr:nvSpPr>
        <xdr:spPr>
          <a:xfrm>
            <a:off x="13668375" y="6953250"/>
            <a:ext cx="8729661" cy="3540937"/>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GHG Mitigation Performance Measure associated with the Address</a:t>
            </a:r>
            <a:r>
              <a:rPr lang="en-US" sz="1100" b="1" baseline="0">
                <a:solidFill>
                  <a:sysClr val="windowText" lastClr="000000"/>
                </a:solidFill>
                <a:effectLst/>
                <a:latin typeface="+mn-lt"/>
                <a:ea typeface="+mn-ea"/>
                <a:cs typeface="+mn-cs"/>
              </a:rPr>
              <a:t> Climate Change Through GHG Reduction Evaluation Objective</a:t>
            </a:r>
            <a:endParaRPr lang="en-US" sz="1100" b="1">
              <a:solidFill>
                <a:sysClr val="windowText" lastClr="000000"/>
              </a:solidFill>
              <a:effectLst/>
              <a:latin typeface="+mn-lt"/>
              <a:ea typeface="+mn-ea"/>
              <a:cs typeface="+mn-cs"/>
            </a:endParaRPr>
          </a:p>
        </xdr:txBody>
      </xdr:sp>
      <xdr:pic>
        <xdr:nvPicPr>
          <xdr:cNvPr id="13" name="Picture 12">
            <a:extLst>
              <a:ext uri="{FF2B5EF4-FFF2-40B4-BE49-F238E27FC236}">
                <a16:creationId xmlns:a16="http://schemas.microsoft.com/office/drawing/2014/main" id="{571935F7-B411-45E5-8B8B-57B6A45FE97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87438" y="7167563"/>
            <a:ext cx="8624039" cy="2867990"/>
          </a:xfrm>
          <a:prstGeom prst="rect">
            <a:avLst/>
          </a:prstGeom>
          <a:noFill/>
          <a:ln>
            <a:noFill/>
          </a:ln>
        </xdr:spPr>
      </xdr:pic>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9</xdr:col>
      <xdr:colOff>345281</xdr:colOff>
      <xdr:row>5</xdr:row>
      <xdr:rowOff>11906</xdr:rowOff>
    </xdr:from>
    <xdr:to>
      <xdr:col>19</xdr:col>
      <xdr:colOff>171449</xdr:colOff>
      <xdr:row>171</xdr:row>
      <xdr:rowOff>119062</xdr:rowOff>
    </xdr:to>
    <xdr:grpSp>
      <xdr:nvGrpSpPr>
        <xdr:cNvPr id="17" name="Group 16">
          <a:extLst>
            <a:ext uri="{FF2B5EF4-FFF2-40B4-BE49-F238E27FC236}">
              <a16:creationId xmlns:a16="http://schemas.microsoft.com/office/drawing/2014/main" id="{D05BF7F7-CBB8-408F-9283-03090E27B3EE}"/>
            </a:ext>
          </a:extLst>
        </xdr:cNvPr>
        <xdr:cNvGrpSpPr/>
      </xdr:nvGrpSpPr>
      <xdr:grpSpPr>
        <a:xfrm>
          <a:off x="11179969" y="1131094"/>
          <a:ext cx="5672136" cy="5976937"/>
          <a:chOff x="12168188" y="821531"/>
          <a:chExt cx="5672136" cy="4575935"/>
        </a:xfrm>
      </xdr:grpSpPr>
      <xdr:sp macro="" textlink="">
        <xdr:nvSpPr>
          <xdr:cNvPr id="3" name="Rectangle 2">
            <a:extLst>
              <a:ext uri="{FF2B5EF4-FFF2-40B4-BE49-F238E27FC236}">
                <a16:creationId xmlns:a16="http://schemas.microsoft.com/office/drawing/2014/main" id="{B49946B4-F1C2-4C7B-AD86-8B8DCCA4BDF2}"/>
              </a:ext>
            </a:extLst>
          </xdr:cNvPr>
          <xdr:cNvSpPr/>
        </xdr:nvSpPr>
        <xdr:spPr>
          <a:xfrm>
            <a:off x="12168188" y="821531"/>
            <a:ext cx="5672136" cy="4575935"/>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Climate Resilience Evaluation Objective.</a:t>
            </a:r>
          </a:p>
        </xdr:txBody>
      </xdr:sp>
      <xdr:pic>
        <xdr:nvPicPr>
          <xdr:cNvPr id="4" name="Picture 3">
            <a:extLst>
              <a:ext uri="{FF2B5EF4-FFF2-40B4-BE49-F238E27FC236}">
                <a16:creationId xmlns:a16="http://schemas.microsoft.com/office/drawing/2014/main" id="{8C8D556B-504F-4963-B07D-D0D4F89C08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0" y="952502"/>
            <a:ext cx="4004018" cy="4207267"/>
          </a:xfrm>
          <a:prstGeom prst="rect">
            <a:avLst/>
          </a:prstGeom>
          <a:noFill/>
        </xdr:spPr>
      </xdr:pic>
    </xdr:grpSp>
    <xdr:clientData/>
  </xdr:twoCellAnchor>
  <xdr:twoCellAnchor editAs="absolute">
    <xdr:from>
      <xdr:col>9</xdr:col>
      <xdr:colOff>345282</xdr:colOff>
      <xdr:row>172</xdr:row>
      <xdr:rowOff>154782</xdr:rowOff>
    </xdr:from>
    <xdr:to>
      <xdr:col>19</xdr:col>
      <xdr:colOff>583406</xdr:colOff>
      <xdr:row>191</xdr:row>
      <xdr:rowOff>130968</xdr:rowOff>
    </xdr:to>
    <xdr:grpSp>
      <xdr:nvGrpSpPr>
        <xdr:cNvPr id="16" name="Group 15">
          <a:extLst>
            <a:ext uri="{FF2B5EF4-FFF2-40B4-BE49-F238E27FC236}">
              <a16:creationId xmlns:a16="http://schemas.microsoft.com/office/drawing/2014/main" id="{8DE61710-5C05-4411-B86C-936F16942C55}"/>
            </a:ext>
          </a:extLst>
        </xdr:cNvPr>
        <xdr:cNvGrpSpPr/>
      </xdr:nvGrpSpPr>
      <xdr:grpSpPr>
        <a:xfrm>
          <a:off x="11179970" y="7334251"/>
          <a:ext cx="6084092" cy="3595686"/>
          <a:chOff x="12156283" y="6706738"/>
          <a:chExt cx="6084092" cy="2890851"/>
        </a:xfrm>
      </xdr:grpSpPr>
      <xdr:sp macro="" textlink="">
        <xdr:nvSpPr>
          <xdr:cNvPr id="5" name="Rectangle 4">
            <a:extLst>
              <a:ext uri="{FF2B5EF4-FFF2-40B4-BE49-F238E27FC236}">
                <a16:creationId xmlns:a16="http://schemas.microsoft.com/office/drawing/2014/main" id="{18ABE8C5-8832-4076-BE5E-017D40F14218}"/>
              </a:ext>
            </a:extLst>
          </xdr:cNvPr>
          <xdr:cNvSpPr/>
        </xdr:nvSpPr>
        <xdr:spPr>
          <a:xfrm>
            <a:off x="12156283" y="6706738"/>
            <a:ext cx="6084092" cy="289085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Sea Level Rise Vulnerability Performance Measure associated with the Climate Resilience Evaluation Objective.</a:t>
            </a:r>
          </a:p>
        </xdr:txBody>
      </xdr:sp>
      <xdr:pic>
        <xdr:nvPicPr>
          <xdr:cNvPr id="6" name="Picture 5">
            <a:extLst>
              <a:ext uri="{FF2B5EF4-FFF2-40B4-BE49-F238E27FC236}">
                <a16:creationId xmlns:a16="http://schemas.microsoft.com/office/drawing/2014/main" id="{0A347A44-0745-4C87-B642-E028EA52FB6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70595" y="6870855"/>
            <a:ext cx="5727745" cy="2241668"/>
          </a:xfrm>
          <a:prstGeom prst="rect">
            <a:avLst/>
          </a:prstGeom>
          <a:noFill/>
          <a:ln>
            <a:noFill/>
          </a:ln>
        </xdr:spPr>
      </xdr:pic>
    </xdr:grpSp>
    <xdr:clientData/>
  </xdr:twoCellAnchor>
  <xdr:twoCellAnchor editAs="absolute">
    <xdr:from>
      <xdr:col>9</xdr:col>
      <xdr:colOff>342901</xdr:colOff>
      <xdr:row>192</xdr:row>
      <xdr:rowOff>188117</xdr:rowOff>
    </xdr:from>
    <xdr:to>
      <xdr:col>35</xdr:col>
      <xdr:colOff>301625</xdr:colOff>
      <xdr:row>220</xdr:row>
      <xdr:rowOff>142874</xdr:rowOff>
    </xdr:to>
    <xdr:sp macro="" textlink="">
      <xdr:nvSpPr>
        <xdr:cNvPr id="7" name="Rectangle 6">
          <a:extLst>
            <a:ext uri="{FF2B5EF4-FFF2-40B4-BE49-F238E27FC236}">
              <a16:creationId xmlns:a16="http://schemas.microsoft.com/office/drawing/2014/main" id="{D8A88B96-F876-47AD-87BD-59194B047FE5}"/>
            </a:ext>
          </a:extLst>
        </xdr:cNvPr>
        <xdr:cNvSpPr/>
      </xdr:nvSpPr>
      <xdr:spPr>
        <a:xfrm>
          <a:off x="11201401" y="11173617"/>
          <a:ext cx="15420974" cy="5288757"/>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Flood Risk Management Performance Measure associated with the Climate Resilience Evaluation Objective.</a:t>
          </a:r>
        </a:p>
      </xdr:txBody>
    </xdr:sp>
    <xdr:clientData/>
  </xdr:twoCellAnchor>
  <xdr:twoCellAnchor editAs="absolute">
    <xdr:from>
      <xdr:col>9</xdr:col>
      <xdr:colOff>356393</xdr:colOff>
      <xdr:row>222</xdr:row>
      <xdr:rowOff>66674</xdr:rowOff>
    </xdr:from>
    <xdr:to>
      <xdr:col>24</xdr:col>
      <xdr:colOff>277810</xdr:colOff>
      <xdr:row>240</xdr:row>
      <xdr:rowOff>142874</xdr:rowOff>
    </xdr:to>
    <xdr:grpSp>
      <xdr:nvGrpSpPr>
        <xdr:cNvPr id="13" name="Group 12">
          <a:extLst>
            <a:ext uri="{FF2B5EF4-FFF2-40B4-BE49-F238E27FC236}">
              <a16:creationId xmlns:a16="http://schemas.microsoft.com/office/drawing/2014/main" id="{868E2C10-6AA6-4DF4-A040-CBB5A750C16B}"/>
            </a:ext>
          </a:extLst>
        </xdr:cNvPr>
        <xdr:cNvGrpSpPr/>
      </xdr:nvGrpSpPr>
      <xdr:grpSpPr>
        <a:xfrm>
          <a:off x="11191081" y="16771143"/>
          <a:ext cx="8803479" cy="3505200"/>
          <a:chOff x="12175332" y="21247893"/>
          <a:chExt cx="8803479" cy="2779486"/>
        </a:xfrm>
      </xdr:grpSpPr>
      <xdr:sp macro="" textlink="">
        <xdr:nvSpPr>
          <xdr:cNvPr id="11" name="Rectangle 10">
            <a:extLst>
              <a:ext uri="{FF2B5EF4-FFF2-40B4-BE49-F238E27FC236}">
                <a16:creationId xmlns:a16="http://schemas.microsoft.com/office/drawing/2014/main" id="{881199F6-5A36-49B4-A2E2-9DB04BEBB0BE}"/>
              </a:ext>
            </a:extLst>
          </xdr:cNvPr>
          <xdr:cNvSpPr/>
        </xdr:nvSpPr>
        <xdr:spPr>
          <a:xfrm>
            <a:off x="12175332" y="21247893"/>
            <a:ext cx="8803479" cy="2779486"/>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Warming and Fire Vulnerability Performance Measure associated with the Climate Resilience Evaluation Objective.</a:t>
            </a:r>
          </a:p>
        </xdr:txBody>
      </xdr:sp>
      <xdr:pic>
        <xdr:nvPicPr>
          <xdr:cNvPr id="12" name="Picture 11">
            <a:extLst>
              <a:ext uri="{FF2B5EF4-FFF2-40B4-BE49-F238E27FC236}">
                <a16:creationId xmlns:a16="http://schemas.microsoft.com/office/drawing/2014/main" id="{2C299469-8CDC-4736-92D8-5F6ADAB3B8E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06429" y="21426489"/>
            <a:ext cx="6168341" cy="2376410"/>
          </a:xfrm>
          <a:prstGeom prst="rect">
            <a:avLst/>
          </a:prstGeom>
          <a:noFill/>
          <a:ln>
            <a:noFill/>
          </a:ln>
        </xdr:spPr>
      </xdr:pic>
    </xdr:grpSp>
    <xdr:clientData/>
  </xdr:twoCellAnchor>
  <xdr:twoCellAnchor editAs="oneCell">
    <xdr:from>
      <xdr:col>10</xdr:col>
      <xdr:colOff>254000</xdr:colOff>
      <xdr:row>194</xdr:row>
      <xdr:rowOff>142875</xdr:rowOff>
    </xdr:from>
    <xdr:to>
      <xdr:col>35</xdr:col>
      <xdr:colOff>123876</xdr:colOff>
      <xdr:row>218</xdr:row>
      <xdr:rowOff>6709</xdr:rowOff>
    </xdr:to>
    <xdr:pic>
      <xdr:nvPicPr>
        <xdr:cNvPr id="2" name="Picture 1">
          <a:extLst>
            <a:ext uri="{FF2B5EF4-FFF2-40B4-BE49-F238E27FC236}">
              <a16:creationId xmlns:a16="http://schemas.microsoft.com/office/drawing/2014/main" id="{086C82D8-7128-45B4-BDA2-0172D83A41C8}"/>
            </a:ext>
          </a:extLst>
        </xdr:cNvPr>
        <xdr:cNvPicPr>
          <a:picLocks noChangeAspect="1"/>
        </xdr:cNvPicPr>
      </xdr:nvPicPr>
      <xdr:blipFill>
        <a:blip xmlns:r="http://schemas.openxmlformats.org/officeDocument/2006/relationships" r:embed="rId4"/>
        <a:stretch>
          <a:fillRect/>
        </a:stretch>
      </xdr:blipFill>
      <xdr:spPr>
        <a:xfrm>
          <a:off x="11493500" y="11509375"/>
          <a:ext cx="14951126" cy="44358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11</xdr:col>
      <xdr:colOff>307182</xdr:colOff>
      <xdr:row>24</xdr:row>
      <xdr:rowOff>157639</xdr:rowOff>
    </xdr:from>
    <xdr:to>
      <xdr:col>21</xdr:col>
      <xdr:colOff>145255</xdr:colOff>
      <xdr:row>43</xdr:row>
      <xdr:rowOff>59531</xdr:rowOff>
    </xdr:to>
    <xdr:grpSp>
      <xdr:nvGrpSpPr>
        <xdr:cNvPr id="2" name="Group 1">
          <a:extLst>
            <a:ext uri="{FF2B5EF4-FFF2-40B4-BE49-F238E27FC236}">
              <a16:creationId xmlns:a16="http://schemas.microsoft.com/office/drawing/2014/main" id="{7DA1D2D7-1934-42F0-BAAE-76EAFA2C6085}"/>
            </a:ext>
          </a:extLst>
        </xdr:cNvPr>
        <xdr:cNvGrpSpPr/>
      </xdr:nvGrpSpPr>
      <xdr:grpSpPr>
        <a:xfrm>
          <a:off x="12796838" y="6122670"/>
          <a:ext cx="5672136" cy="3926205"/>
          <a:chOff x="12868275" y="6772274"/>
          <a:chExt cx="5672136" cy="3514725"/>
        </a:xfrm>
      </xdr:grpSpPr>
      <xdr:sp macro="" textlink="">
        <xdr:nvSpPr>
          <xdr:cNvPr id="5" name="Rectangle 4">
            <a:extLst>
              <a:ext uri="{FF2B5EF4-FFF2-40B4-BE49-F238E27FC236}">
                <a16:creationId xmlns:a16="http://schemas.microsoft.com/office/drawing/2014/main" id="{0058F6D5-F9DE-4E4B-A62A-007BE2271123}"/>
              </a:ext>
            </a:extLst>
          </xdr:cNvPr>
          <xdr:cNvSpPr/>
        </xdr:nvSpPr>
        <xdr:spPr>
          <a:xfrm>
            <a:off x="12868275" y="6772274"/>
            <a:ext cx="5672136" cy="3514725"/>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Capital Costs Performance Measure associated with the Cost Effectiveness Evaluation Objective.</a:t>
            </a:r>
          </a:p>
        </xdr:txBody>
      </xdr:sp>
      <xdr:pic>
        <xdr:nvPicPr>
          <xdr:cNvPr id="6" name="Picture 5">
            <a:extLst>
              <a:ext uri="{FF2B5EF4-FFF2-40B4-BE49-F238E27FC236}">
                <a16:creationId xmlns:a16="http://schemas.microsoft.com/office/drawing/2014/main" id="{F509B3C1-98BD-4595-8665-C72B628D689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5527" y="6903242"/>
            <a:ext cx="3491513" cy="2422333"/>
          </a:xfrm>
          <a:prstGeom prst="rect">
            <a:avLst/>
          </a:prstGeom>
          <a:noFill/>
          <a:ln>
            <a:noFill/>
          </a:ln>
        </xdr:spPr>
      </xdr:pic>
    </xdr:grpSp>
    <xdr:clientData/>
  </xdr:twoCellAnchor>
  <xdr:twoCellAnchor editAs="absolute">
    <xdr:from>
      <xdr:col>11</xdr:col>
      <xdr:colOff>321469</xdr:colOff>
      <xdr:row>44</xdr:row>
      <xdr:rowOff>102393</xdr:rowOff>
    </xdr:from>
    <xdr:to>
      <xdr:col>21</xdr:col>
      <xdr:colOff>159542</xdr:colOff>
      <xdr:row>60</xdr:row>
      <xdr:rowOff>0</xdr:rowOff>
    </xdr:to>
    <xdr:grpSp>
      <xdr:nvGrpSpPr>
        <xdr:cNvPr id="8" name="Group 7">
          <a:extLst>
            <a:ext uri="{FF2B5EF4-FFF2-40B4-BE49-F238E27FC236}">
              <a16:creationId xmlns:a16="http://schemas.microsoft.com/office/drawing/2014/main" id="{44383286-76C5-48C9-A757-47D9C97E269F}"/>
            </a:ext>
          </a:extLst>
        </xdr:cNvPr>
        <xdr:cNvGrpSpPr/>
      </xdr:nvGrpSpPr>
      <xdr:grpSpPr>
        <a:xfrm>
          <a:off x="12811125" y="10282237"/>
          <a:ext cx="5672136" cy="3540919"/>
          <a:chOff x="12870656" y="10508456"/>
          <a:chExt cx="5672136" cy="3531394"/>
        </a:xfrm>
      </xdr:grpSpPr>
      <xdr:sp macro="" textlink="">
        <xdr:nvSpPr>
          <xdr:cNvPr id="7" name="Rectangle 6">
            <a:extLst>
              <a:ext uri="{FF2B5EF4-FFF2-40B4-BE49-F238E27FC236}">
                <a16:creationId xmlns:a16="http://schemas.microsoft.com/office/drawing/2014/main" id="{CBB875DA-21C9-4E0E-AF3B-C2E57719A512}"/>
              </a:ext>
            </a:extLst>
          </xdr:cNvPr>
          <xdr:cNvSpPr/>
        </xdr:nvSpPr>
        <xdr:spPr>
          <a:xfrm>
            <a:off x="12870656" y="10508456"/>
            <a:ext cx="5672136" cy="353139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O&amp;M Costs Performance Measure associated with the Cost Effectiveness Evaluation Objective.</a:t>
            </a:r>
          </a:p>
        </xdr:txBody>
      </xdr:sp>
      <xdr:pic>
        <xdr:nvPicPr>
          <xdr:cNvPr id="9" name="Picture 8">
            <a:extLst>
              <a:ext uri="{FF2B5EF4-FFF2-40B4-BE49-F238E27FC236}">
                <a16:creationId xmlns:a16="http://schemas.microsoft.com/office/drawing/2014/main" id="{87AC6C15-DF54-4596-8B9F-B73BCDA8A3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20747" y="10668000"/>
            <a:ext cx="3805750" cy="2629001"/>
          </a:xfrm>
          <a:prstGeom prst="rect">
            <a:avLst/>
          </a:prstGeom>
          <a:noFill/>
        </xdr:spPr>
      </xdr:pic>
    </xdr:grpSp>
    <xdr:clientData/>
  </xdr:twoCellAnchor>
  <xdr:twoCellAnchor editAs="absolute">
    <xdr:from>
      <xdr:col>11</xdr:col>
      <xdr:colOff>321470</xdr:colOff>
      <xdr:row>61</xdr:row>
      <xdr:rowOff>59532</xdr:rowOff>
    </xdr:from>
    <xdr:to>
      <xdr:col>21</xdr:col>
      <xdr:colOff>159543</xdr:colOff>
      <xdr:row>451</xdr:row>
      <xdr:rowOff>35718</xdr:rowOff>
    </xdr:to>
    <xdr:grpSp>
      <xdr:nvGrpSpPr>
        <xdr:cNvPr id="12" name="Group 11">
          <a:extLst>
            <a:ext uri="{FF2B5EF4-FFF2-40B4-BE49-F238E27FC236}">
              <a16:creationId xmlns:a16="http://schemas.microsoft.com/office/drawing/2014/main" id="{4970907E-DA4F-4659-A41F-83BBE596C938}"/>
            </a:ext>
          </a:extLst>
        </xdr:cNvPr>
        <xdr:cNvGrpSpPr/>
      </xdr:nvGrpSpPr>
      <xdr:grpSpPr>
        <a:xfrm>
          <a:off x="12811126" y="14073188"/>
          <a:ext cx="5672136" cy="3607593"/>
          <a:chOff x="12882563" y="14025563"/>
          <a:chExt cx="5672136" cy="3607593"/>
        </a:xfrm>
      </xdr:grpSpPr>
      <xdr:sp macro="" textlink="">
        <xdr:nvSpPr>
          <xdr:cNvPr id="10" name="Rectangle 9">
            <a:extLst>
              <a:ext uri="{FF2B5EF4-FFF2-40B4-BE49-F238E27FC236}">
                <a16:creationId xmlns:a16="http://schemas.microsoft.com/office/drawing/2014/main" id="{11F9230A-0F95-4A5C-877C-555B1F0A638D}"/>
              </a:ext>
            </a:extLst>
          </xdr:cNvPr>
          <xdr:cNvSpPr/>
        </xdr:nvSpPr>
        <xdr:spPr>
          <a:xfrm>
            <a:off x="12882563" y="14025563"/>
            <a:ext cx="5672136" cy="3607593"/>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Potential for</a:t>
            </a:r>
            <a:r>
              <a:rPr lang="en-US" sz="1100" b="1" baseline="0">
                <a:solidFill>
                  <a:sysClr val="windowText" lastClr="000000"/>
                </a:solidFill>
                <a:effectLst/>
                <a:latin typeface="+mn-lt"/>
                <a:ea typeface="+mn-ea"/>
                <a:cs typeface="+mn-cs"/>
              </a:rPr>
              <a:t> External Funding</a:t>
            </a:r>
            <a:r>
              <a:rPr lang="en-US" sz="1100" b="1">
                <a:solidFill>
                  <a:sysClr val="windowText" lastClr="000000"/>
                </a:solidFill>
                <a:effectLst/>
                <a:latin typeface="+mn-lt"/>
                <a:ea typeface="+mn-ea"/>
                <a:cs typeface="+mn-cs"/>
              </a:rPr>
              <a:t> Performance Measure associated with the Cost Effectiveness Evaluation Objective.</a:t>
            </a:r>
          </a:p>
        </xdr:txBody>
      </xdr:sp>
      <xdr:pic>
        <xdr:nvPicPr>
          <xdr:cNvPr id="11" name="Picture 10">
            <a:extLst>
              <a:ext uri="{FF2B5EF4-FFF2-40B4-BE49-F238E27FC236}">
                <a16:creationId xmlns:a16="http://schemas.microsoft.com/office/drawing/2014/main" id="{9FEE51C4-7609-4EC9-99CE-5BA9D4FB6B6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99343" y="14180344"/>
            <a:ext cx="3602078" cy="2688466"/>
          </a:xfrm>
          <a:prstGeom prst="rect">
            <a:avLst/>
          </a:prstGeom>
          <a:noFill/>
        </xdr:spPr>
      </xdr:pic>
    </xdr:grpSp>
    <xdr:clientData/>
  </xdr:twoCellAnchor>
  <xdr:twoCellAnchor editAs="absolute">
    <xdr:from>
      <xdr:col>11</xdr:col>
      <xdr:colOff>309563</xdr:colOff>
      <xdr:row>5</xdr:row>
      <xdr:rowOff>0</xdr:rowOff>
    </xdr:from>
    <xdr:to>
      <xdr:col>21</xdr:col>
      <xdr:colOff>147636</xdr:colOff>
      <xdr:row>23</xdr:row>
      <xdr:rowOff>154782</xdr:rowOff>
    </xdr:to>
    <xdr:grpSp>
      <xdr:nvGrpSpPr>
        <xdr:cNvPr id="16" name="Group 15">
          <a:extLst>
            <a:ext uri="{FF2B5EF4-FFF2-40B4-BE49-F238E27FC236}">
              <a16:creationId xmlns:a16="http://schemas.microsoft.com/office/drawing/2014/main" id="{C0FF4EBC-3C0B-48DC-93DF-3B9C11B2B96A}"/>
            </a:ext>
          </a:extLst>
        </xdr:cNvPr>
        <xdr:cNvGrpSpPr/>
      </xdr:nvGrpSpPr>
      <xdr:grpSpPr>
        <a:xfrm>
          <a:off x="12799219" y="1131094"/>
          <a:ext cx="5672136" cy="4798219"/>
          <a:chOff x="22467094" y="1083469"/>
          <a:chExt cx="5672136" cy="4798219"/>
        </a:xfrm>
      </xdr:grpSpPr>
      <xdr:sp macro="" textlink="">
        <xdr:nvSpPr>
          <xdr:cNvPr id="3" name="Rectangle 2">
            <a:extLst>
              <a:ext uri="{FF2B5EF4-FFF2-40B4-BE49-F238E27FC236}">
                <a16:creationId xmlns:a16="http://schemas.microsoft.com/office/drawing/2014/main" id="{F0416C95-11CB-4AAF-9E5B-639D1D067B75}"/>
              </a:ext>
            </a:extLst>
          </xdr:cNvPr>
          <xdr:cNvSpPr/>
        </xdr:nvSpPr>
        <xdr:spPr>
          <a:xfrm>
            <a:off x="22467094" y="1083469"/>
            <a:ext cx="5672136" cy="4798219"/>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Cost Effectiveness Evaluation Objective.</a:t>
            </a:r>
          </a:p>
        </xdr:txBody>
      </xdr:sp>
      <xdr:pic>
        <xdr:nvPicPr>
          <xdr:cNvPr id="15" name="Picture 14">
            <a:extLst>
              <a:ext uri="{FF2B5EF4-FFF2-40B4-BE49-F238E27FC236}">
                <a16:creationId xmlns:a16="http://schemas.microsoft.com/office/drawing/2014/main" id="{26C99FCB-6497-4926-A2A8-82A44688445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669625" y="1262063"/>
            <a:ext cx="3236595" cy="4242435"/>
          </a:xfrm>
          <a:prstGeom prst="rect">
            <a:avLst/>
          </a:prstGeom>
          <a:noFill/>
        </xdr:spPr>
      </xdr:pic>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18</xdr:col>
      <xdr:colOff>321466</xdr:colOff>
      <xdr:row>4</xdr:row>
      <xdr:rowOff>166689</xdr:rowOff>
    </xdr:from>
    <xdr:to>
      <xdr:col>28</xdr:col>
      <xdr:colOff>147636</xdr:colOff>
      <xdr:row>25</xdr:row>
      <xdr:rowOff>47626</xdr:rowOff>
    </xdr:to>
    <xdr:grpSp>
      <xdr:nvGrpSpPr>
        <xdr:cNvPr id="2" name="Group 1">
          <a:extLst>
            <a:ext uri="{FF2B5EF4-FFF2-40B4-BE49-F238E27FC236}">
              <a16:creationId xmlns:a16="http://schemas.microsoft.com/office/drawing/2014/main" id="{B89BCCF0-A129-49C7-8D14-78DFB65E1E56}"/>
            </a:ext>
          </a:extLst>
        </xdr:cNvPr>
        <xdr:cNvGrpSpPr/>
      </xdr:nvGrpSpPr>
      <xdr:grpSpPr>
        <a:xfrm>
          <a:off x="8727279" y="1119189"/>
          <a:ext cx="5672138" cy="4583906"/>
          <a:chOff x="24133967" y="1166813"/>
          <a:chExt cx="5672138" cy="4583906"/>
        </a:xfrm>
      </xdr:grpSpPr>
      <xdr:sp macro="" textlink="">
        <xdr:nvSpPr>
          <xdr:cNvPr id="3" name="Rectangle 2">
            <a:extLst>
              <a:ext uri="{FF2B5EF4-FFF2-40B4-BE49-F238E27FC236}">
                <a16:creationId xmlns:a16="http://schemas.microsoft.com/office/drawing/2014/main" id="{29A5CDD7-4F86-4C39-B561-AB38B8861DB6}"/>
              </a:ext>
            </a:extLst>
          </xdr:cNvPr>
          <xdr:cNvSpPr/>
        </xdr:nvSpPr>
        <xdr:spPr>
          <a:xfrm>
            <a:off x="24133967" y="1166813"/>
            <a:ext cx="5672138" cy="4583906"/>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Environmental Justice Evaluation Objective.</a:t>
            </a:r>
          </a:p>
        </xdr:txBody>
      </xdr:sp>
      <xdr:pic>
        <xdr:nvPicPr>
          <xdr:cNvPr id="5" name="Picture 4">
            <a:extLst>
              <a:ext uri="{FF2B5EF4-FFF2-40B4-BE49-F238E27FC236}">
                <a16:creationId xmlns:a16="http://schemas.microsoft.com/office/drawing/2014/main" id="{34EBDD76-A844-476D-9104-DE51002FA8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43655" y="1285875"/>
            <a:ext cx="2968982" cy="4214812"/>
          </a:xfrm>
          <a:prstGeom prst="rect">
            <a:avLst/>
          </a:prstGeom>
          <a:noFill/>
        </xdr:spPr>
      </xdr:pic>
    </xdr:grpSp>
    <xdr:clientData/>
  </xdr:twoCellAnchor>
  <xdr:twoCellAnchor editAs="absolute">
    <xdr:from>
      <xdr:col>18</xdr:col>
      <xdr:colOff>313531</xdr:colOff>
      <xdr:row>253</xdr:row>
      <xdr:rowOff>130970</xdr:rowOff>
    </xdr:from>
    <xdr:to>
      <xdr:col>28</xdr:col>
      <xdr:colOff>563564</xdr:colOff>
      <xdr:row>280</xdr:row>
      <xdr:rowOff>83344</xdr:rowOff>
    </xdr:to>
    <xdr:grpSp>
      <xdr:nvGrpSpPr>
        <xdr:cNvPr id="16" name="Group 15">
          <a:extLst>
            <a:ext uri="{FF2B5EF4-FFF2-40B4-BE49-F238E27FC236}">
              <a16:creationId xmlns:a16="http://schemas.microsoft.com/office/drawing/2014/main" id="{02ED04BD-7535-4620-BFDA-132FFD26CD09}"/>
            </a:ext>
          </a:extLst>
        </xdr:cNvPr>
        <xdr:cNvGrpSpPr/>
      </xdr:nvGrpSpPr>
      <xdr:grpSpPr>
        <a:xfrm>
          <a:off x="8719344" y="21443158"/>
          <a:ext cx="6096001" cy="5095874"/>
          <a:chOff x="24110157" y="25919907"/>
          <a:chExt cx="6096001" cy="5095874"/>
        </a:xfrm>
      </xdr:grpSpPr>
      <xdr:sp macro="" textlink="">
        <xdr:nvSpPr>
          <xdr:cNvPr id="11" name="Rectangle 10">
            <a:extLst>
              <a:ext uri="{FF2B5EF4-FFF2-40B4-BE49-F238E27FC236}">
                <a16:creationId xmlns:a16="http://schemas.microsoft.com/office/drawing/2014/main" id="{24FFF1A3-95F9-407A-AF01-76E25F05E543}"/>
              </a:ext>
            </a:extLst>
          </xdr:cNvPr>
          <xdr:cNvSpPr/>
        </xdr:nvSpPr>
        <xdr:spPr>
          <a:xfrm>
            <a:off x="24110157" y="25919907"/>
            <a:ext cx="6096001" cy="509587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DACs Performance Measure associated within the Environmental Justice Evaluation Objective.</a:t>
            </a:r>
          </a:p>
        </xdr:txBody>
      </xdr:sp>
      <xdr:pic>
        <xdr:nvPicPr>
          <xdr:cNvPr id="12" name="Picture 11">
            <a:extLst>
              <a:ext uri="{FF2B5EF4-FFF2-40B4-BE49-F238E27FC236}">
                <a16:creationId xmlns:a16="http://schemas.microsoft.com/office/drawing/2014/main" id="{8260FE34-1F32-4FBE-AE83-ADFE2F3BB30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19718" y="26050876"/>
            <a:ext cx="5716039" cy="4452938"/>
          </a:xfrm>
          <a:prstGeom prst="rect">
            <a:avLst/>
          </a:prstGeom>
          <a:noFill/>
          <a:ln>
            <a:noFill/>
          </a:ln>
        </xdr:spPr>
      </xdr:pic>
    </xdr:grpSp>
    <xdr:clientData/>
  </xdr:twoCellAnchor>
  <xdr:twoCellAnchor editAs="absolute">
    <xdr:from>
      <xdr:col>18</xdr:col>
      <xdr:colOff>321467</xdr:colOff>
      <xdr:row>26</xdr:row>
      <xdr:rowOff>83344</xdr:rowOff>
    </xdr:from>
    <xdr:to>
      <xdr:col>30</xdr:col>
      <xdr:colOff>523875</xdr:colOff>
      <xdr:row>47</xdr:row>
      <xdr:rowOff>35720</xdr:rowOff>
    </xdr:to>
    <xdr:grpSp>
      <xdr:nvGrpSpPr>
        <xdr:cNvPr id="6" name="Group 5">
          <a:extLst>
            <a:ext uri="{FF2B5EF4-FFF2-40B4-BE49-F238E27FC236}">
              <a16:creationId xmlns:a16="http://schemas.microsoft.com/office/drawing/2014/main" id="{A578511A-90FC-435F-86E1-42949A6AC715}"/>
            </a:ext>
          </a:extLst>
        </xdr:cNvPr>
        <xdr:cNvGrpSpPr/>
      </xdr:nvGrpSpPr>
      <xdr:grpSpPr>
        <a:xfrm>
          <a:off x="8727280" y="5929313"/>
          <a:ext cx="7262814" cy="4357688"/>
          <a:chOff x="24133968" y="5976937"/>
          <a:chExt cx="7262814" cy="4357688"/>
        </a:xfrm>
      </xdr:grpSpPr>
      <xdr:sp macro="" textlink="">
        <xdr:nvSpPr>
          <xdr:cNvPr id="4" name="Rectangle 3">
            <a:extLst>
              <a:ext uri="{FF2B5EF4-FFF2-40B4-BE49-F238E27FC236}">
                <a16:creationId xmlns:a16="http://schemas.microsoft.com/office/drawing/2014/main" id="{2420910C-6A45-4D6B-B09D-0CB3B3544202}"/>
              </a:ext>
            </a:extLst>
          </xdr:cNvPr>
          <xdr:cNvSpPr/>
        </xdr:nvSpPr>
        <xdr:spPr>
          <a:xfrm>
            <a:off x="24133968" y="5976937"/>
            <a:ext cx="7262814" cy="435768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Magnitude of Environmental Impact Sub-score for the Environmental Justice Performance Measure associated with the Environmental Justice Evaluation Objective.</a:t>
            </a:r>
          </a:p>
        </xdr:txBody>
      </xdr:sp>
      <xdr:pic>
        <xdr:nvPicPr>
          <xdr:cNvPr id="14" name="Picture 13">
            <a:extLst>
              <a:ext uri="{FF2B5EF4-FFF2-40B4-BE49-F238E27FC236}">
                <a16:creationId xmlns:a16="http://schemas.microsoft.com/office/drawing/2014/main" id="{8B564C3A-7310-435B-9707-F53F0FF063B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491156" y="6048375"/>
            <a:ext cx="6272530" cy="3830955"/>
          </a:xfrm>
          <a:prstGeom prst="rect">
            <a:avLst/>
          </a:prstGeom>
          <a:noFill/>
        </xdr:spPr>
      </xdr:pic>
    </xdr:grpSp>
    <xdr:clientData/>
  </xdr:twoCellAnchor>
  <xdr:twoCellAnchor editAs="absolute">
    <xdr:from>
      <xdr:col>18</xdr:col>
      <xdr:colOff>307179</xdr:colOff>
      <xdr:row>48</xdr:row>
      <xdr:rowOff>130970</xdr:rowOff>
    </xdr:from>
    <xdr:to>
      <xdr:col>31</xdr:col>
      <xdr:colOff>500061</xdr:colOff>
      <xdr:row>218</xdr:row>
      <xdr:rowOff>0</xdr:rowOff>
    </xdr:to>
    <xdr:grpSp>
      <xdr:nvGrpSpPr>
        <xdr:cNvPr id="8" name="Group 7">
          <a:extLst>
            <a:ext uri="{FF2B5EF4-FFF2-40B4-BE49-F238E27FC236}">
              <a16:creationId xmlns:a16="http://schemas.microsoft.com/office/drawing/2014/main" id="{342FF735-AFD8-4092-A498-3993675A08FC}"/>
            </a:ext>
          </a:extLst>
        </xdr:cNvPr>
        <xdr:cNvGrpSpPr/>
      </xdr:nvGrpSpPr>
      <xdr:grpSpPr>
        <a:xfrm>
          <a:off x="8712992" y="10572751"/>
          <a:ext cx="7860507" cy="4071937"/>
          <a:chOff x="24119680" y="10620375"/>
          <a:chExt cx="7860507" cy="4071937"/>
        </a:xfrm>
      </xdr:grpSpPr>
      <xdr:sp macro="" textlink="">
        <xdr:nvSpPr>
          <xdr:cNvPr id="7" name="Rectangle 6">
            <a:extLst>
              <a:ext uri="{FF2B5EF4-FFF2-40B4-BE49-F238E27FC236}">
                <a16:creationId xmlns:a16="http://schemas.microsoft.com/office/drawing/2014/main" id="{E7D3A494-4428-4A6D-96D4-22EC738E41D0}"/>
              </a:ext>
            </a:extLst>
          </xdr:cNvPr>
          <xdr:cNvSpPr/>
        </xdr:nvSpPr>
        <xdr:spPr>
          <a:xfrm>
            <a:off x="24119680" y="10620375"/>
            <a:ext cx="7860507" cy="4071937"/>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Population Sensitivity Indicator used to calculate the Environmental Justice Sensitivity Sub-score as part of the Environmental Justice Performance Measure.</a:t>
            </a:r>
          </a:p>
        </xdr:txBody>
      </xdr:sp>
      <xdr:pic>
        <xdr:nvPicPr>
          <xdr:cNvPr id="15" name="Picture 14">
            <a:extLst>
              <a:ext uri="{FF2B5EF4-FFF2-40B4-BE49-F238E27FC236}">
                <a16:creationId xmlns:a16="http://schemas.microsoft.com/office/drawing/2014/main" id="{244DCE34-DEE4-4307-BA87-8A8E45F84E28}"/>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226960" y="10691813"/>
            <a:ext cx="5595620" cy="3429000"/>
          </a:xfrm>
          <a:prstGeom prst="rect">
            <a:avLst/>
          </a:prstGeom>
          <a:noFill/>
        </xdr:spPr>
      </xdr:pic>
    </xdr:grpSp>
    <xdr:clientData/>
  </xdr:twoCellAnchor>
  <xdr:twoCellAnchor editAs="absolute">
    <xdr:from>
      <xdr:col>32</xdr:col>
      <xdr:colOff>210340</xdr:colOff>
      <xdr:row>48</xdr:row>
      <xdr:rowOff>123032</xdr:rowOff>
    </xdr:from>
    <xdr:to>
      <xdr:col>45</xdr:col>
      <xdr:colOff>202404</xdr:colOff>
      <xdr:row>218</xdr:row>
      <xdr:rowOff>0</xdr:rowOff>
    </xdr:to>
    <xdr:grpSp>
      <xdr:nvGrpSpPr>
        <xdr:cNvPr id="10" name="Group 9">
          <a:extLst>
            <a:ext uri="{FF2B5EF4-FFF2-40B4-BE49-F238E27FC236}">
              <a16:creationId xmlns:a16="http://schemas.microsoft.com/office/drawing/2014/main" id="{FB5F37E8-B7BC-4720-82D8-C3C01655A234}"/>
            </a:ext>
          </a:extLst>
        </xdr:cNvPr>
        <xdr:cNvGrpSpPr/>
      </xdr:nvGrpSpPr>
      <xdr:grpSpPr>
        <a:xfrm>
          <a:off x="16890996" y="10564813"/>
          <a:ext cx="7885908" cy="4079875"/>
          <a:chOff x="24110154" y="14989969"/>
          <a:chExt cx="7881939" cy="4083843"/>
        </a:xfrm>
      </xdr:grpSpPr>
      <xdr:sp macro="" textlink="">
        <xdr:nvSpPr>
          <xdr:cNvPr id="9" name="Rectangle 8">
            <a:extLst>
              <a:ext uri="{FF2B5EF4-FFF2-40B4-BE49-F238E27FC236}">
                <a16:creationId xmlns:a16="http://schemas.microsoft.com/office/drawing/2014/main" id="{BDEAF8F4-BA96-4D4D-973D-9D21222F7A52}"/>
              </a:ext>
            </a:extLst>
          </xdr:cNvPr>
          <xdr:cNvSpPr/>
        </xdr:nvSpPr>
        <xdr:spPr>
          <a:xfrm>
            <a:off x="24110154" y="14989969"/>
            <a:ext cx="7881939" cy="4083843"/>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Environmental Sensitivity Indicator used to calculate the Environmental Justice Sensitivity Sub-score as part of the Environmental Justice Performance Measure.</a:t>
            </a:r>
          </a:p>
        </xdr:txBody>
      </xdr:sp>
      <xdr:pic>
        <xdr:nvPicPr>
          <xdr:cNvPr id="17" name="Picture 16">
            <a:extLst>
              <a:ext uri="{FF2B5EF4-FFF2-40B4-BE49-F238E27FC236}">
                <a16:creationId xmlns:a16="http://schemas.microsoft.com/office/drawing/2014/main" id="{9403C425-E973-418A-BA4D-2584DC9DD4E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205529" y="15061405"/>
            <a:ext cx="5605145" cy="3437890"/>
          </a:xfrm>
          <a:prstGeom prst="rect">
            <a:avLst/>
          </a:prstGeom>
          <a:noFill/>
        </xdr:spPr>
      </xdr:pic>
    </xdr:grpSp>
    <xdr:clientData/>
  </xdr:twoCellAnchor>
  <xdr:twoCellAnchor editAs="absolute">
    <xdr:from>
      <xdr:col>18</xdr:col>
      <xdr:colOff>313529</xdr:colOff>
      <xdr:row>219</xdr:row>
      <xdr:rowOff>35719</xdr:rowOff>
    </xdr:from>
    <xdr:to>
      <xdr:col>34</xdr:col>
      <xdr:colOff>111123</xdr:colOff>
      <xdr:row>237</xdr:row>
      <xdr:rowOff>166688</xdr:rowOff>
    </xdr:to>
    <xdr:grpSp>
      <xdr:nvGrpSpPr>
        <xdr:cNvPr id="13" name="Group 12">
          <a:extLst>
            <a:ext uri="{FF2B5EF4-FFF2-40B4-BE49-F238E27FC236}">
              <a16:creationId xmlns:a16="http://schemas.microsoft.com/office/drawing/2014/main" id="{A55583A8-5302-46D6-826A-66BEC7BF912C}"/>
            </a:ext>
          </a:extLst>
        </xdr:cNvPr>
        <xdr:cNvGrpSpPr/>
      </xdr:nvGrpSpPr>
      <xdr:grpSpPr>
        <a:xfrm>
          <a:off x="8719342" y="14870907"/>
          <a:ext cx="9286875" cy="3559969"/>
          <a:chOff x="24110155" y="19347656"/>
          <a:chExt cx="9286875" cy="3559969"/>
        </a:xfrm>
      </xdr:grpSpPr>
      <xdr:sp macro="" textlink="">
        <xdr:nvSpPr>
          <xdr:cNvPr id="19" name="Rectangle 18">
            <a:extLst>
              <a:ext uri="{FF2B5EF4-FFF2-40B4-BE49-F238E27FC236}">
                <a16:creationId xmlns:a16="http://schemas.microsoft.com/office/drawing/2014/main" id="{DB20C973-8C04-4700-BCB8-F165305C301B}"/>
              </a:ext>
            </a:extLst>
          </xdr:cNvPr>
          <xdr:cNvSpPr/>
        </xdr:nvSpPr>
        <xdr:spPr>
          <a:xfrm>
            <a:off x="24110155" y="19347656"/>
            <a:ext cx="9286875" cy="3559969"/>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Environmental Justice Sensitivity Sub-score associated with the Environmental Justice Performance Measure.</a:t>
            </a:r>
          </a:p>
        </xdr:txBody>
      </xdr:sp>
      <xdr:pic>
        <xdr:nvPicPr>
          <xdr:cNvPr id="20" name="Picture 19">
            <a:extLst>
              <a:ext uri="{FF2B5EF4-FFF2-40B4-BE49-F238E27FC236}">
                <a16:creationId xmlns:a16="http://schemas.microsoft.com/office/drawing/2014/main" id="{B1FA1925-68F6-4EA7-93D0-6C01D936995C}"/>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634031" y="19359562"/>
            <a:ext cx="8205470" cy="3155315"/>
          </a:xfrm>
          <a:prstGeom prst="rect">
            <a:avLst/>
          </a:prstGeom>
          <a:noFill/>
        </xdr:spPr>
      </xdr:pic>
    </xdr:grpSp>
    <xdr:clientData/>
  </xdr:twoCellAnchor>
  <xdr:twoCellAnchor editAs="absolute">
    <xdr:from>
      <xdr:col>18</xdr:col>
      <xdr:colOff>313529</xdr:colOff>
      <xdr:row>239</xdr:row>
      <xdr:rowOff>71438</xdr:rowOff>
    </xdr:from>
    <xdr:to>
      <xdr:col>35</xdr:col>
      <xdr:colOff>384968</xdr:colOff>
      <xdr:row>252</xdr:row>
      <xdr:rowOff>35719</xdr:rowOff>
    </xdr:to>
    <xdr:grpSp>
      <xdr:nvGrpSpPr>
        <xdr:cNvPr id="18" name="Group 17">
          <a:extLst>
            <a:ext uri="{FF2B5EF4-FFF2-40B4-BE49-F238E27FC236}">
              <a16:creationId xmlns:a16="http://schemas.microsoft.com/office/drawing/2014/main" id="{A5761BCE-269A-41AF-B135-159CB59EC050}"/>
            </a:ext>
          </a:extLst>
        </xdr:cNvPr>
        <xdr:cNvGrpSpPr/>
      </xdr:nvGrpSpPr>
      <xdr:grpSpPr>
        <a:xfrm>
          <a:off x="8719342" y="18716626"/>
          <a:ext cx="10167939" cy="2440781"/>
          <a:chOff x="24110155" y="23193375"/>
          <a:chExt cx="10167939" cy="2440781"/>
        </a:xfrm>
      </xdr:grpSpPr>
      <xdr:sp macro="" textlink="">
        <xdr:nvSpPr>
          <xdr:cNvPr id="21" name="Rectangle 20">
            <a:extLst>
              <a:ext uri="{FF2B5EF4-FFF2-40B4-BE49-F238E27FC236}">
                <a16:creationId xmlns:a16="http://schemas.microsoft.com/office/drawing/2014/main" id="{25AC4139-D947-46E0-8374-06BB72208268}"/>
              </a:ext>
            </a:extLst>
          </xdr:cNvPr>
          <xdr:cNvSpPr/>
        </xdr:nvSpPr>
        <xdr:spPr>
          <a:xfrm>
            <a:off x="24110155" y="23193375"/>
            <a:ext cx="10167939" cy="244078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Environmental Justice Performance Measure associated with the Environmental Justice Evaluation Objective.</a:t>
            </a:r>
          </a:p>
        </xdr:txBody>
      </xdr:sp>
      <xdr:pic>
        <xdr:nvPicPr>
          <xdr:cNvPr id="22" name="Picture 21">
            <a:extLst>
              <a:ext uri="{FF2B5EF4-FFF2-40B4-BE49-F238E27FC236}">
                <a16:creationId xmlns:a16="http://schemas.microsoft.com/office/drawing/2014/main" id="{44DE9544-D402-44CF-9D18-0774363479E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264936" y="23324344"/>
            <a:ext cx="9791202" cy="1925321"/>
          </a:xfrm>
          <a:prstGeom prst="rect">
            <a:avLst/>
          </a:prstGeom>
          <a:noFill/>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13</xdr:col>
      <xdr:colOff>1</xdr:colOff>
      <xdr:row>4</xdr:row>
      <xdr:rowOff>226220</xdr:rowOff>
    </xdr:from>
    <xdr:to>
      <xdr:col>22</xdr:col>
      <xdr:colOff>207168</xdr:colOff>
      <xdr:row>393</xdr:row>
      <xdr:rowOff>71438</xdr:rowOff>
    </xdr:to>
    <xdr:grpSp>
      <xdr:nvGrpSpPr>
        <xdr:cNvPr id="2" name="Group 1">
          <a:extLst>
            <a:ext uri="{FF2B5EF4-FFF2-40B4-BE49-F238E27FC236}">
              <a16:creationId xmlns:a16="http://schemas.microsoft.com/office/drawing/2014/main" id="{E824918F-3E35-44E1-B503-3FFA347ACC43}"/>
            </a:ext>
          </a:extLst>
        </xdr:cNvPr>
        <xdr:cNvGrpSpPr/>
      </xdr:nvGrpSpPr>
      <xdr:grpSpPr>
        <a:xfrm>
          <a:off x="13989845" y="1166814"/>
          <a:ext cx="5672136" cy="4405312"/>
          <a:chOff x="25157907" y="1202533"/>
          <a:chExt cx="5672136" cy="4405312"/>
        </a:xfrm>
      </xdr:grpSpPr>
      <xdr:sp macro="" textlink="">
        <xdr:nvSpPr>
          <xdr:cNvPr id="3" name="Rectangle 2">
            <a:extLst>
              <a:ext uri="{FF2B5EF4-FFF2-40B4-BE49-F238E27FC236}">
                <a16:creationId xmlns:a16="http://schemas.microsoft.com/office/drawing/2014/main" id="{7B9CE259-6A68-4356-AF25-3FCF302FBE32}"/>
              </a:ext>
            </a:extLst>
          </xdr:cNvPr>
          <xdr:cNvSpPr/>
        </xdr:nvSpPr>
        <xdr:spPr>
          <a:xfrm>
            <a:off x="25157907" y="1202533"/>
            <a:ext cx="5672136" cy="4405312"/>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Optimize Local Supplies Evaluation Objective.</a:t>
            </a:r>
          </a:p>
        </xdr:txBody>
      </xdr:sp>
      <xdr:pic>
        <xdr:nvPicPr>
          <xdr:cNvPr id="8" name="Picture 7">
            <a:extLst>
              <a:ext uri="{FF2B5EF4-FFF2-40B4-BE49-F238E27FC236}">
                <a16:creationId xmlns:a16="http://schemas.microsoft.com/office/drawing/2014/main" id="{3E544D3D-5756-4FC0-9738-C66FE2FF19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86657" y="1333501"/>
            <a:ext cx="2816225" cy="3876675"/>
          </a:xfrm>
          <a:prstGeom prst="rect">
            <a:avLst/>
          </a:prstGeom>
          <a:noFill/>
        </xdr:spPr>
      </xdr:pic>
    </xdr:grpSp>
    <xdr:clientData/>
  </xdr:twoCellAnchor>
  <xdr:twoCellAnchor editAs="absolute">
    <xdr:from>
      <xdr:col>12</xdr:col>
      <xdr:colOff>369094</xdr:colOff>
      <xdr:row>394</xdr:row>
      <xdr:rowOff>109539</xdr:rowOff>
    </xdr:from>
    <xdr:to>
      <xdr:col>23</xdr:col>
      <xdr:colOff>226220</xdr:colOff>
      <xdr:row>414</xdr:row>
      <xdr:rowOff>11906</xdr:rowOff>
    </xdr:to>
    <xdr:grpSp>
      <xdr:nvGrpSpPr>
        <xdr:cNvPr id="9" name="Group 8">
          <a:extLst>
            <a:ext uri="{FF2B5EF4-FFF2-40B4-BE49-F238E27FC236}">
              <a16:creationId xmlns:a16="http://schemas.microsoft.com/office/drawing/2014/main" id="{CAE6B246-BB51-4133-B48F-199AAF94F83C}"/>
            </a:ext>
          </a:extLst>
        </xdr:cNvPr>
        <xdr:cNvGrpSpPr/>
      </xdr:nvGrpSpPr>
      <xdr:grpSpPr>
        <a:xfrm>
          <a:off x="13977938" y="5800727"/>
          <a:ext cx="6310313" cy="3712367"/>
          <a:chOff x="25134094" y="5907883"/>
          <a:chExt cx="6310312" cy="3712367"/>
        </a:xfrm>
      </xdr:grpSpPr>
      <xdr:sp macro="" textlink="">
        <xdr:nvSpPr>
          <xdr:cNvPr id="5" name="Rectangle 4">
            <a:extLst>
              <a:ext uri="{FF2B5EF4-FFF2-40B4-BE49-F238E27FC236}">
                <a16:creationId xmlns:a16="http://schemas.microsoft.com/office/drawing/2014/main" id="{75909D08-2FF0-4883-8630-D97DE4838250}"/>
              </a:ext>
            </a:extLst>
          </xdr:cNvPr>
          <xdr:cNvSpPr/>
        </xdr:nvSpPr>
        <xdr:spPr>
          <a:xfrm>
            <a:off x="25134094" y="5907883"/>
            <a:ext cx="6310312" cy="3712367"/>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Local Supply Performance Measure associated with the Optimize Local Supplies Evaluation Objective.</a:t>
            </a:r>
          </a:p>
        </xdr:txBody>
      </xdr:sp>
      <xdr:pic>
        <xdr:nvPicPr>
          <xdr:cNvPr id="7" name="Picture 6">
            <a:extLst>
              <a:ext uri="{FF2B5EF4-FFF2-40B4-BE49-F238E27FC236}">
                <a16:creationId xmlns:a16="http://schemas.microsoft.com/office/drawing/2014/main" id="{F1077E64-8611-4833-8D1D-136294C4FEAC}"/>
              </a:ext>
            </a:extLst>
          </xdr:cNvPr>
          <xdr:cNvPicPr>
            <a:picLocks noChangeAspect="1"/>
          </xdr:cNvPicPr>
        </xdr:nvPicPr>
        <xdr:blipFill>
          <a:blip xmlns:r="http://schemas.openxmlformats.org/officeDocument/2006/relationships" r:embed="rId2"/>
          <a:stretch>
            <a:fillRect/>
          </a:stretch>
        </xdr:blipFill>
        <xdr:spPr>
          <a:xfrm>
            <a:off x="25788938" y="6072188"/>
            <a:ext cx="4984522" cy="298242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410763</xdr:colOff>
      <xdr:row>20</xdr:row>
      <xdr:rowOff>194071</xdr:rowOff>
    </xdr:from>
    <xdr:to>
      <xdr:col>33</xdr:col>
      <xdr:colOff>11905</xdr:colOff>
      <xdr:row>36</xdr:row>
      <xdr:rowOff>357187</xdr:rowOff>
    </xdr:to>
    <xdr:graphicFrame macro="">
      <xdr:nvGraphicFramePr>
        <xdr:cNvPr id="5" name="Chart 4">
          <a:extLst>
            <a:ext uri="{FF2B5EF4-FFF2-40B4-BE49-F238E27FC236}">
              <a16:creationId xmlns:a16="http://schemas.microsoft.com/office/drawing/2014/main" id="{C10208FD-F2DC-489D-AB7D-425B5D223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415019</xdr:colOff>
      <xdr:row>36</xdr:row>
      <xdr:rowOff>651443</xdr:rowOff>
    </xdr:from>
    <xdr:to>
      <xdr:col>33</xdr:col>
      <xdr:colOff>16161</xdr:colOff>
      <xdr:row>51</xdr:row>
      <xdr:rowOff>884465</xdr:rowOff>
    </xdr:to>
    <xdr:graphicFrame macro="">
      <xdr:nvGraphicFramePr>
        <xdr:cNvPr id="6" name="Chart 5">
          <a:extLst>
            <a:ext uri="{FF2B5EF4-FFF2-40B4-BE49-F238E27FC236}">
              <a16:creationId xmlns:a16="http://schemas.microsoft.com/office/drawing/2014/main" id="{668A5338-784A-4017-9666-7B65BC84E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415017</xdr:colOff>
      <xdr:row>53</xdr:row>
      <xdr:rowOff>49209</xdr:rowOff>
    </xdr:from>
    <xdr:to>
      <xdr:col>33</xdr:col>
      <xdr:colOff>34018</xdr:colOff>
      <xdr:row>68</xdr:row>
      <xdr:rowOff>104320</xdr:rowOff>
    </xdr:to>
    <xdr:graphicFrame macro="">
      <xdr:nvGraphicFramePr>
        <xdr:cNvPr id="7" name="Chart 6">
          <a:extLst>
            <a:ext uri="{FF2B5EF4-FFF2-40B4-BE49-F238E27FC236}">
              <a16:creationId xmlns:a16="http://schemas.microsoft.com/office/drawing/2014/main" id="{D1985813-7369-44C6-AB72-66361AB19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421821</xdr:colOff>
      <xdr:row>68</xdr:row>
      <xdr:rowOff>421820</xdr:rowOff>
    </xdr:from>
    <xdr:to>
      <xdr:col>33</xdr:col>
      <xdr:colOff>34019</xdr:colOff>
      <xdr:row>76</xdr:row>
      <xdr:rowOff>185284</xdr:rowOff>
    </xdr:to>
    <xdr:graphicFrame macro="">
      <xdr:nvGraphicFramePr>
        <xdr:cNvPr id="8" name="Chart 7">
          <a:extLst>
            <a:ext uri="{FF2B5EF4-FFF2-40B4-BE49-F238E27FC236}">
              <a16:creationId xmlns:a16="http://schemas.microsoft.com/office/drawing/2014/main" id="{82741ED5-4D6F-48B6-A751-FFBF51F9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421821</xdr:colOff>
      <xdr:row>77</xdr:row>
      <xdr:rowOff>40820</xdr:rowOff>
    </xdr:from>
    <xdr:to>
      <xdr:col>33</xdr:col>
      <xdr:colOff>34019</xdr:colOff>
      <xdr:row>91</xdr:row>
      <xdr:rowOff>98198</xdr:rowOff>
    </xdr:to>
    <xdr:graphicFrame macro="">
      <xdr:nvGraphicFramePr>
        <xdr:cNvPr id="9" name="Chart 8">
          <a:extLst>
            <a:ext uri="{FF2B5EF4-FFF2-40B4-BE49-F238E27FC236}">
              <a16:creationId xmlns:a16="http://schemas.microsoft.com/office/drawing/2014/main" id="{B22B9E84-F391-4171-8D2F-B644611CF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421821</xdr:colOff>
      <xdr:row>92</xdr:row>
      <xdr:rowOff>163284</xdr:rowOff>
    </xdr:from>
    <xdr:to>
      <xdr:col>33</xdr:col>
      <xdr:colOff>34019</xdr:colOff>
      <xdr:row>111</xdr:row>
      <xdr:rowOff>16555</xdr:rowOff>
    </xdr:to>
    <xdr:graphicFrame macro="">
      <xdr:nvGraphicFramePr>
        <xdr:cNvPr id="10" name="Chart 9">
          <a:extLst>
            <a:ext uri="{FF2B5EF4-FFF2-40B4-BE49-F238E27FC236}">
              <a16:creationId xmlns:a16="http://schemas.microsoft.com/office/drawing/2014/main" id="{FA0FDD18-F003-4EA7-9C0B-B754000B8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421821</xdr:colOff>
      <xdr:row>135</xdr:row>
      <xdr:rowOff>81641</xdr:rowOff>
    </xdr:from>
    <xdr:to>
      <xdr:col>33</xdr:col>
      <xdr:colOff>34019</xdr:colOff>
      <xdr:row>157</xdr:row>
      <xdr:rowOff>16555</xdr:rowOff>
    </xdr:to>
    <xdr:graphicFrame macro="">
      <xdr:nvGraphicFramePr>
        <xdr:cNvPr id="12" name="Chart 11">
          <a:extLst>
            <a:ext uri="{FF2B5EF4-FFF2-40B4-BE49-F238E27FC236}">
              <a16:creationId xmlns:a16="http://schemas.microsoft.com/office/drawing/2014/main" id="{486418E0-F1E3-415D-8D62-D8C900670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421821</xdr:colOff>
      <xdr:row>158</xdr:row>
      <xdr:rowOff>81641</xdr:rowOff>
    </xdr:from>
    <xdr:to>
      <xdr:col>33</xdr:col>
      <xdr:colOff>34019</xdr:colOff>
      <xdr:row>180</xdr:row>
      <xdr:rowOff>16555</xdr:rowOff>
    </xdr:to>
    <xdr:graphicFrame macro="">
      <xdr:nvGraphicFramePr>
        <xdr:cNvPr id="13" name="Chart 12">
          <a:extLst>
            <a:ext uri="{FF2B5EF4-FFF2-40B4-BE49-F238E27FC236}">
              <a16:creationId xmlns:a16="http://schemas.microsoft.com/office/drawing/2014/main" id="{92933480-3083-4EE2-AE7D-02A0A4099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421821</xdr:colOff>
      <xdr:row>181</xdr:row>
      <xdr:rowOff>81641</xdr:rowOff>
    </xdr:from>
    <xdr:to>
      <xdr:col>33</xdr:col>
      <xdr:colOff>34019</xdr:colOff>
      <xdr:row>203</xdr:row>
      <xdr:rowOff>16555</xdr:rowOff>
    </xdr:to>
    <xdr:graphicFrame macro="">
      <xdr:nvGraphicFramePr>
        <xdr:cNvPr id="14" name="Chart 13">
          <a:extLst>
            <a:ext uri="{FF2B5EF4-FFF2-40B4-BE49-F238E27FC236}">
              <a16:creationId xmlns:a16="http://schemas.microsoft.com/office/drawing/2014/main" id="{11489599-18F5-43B8-8C0B-D36C217CE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421821</xdr:colOff>
      <xdr:row>204</xdr:row>
      <xdr:rowOff>81641</xdr:rowOff>
    </xdr:from>
    <xdr:to>
      <xdr:col>33</xdr:col>
      <xdr:colOff>34019</xdr:colOff>
      <xdr:row>226</xdr:row>
      <xdr:rowOff>16555</xdr:rowOff>
    </xdr:to>
    <xdr:graphicFrame macro="">
      <xdr:nvGraphicFramePr>
        <xdr:cNvPr id="15" name="Chart 14">
          <a:extLst>
            <a:ext uri="{FF2B5EF4-FFF2-40B4-BE49-F238E27FC236}">
              <a16:creationId xmlns:a16="http://schemas.microsoft.com/office/drawing/2014/main" id="{56ADFFA6-A1F6-43E7-8EE6-BEB740CB1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421821</xdr:colOff>
      <xdr:row>227</xdr:row>
      <xdr:rowOff>81641</xdr:rowOff>
    </xdr:from>
    <xdr:to>
      <xdr:col>33</xdr:col>
      <xdr:colOff>34019</xdr:colOff>
      <xdr:row>249</xdr:row>
      <xdr:rowOff>16555</xdr:rowOff>
    </xdr:to>
    <xdr:graphicFrame macro="">
      <xdr:nvGraphicFramePr>
        <xdr:cNvPr id="16" name="Chart 15">
          <a:extLst>
            <a:ext uri="{FF2B5EF4-FFF2-40B4-BE49-F238E27FC236}">
              <a16:creationId xmlns:a16="http://schemas.microsoft.com/office/drawing/2014/main" id="{0612B428-C349-4648-A2F2-DE4D7D510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421821</xdr:colOff>
      <xdr:row>250</xdr:row>
      <xdr:rowOff>81641</xdr:rowOff>
    </xdr:from>
    <xdr:to>
      <xdr:col>33</xdr:col>
      <xdr:colOff>34019</xdr:colOff>
      <xdr:row>272</xdr:row>
      <xdr:rowOff>16555</xdr:rowOff>
    </xdr:to>
    <xdr:graphicFrame macro="">
      <xdr:nvGraphicFramePr>
        <xdr:cNvPr id="17" name="Chart 16">
          <a:extLst>
            <a:ext uri="{FF2B5EF4-FFF2-40B4-BE49-F238E27FC236}">
              <a16:creationId xmlns:a16="http://schemas.microsoft.com/office/drawing/2014/main" id="{0AFCC7BA-49A5-42B6-BDE3-618A17720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421821</xdr:colOff>
      <xdr:row>112</xdr:row>
      <xdr:rowOff>81641</xdr:rowOff>
    </xdr:from>
    <xdr:to>
      <xdr:col>33</xdr:col>
      <xdr:colOff>34019</xdr:colOff>
      <xdr:row>134</xdr:row>
      <xdr:rowOff>16555</xdr:rowOff>
    </xdr:to>
    <xdr:graphicFrame macro="">
      <xdr:nvGraphicFramePr>
        <xdr:cNvPr id="18" name="Chart 17">
          <a:extLst>
            <a:ext uri="{FF2B5EF4-FFF2-40B4-BE49-F238E27FC236}">
              <a16:creationId xmlns:a16="http://schemas.microsoft.com/office/drawing/2014/main" id="{C29B3D67-011C-436D-BE79-ADE8D9A1D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421821</xdr:colOff>
      <xdr:row>273</xdr:row>
      <xdr:rowOff>81641</xdr:rowOff>
    </xdr:from>
    <xdr:to>
      <xdr:col>33</xdr:col>
      <xdr:colOff>34019</xdr:colOff>
      <xdr:row>295</xdr:row>
      <xdr:rowOff>16555</xdr:rowOff>
    </xdr:to>
    <xdr:graphicFrame macro="">
      <xdr:nvGraphicFramePr>
        <xdr:cNvPr id="19" name="Chart 18">
          <a:extLst>
            <a:ext uri="{FF2B5EF4-FFF2-40B4-BE49-F238E27FC236}">
              <a16:creationId xmlns:a16="http://schemas.microsoft.com/office/drawing/2014/main" id="{5566C69B-7740-40EE-A605-212EF71D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421821</xdr:colOff>
      <xdr:row>296</xdr:row>
      <xdr:rowOff>81641</xdr:rowOff>
    </xdr:from>
    <xdr:to>
      <xdr:col>33</xdr:col>
      <xdr:colOff>34019</xdr:colOff>
      <xdr:row>318</xdr:row>
      <xdr:rowOff>16555</xdr:rowOff>
    </xdr:to>
    <xdr:graphicFrame macro="">
      <xdr:nvGraphicFramePr>
        <xdr:cNvPr id="20" name="Chart 19">
          <a:extLst>
            <a:ext uri="{FF2B5EF4-FFF2-40B4-BE49-F238E27FC236}">
              <a16:creationId xmlns:a16="http://schemas.microsoft.com/office/drawing/2014/main" id="{989E38D9-9BE2-49CD-A0A0-0866CD6B0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423335</xdr:colOff>
      <xdr:row>20</xdr:row>
      <xdr:rowOff>158750</xdr:rowOff>
    </xdr:from>
    <xdr:to>
      <xdr:col>46</xdr:col>
      <xdr:colOff>31751</xdr:colOff>
      <xdr:row>36</xdr:row>
      <xdr:rowOff>321866</xdr:rowOff>
    </xdr:to>
    <xdr:graphicFrame macro="">
      <xdr:nvGraphicFramePr>
        <xdr:cNvPr id="21" name="Chart 20">
          <a:extLst>
            <a:ext uri="{FF2B5EF4-FFF2-40B4-BE49-F238E27FC236}">
              <a16:creationId xmlns:a16="http://schemas.microsoft.com/office/drawing/2014/main" id="{A597E25A-6480-435E-A4FA-9B33D0B8C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34</xdr:col>
      <xdr:colOff>415019</xdr:colOff>
      <xdr:row>36</xdr:row>
      <xdr:rowOff>651443</xdr:rowOff>
    </xdr:from>
    <xdr:to>
      <xdr:col>46</xdr:col>
      <xdr:colOff>16161</xdr:colOff>
      <xdr:row>51</xdr:row>
      <xdr:rowOff>884465</xdr:rowOff>
    </xdr:to>
    <xdr:graphicFrame macro="">
      <xdr:nvGraphicFramePr>
        <xdr:cNvPr id="22" name="Chart 21">
          <a:extLst>
            <a:ext uri="{FF2B5EF4-FFF2-40B4-BE49-F238E27FC236}">
              <a16:creationId xmlns:a16="http://schemas.microsoft.com/office/drawing/2014/main" id="{A8105522-941B-4D38-9682-27EAF894D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415017</xdr:colOff>
      <xdr:row>53</xdr:row>
      <xdr:rowOff>49209</xdr:rowOff>
    </xdr:from>
    <xdr:to>
      <xdr:col>46</xdr:col>
      <xdr:colOff>34018</xdr:colOff>
      <xdr:row>68</xdr:row>
      <xdr:rowOff>104320</xdr:rowOff>
    </xdr:to>
    <xdr:graphicFrame macro="">
      <xdr:nvGraphicFramePr>
        <xdr:cNvPr id="23" name="Chart 22">
          <a:extLst>
            <a:ext uri="{FF2B5EF4-FFF2-40B4-BE49-F238E27FC236}">
              <a16:creationId xmlns:a16="http://schemas.microsoft.com/office/drawing/2014/main" id="{401AD869-2BD7-4810-96AC-315CED3CA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421821</xdr:colOff>
      <xdr:row>68</xdr:row>
      <xdr:rowOff>421820</xdr:rowOff>
    </xdr:from>
    <xdr:to>
      <xdr:col>46</xdr:col>
      <xdr:colOff>34019</xdr:colOff>
      <xdr:row>76</xdr:row>
      <xdr:rowOff>185284</xdr:rowOff>
    </xdr:to>
    <xdr:graphicFrame macro="">
      <xdr:nvGraphicFramePr>
        <xdr:cNvPr id="24" name="Chart 23">
          <a:extLst>
            <a:ext uri="{FF2B5EF4-FFF2-40B4-BE49-F238E27FC236}">
              <a16:creationId xmlns:a16="http://schemas.microsoft.com/office/drawing/2014/main" id="{356F37D3-09AC-4848-BEF9-265796612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421821</xdr:colOff>
      <xdr:row>77</xdr:row>
      <xdr:rowOff>40820</xdr:rowOff>
    </xdr:from>
    <xdr:to>
      <xdr:col>46</xdr:col>
      <xdr:colOff>34019</xdr:colOff>
      <xdr:row>91</xdr:row>
      <xdr:rowOff>98198</xdr:rowOff>
    </xdr:to>
    <xdr:graphicFrame macro="">
      <xdr:nvGraphicFramePr>
        <xdr:cNvPr id="25" name="Chart 24">
          <a:extLst>
            <a:ext uri="{FF2B5EF4-FFF2-40B4-BE49-F238E27FC236}">
              <a16:creationId xmlns:a16="http://schemas.microsoft.com/office/drawing/2014/main" id="{D7BFB8E0-3D94-4288-B3C3-0D829DB48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421821</xdr:colOff>
      <xdr:row>92</xdr:row>
      <xdr:rowOff>163284</xdr:rowOff>
    </xdr:from>
    <xdr:to>
      <xdr:col>46</xdr:col>
      <xdr:colOff>34019</xdr:colOff>
      <xdr:row>111</xdr:row>
      <xdr:rowOff>16555</xdr:rowOff>
    </xdr:to>
    <xdr:graphicFrame macro="">
      <xdr:nvGraphicFramePr>
        <xdr:cNvPr id="26" name="Chart 25">
          <a:extLst>
            <a:ext uri="{FF2B5EF4-FFF2-40B4-BE49-F238E27FC236}">
              <a16:creationId xmlns:a16="http://schemas.microsoft.com/office/drawing/2014/main" id="{3665EDE2-59F2-46ED-9D2F-FCE604AC0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421821</xdr:colOff>
      <xdr:row>135</xdr:row>
      <xdr:rowOff>81641</xdr:rowOff>
    </xdr:from>
    <xdr:to>
      <xdr:col>46</xdr:col>
      <xdr:colOff>34019</xdr:colOff>
      <xdr:row>157</xdr:row>
      <xdr:rowOff>16555</xdr:rowOff>
    </xdr:to>
    <xdr:graphicFrame macro="">
      <xdr:nvGraphicFramePr>
        <xdr:cNvPr id="27" name="Chart 26">
          <a:extLst>
            <a:ext uri="{FF2B5EF4-FFF2-40B4-BE49-F238E27FC236}">
              <a16:creationId xmlns:a16="http://schemas.microsoft.com/office/drawing/2014/main" id="{61768622-D899-459B-895E-00C1CFE8E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421821</xdr:colOff>
      <xdr:row>158</xdr:row>
      <xdr:rowOff>81641</xdr:rowOff>
    </xdr:from>
    <xdr:to>
      <xdr:col>46</xdr:col>
      <xdr:colOff>34019</xdr:colOff>
      <xdr:row>180</xdr:row>
      <xdr:rowOff>16555</xdr:rowOff>
    </xdr:to>
    <xdr:graphicFrame macro="">
      <xdr:nvGraphicFramePr>
        <xdr:cNvPr id="28" name="Chart 27">
          <a:extLst>
            <a:ext uri="{FF2B5EF4-FFF2-40B4-BE49-F238E27FC236}">
              <a16:creationId xmlns:a16="http://schemas.microsoft.com/office/drawing/2014/main" id="{32958D5F-A39D-4BA5-A23D-8568B44C7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421821</xdr:colOff>
      <xdr:row>181</xdr:row>
      <xdr:rowOff>81641</xdr:rowOff>
    </xdr:from>
    <xdr:to>
      <xdr:col>46</xdr:col>
      <xdr:colOff>34019</xdr:colOff>
      <xdr:row>203</xdr:row>
      <xdr:rowOff>16555</xdr:rowOff>
    </xdr:to>
    <xdr:graphicFrame macro="">
      <xdr:nvGraphicFramePr>
        <xdr:cNvPr id="29" name="Chart 28">
          <a:extLst>
            <a:ext uri="{FF2B5EF4-FFF2-40B4-BE49-F238E27FC236}">
              <a16:creationId xmlns:a16="http://schemas.microsoft.com/office/drawing/2014/main" id="{A8ADD495-D498-4807-AB59-D0B903744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421821</xdr:colOff>
      <xdr:row>204</xdr:row>
      <xdr:rowOff>81641</xdr:rowOff>
    </xdr:from>
    <xdr:to>
      <xdr:col>46</xdr:col>
      <xdr:colOff>34019</xdr:colOff>
      <xdr:row>226</xdr:row>
      <xdr:rowOff>16555</xdr:rowOff>
    </xdr:to>
    <xdr:graphicFrame macro="">
      <xdr:nvGraphicFramePr>
        <xdr:cNvPr id="30" name="Chart 29">
          <a:extLst>
            <a:ext uri="{FF2B5EF4-FFF2-40B4-BE49-F238E27FC236}">
              <a16:creationId xmlns:a16="http://schemas.microsoft.com/office/drawing/2014/main" id="{BAC9D88E-FFD9-473D-8130-710A30B4A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421821</xdr:colOff>
      <xdr:row>227</xdr:row>
      <xdr:rowOff>81641</xdr:rowOff>
    </xdr:from>
    <xdr:to>
      <xdr:col>46</xdr:col>
      <xdr:colOff>34019</xdr:colOff>
      <xdr:row>249</xdr:row>
      <xdr:rowOff>16555</xdr:rowOff>
    </xdr:to>
    <xdr:graphicFrame macro="">
      <xdr:nvGraphicFramePr>
        <xdr:cNvPr id="31" name="Chart 30">
          <a:extLst>
            <a:ext uri="{FF2B5EF4-FFF2-40B4-BE49-F238E27FC236}">
              <a16:creationId xmlns:a16="http://schemas.microsoft.com/office/drawing/2014/main" id="{90C48483-E878-4B3D-AA13-5E0B39B85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421821</xdr:colOff>
      <xdr:row>250</xdr:row>
      <xdr:rowOff>81641</xdr:rowOff>
    </xdr:from>
    <xdr:to>
      <xdr:col>46</xdr:col>
      <xdr:colOff>34019</xdr:colOff>
      <xdr:row>272</xdr:row>
      <xdr:rowOff>16555</xdr:rowOff>
    </xdr:to>
    <xdr:graphicFrame macro="">
      <xdr:nvGraphicFramePr>
        <xdr:cNvPr id="32" name="Chart 31">
          <a:extLst>
            <a:ext uri="{FF2B5EF4-FFF2-40B4-BE49-F238E27FC236}">
              <a16:creationId xmlns:a16="http://schemas.microsoft.com/office/drawing/2014/main" id="{AF49F4A5-D1BD-435C-93D1-99CE3B44E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421821</xdr:colOff>
      <xdr:row>112</xdr:row>
      <xdr:rowOff>81641</xdr:rowOff>
    </xdr:from>
    <xdr:to>
      <xdr:col>46</xdr:col>
      <xdr:colOff>34019</xdr:colOff>
      <xdr:row>134</xdr:row>
      <xdr:rowOff>16555</xdr:rowOff>
    </xdr:to>
    <xdr:graphicFrame macro="">
      <xdr:nvGraphicFramePr>
        <xdr:cNvPr id="33" name="Chart 32">
          <a:extLst>
            <a:ext uri="{FF2B5EF4-FFF2-40B4-BE49-F238E27FC236}">
              <a16:creationId xmlns:a16="http://schemas.microsoft.com/office/drawing/2014/main" id="{652128DE-6FAD-4F27-BAEB-E78031234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421821</xdr:colOff>
      <xdr:row>273</xdr:row>
      <xdr:rowOff>81641</xdr:rowOff>
    </xdr:from>
    <xdr:to>
      <xdr:col>46</xdr:col>
      <xdr:colOff>34019</xdr:colOff>
      <xdr:row>295</xdr:row>
      <xdr:rowOff>16555</xdr:rowOff>
    </xdr:to>
    <xdr:graphicFrame macro="">
      <xdr:nvGraphicFramePr>
        <xdr:cNvPr id="34" name="Chart 33">
          <a:extLst>
            <a:ext uri="{FF2B5EF4-FFF2-40B4-BE49-F238E27FC236}">
              <a16:creationId xmlns:a16="http://schemas.microsoft.com/office/drawing/2014/main" id="{A62F9473-B2FD-4BC2-BFC7-69127B9B6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421821</xdr:colOff>
      <xdr:row>296</xdr:row>
      <xdr:rowOff>81641</xdr:rowOff>
    </xdr:from>
    <xdr:to>
      <xdr:col>46</xdr:col>
      <xdr:colOff>34019</xdr:colOff>
      <xdr:row>318</xdr:row>
      <xdr:rowOff>16555</xdr:rowOff>
    </xdr:to>
    <xdr:graphicFrame macro="">
      <xdr:nvGraphicFramePr>
        <xdr:cNvPr id="35" name="Chart 34">
          <a:extLst>
            <a:ext uri="{FF2B5EF4-FFF2-40B4-BE49-F238E27FC236}">
              <a16:creationId xmlns:a16="http://schemas.microsoft.com/office/drawing/2014/main" id="{1EF74A7B-FB0D-4E40-8BB1-79FFA0043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43</xdr:col>
      <xdr:colOff>201082</xdr:colOff>
      <xdr:row>27</xdr:row>
      <xdr:rowOff>190499</xdr:rowOff>
    </xdr:from>
    <xdr:to>
      <xdr:col>46</xdr:col>
      <xdr:colOff>95249</xdr:colOff>
      <xdr:row>28</xdr:row>
      <xdr:rowOff>148166</xdr:rowOff>
    </xdr:to>
    <xdr:sp macro="" textlink="">
      <xdr:nvSpPr>
        <xdr:cNvPr id="2" name="TextBox 1">
          <a:extLst>
            <a:ext uri="{FF2B5EF4-FFF2-40B4-BE49-F238E27FC236}">
              <a16:creationId xmlns:a16="http://schemas.microsoft.com/office/drawing/2014/main" id="{F189448B-EC49-4D46-84D6-62F66BBDB16B}"/>
            </a:ext>
          </a:extLst>
        </xdr:cNvPr>
        <xdr:cNvSpPr txBox="1"/>
      </xdr:nvSpPr>
      <xdr:spPr>
        <a:xfrm>
          <a:off x="36311415" y="6222999"/>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 Evaluation Objective</a:t>
          </a:r>
          <a:endParaRPr lang="en-US" sz="800"/>
        </a:p>
      </xdr:txBody>
    </xdr:sp>
    <xdr:clientData/>
  </xdr:twoCellAnchor>
  <xdr:twoCellAnchor>
    <xdr:from>
      <xdr:col>42</xdr:col>
      <xdr:colOff>575732</xdr:colOff>
      <xdr:row>23</xdr:row>
      <xdr:rowOff>88900</xdr:rowOff>
    </xdr:from>
    <xdr:to>
      <xdr:col>45</xdr:col>
      <xdr:colOff>469899</xdr:colOff>
      <xdr:row>24</xdr:row>
      <xdr:rowOff>46567</xdr:rowOff>
    </xdr:to>
    <xdr:sp macro="" textlink="">
      <xdr:nvSpPr>
        <xdr:cNvPr id="36" name="TextBox 35">
          <a:extLst>
            <a:ext uri="{FF2B5EF4-FFF2-40B4-BE49-F238E27FC236}">
              <a16:creationId xmlns:a16="http://schemas.microsoft.com/office/drawing/2014/main" id="{C4F417BD-88C8-4B97-983C-4776A2B5F2BB}"/>
            </a:ext>
          </a:extLst>
        </xdr:cNvPr>
        <xdr:cNvSpPr txBox="1"/>
      </xdr:nvSpPr>
      <xdr:spPr>
        <a:xfrm>
          <a:off x="36072232" y="5359400"/>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 Evaluation Objective</a:t>
          </a:r>
          <a:endParaRPr lang="en-US" sz="800"/>
        </a:p>
      </xdr:txBody>
    </xdr:sp>
    <xdr:clientData/>
  </xdr:twoCellAnchor>
  <xdr:twoCellAnchor>
    <xdr:from>
      <xdr:col>41</xdr:col>
      <xdr:colOff>357715</xdr:colOff>
      <xdr:row>26</xdr:row>
      <xdr:rowOff>29633</xdr:rowOff>
    </xdr:from>
    <xdr:to>
      <xdr:col>44</xdr:col>
      <xdr:colOff>251882</xdr:colOff>
      <xdr:row>26</xdr:row>
      <xdr:rowOff>177800</xdr:rowOff>
    </xdr:to>
    <xdr:sp macro="" textlink="">
      <xdr:nvSpPr>
        <xdr:cNvPr id="37" name="TextBox 36">
          <a:extLst>
            <a:ext uri="{FF2B5EF4-FFF2-40B4-BE49-F238E27FC236}">
              <a16:creationId xmlns:a16="http://schemas.microsoft.com/office/drawing/2014/main" id="{98613398-470D-4949-B4FA-DC150E1E94B5}"/>
            </a:ext>
          </a:extLst>
        </xdr:cNvPr>
        <xdr:cNvSpPr txBox="1"/>
      </xdr:nvSpPr>
      <xdr:spPr>
        <a:xfrm>
          <a:off x="35240382" y="5871633"/>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3 Evaluation Objectives</a:t>
          </a:r>
          <a:endParaRPr lang="en-US" sz="800"/>
        </a:p>
      </xdr:txBody>
    </xdr:sp>
    <xdr:clientData/>
  </xdr:twoCellAnchor>
  <xdr:twoCellAnchor>
    <xdr:from>
      <xdr:col>38</xdr:col>
      <xdr:colOff>203198</xdr:colOff>
      <xdr:row>28</xdr:row>
      <xdr:rowOff>160867</xdr:rowOff>
    </xdr:from>
    <xdr:to>
      <xdr:col>41</xdr:col>
      <xdr:colOff>264583</xdr:colOff>
      <xdr:row>29</xdr:row>
      <xdr:rowOff>105834</xdr:rowOff>
    </xdr:to>
    <xdr:sp macro="" textlink="">
      <xdr:nvSpPr>
        <xdr:cNvPr id="38" name="TextBox 37">
          <a:extLst>
            <a:ext uri="{FF2B5EF4-FFF2-40B4-BE49-F238E27FC236}">
              <a16:creationId xmlns:a16="http://schemas.microsoft.com/office/drawing/2014/main" id="{4B66A06C-78BC-4AFA-8D4A-DDBB368EDC6D}"/>
            </a:ext>
          </a:extLst>
        </xdr:cNvPr>
        <xdr:cNvSpPr txBox="1"/>
      </xdr:nvSpPr>
      <xdr:spPr>
        <a:xfrm>
          <a:off x="33244365" y="6383867"/>
          <a:ext cx="1902885" cy="135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12 Evaluation Objectives</a:t>
          </a:r>
          <a:endParaRPr lang="en-US" sz="800"/>
        </a:p>
      </xdr:txBody>
    </xdr:sp>
    <xdr:clientData/>
  </xdr:twoCellAnchor>
  <xdr:twoCellAnchor>
    <xdr:from>
      <xdr:col>43</xdr:col>
      <xdr:colOff>78315</xdr:colOff>
      <xdr:row>45</xdr:row>
      <xdr:rowOff>162982</xdr:rowOff>
    </xdr:from>
    <xdr:to>
      <xdr:col>45</xdr:col>
      <xdr:colOff>586315</xdr:colOff>
      <xdr:row>46</xdr:row>
      <xdr:rowOff>120649</xdr:rowOff>
    </xdr:to>
    <xdr:sp macro="" textlink="">
      <xdr:nvSpPr>
        <xdr:cNvPr id="39" name="TextBox 38">
          <a:extLst>
            <a:ext uri="{FF2B5EF4-FFF2-40B4-BE49-F238E27FC236}">
              <a16:creationId xmlns:a16="http://schemas.microsoft.com/office/drawing/2014/main" id="{C2A42905-3ABE-41BA-B76C-2E8F79DE3482}"/>
            </a:ext>
          </a:extLst>
        </xdr:cNvPr>
        <xdr:cNvSpPr txBox="1"/>
      </xdr:nvSpPr>
      <xdr:spPr>
        <a:xfrm>
          <a:off x="36188648" y="10449982"/>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 Evaluation Objective</a:t>
          </a:r>
          <a:endParaRPr lang="en-US" sz="800"/>
        </a:p>
      </xdr:txBody>
    </xdr:sp>
    <xdr:clientData/>
  </xdr:twoCellAnchor>
  <xdr:twoCellAnchor>
    <xdr:from>
      <xdr:col>42</xdr:col>
      <xdr:colOff>452965</xdr:colOff>
      <xdr:row>41</xdr:row>
      <xdr:rowOff>82549</xdr:rowOff>
    </xdr:from>
    <xdr:to>
      <xdr:col>45</xdr:col>
      <xdr:colOff>347132</xdr:colOff>
      <xdr:row>42</xdr:row>
      <xdr:rowOff>40216</xdr:rowOff>
    </xdr:to>
    <xdr:sp macro="" textlink="">
      <xdr:nvSpPr>
        <xdr:cNvPr id="40" name="TextBox 39">
          <a:extLst>
            <a:ext uri="{FF2B5EF4-FFF2-40B4-BE49-F238E27FC236}">
              <a16:creationId xmlns:a16="http://schemas.microsoft.com/office/drawing/2014/main" id="{EA94A152-165F-4074-BCB0-D06ACF1490E1}"/>
            </a:ext>
          </a:extLst>
        </xdr:cNvPr>
        <xdr:cNvSpPr txBox="1"/>
      </xdr:nvSpPr>
      <xdr:spPr>
        <a:xfrm>
          <a:off x="35949465" y="9607549"/>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 Evaluation Objective</a:t>
          </a:r>
          <a:endParaRPr lang="en-US" sz="800"/>
        </a:p>
      </xdr:txBody>
    </xdr:sp>
    <xdr:clientData/>
  </xdr:twoCellAnchor>
  <xdr:twoCellAnchor>
    <xdr:from>
      <xdr:col>41</xdr:col>
      <xdr:colOff>393698</xdr:colOff>
      <xdr:row>44</xdr:row>
      <xdr:rowOff>23282</xdr:rowOff>
    </xdr:from>
    <xdr:to>
      <xdr:col>44</xdr:col>
      <xdr:colOff>287865</xdr:colOff>
      <xdr:row>44</xdr:row>
      <xdr:rowOff>171449</xdr:rowOff>
    </xdr:to>
    <xdr:sp macro="" textlink="">
      <xdr:nvSpPr>
        <xdr:cNvPr id="41" name="TextBox 40">
          <a:extLst>
            <a:ext uri="{FF2B5EF4-FFF2-40B4-BE49-F238E27FC236}">
              <a16:creationId xmlns:a16="http://schemas.microsoft.com/office/drawing/2014/main" id="{46630131-6BA2-41A4-B92F-8B8DCD3B3676}"/>
            </a:ext>
          </a:extLst>
        </xdr:cNvPr>
        <xdr:cNvSpPr txBox="1"/>
      </xdr:nvSpPr>
      <xdr:spPr>
        <a:xfrm>
          <a:off x="35276365" y="10119782"/>
          <a:ext cx="1735667" cy="148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3 Evaluation Objectives</a:t>
          </a:r>
          <a:endParaRPr lang="en-US" sz="800"/>
        </a:p>
      </xdr:txBody>
    </xdr:sp>
    <xdr:clientData/>
  </xdr:twoCellAnchor>
  <xdr:twoCellAnchor>
    <xdr:from>
      <xdr:col>38</xdr:col>
      <xdr:colOff>366181</xdr:colOff>
      <xdr:row>46</xdr:row>
      <xdr:rowOff>154516</xdr:rowOff>
    </xdr:from>
    <xdr:to>
      <xdr:col>41</xdr:col>
      <xdr:colOff>427566</xdr:colOff>
      <xdr:row>47</xdr:row>
      <xdr:rowOff>99483</xdr:rowOff>
    </xdr:to>
    <xdr:sp macro="" textlink="">
      <xdr:nvSpPr>
        <xdr:cNvPr id="42" name="TextBox 41">
          <a:extLst>
            <a:ext uri="{FF2B5EF4-FFF2-40B4-BE49-F238E27FC236}">
              <a16:creationId xmlns:a16="http://schemas.microsoft.com/office/drawing/2014/main" id="{30D20E0F-46DA-451E-98B3-2445E55E7313}"/>
            </a:ext>
          </a:extLst>
        </xdr:cNvPr>
        <xdr:cNvSpPr txBox="1"/>
      </xdr:nvSpPr>
      <xdr:spPr>
        <a:xfrm>
          <a:off x="33407348" y="10632016"/>
          <a:ext cx="1902885" cy="135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lang="en-US" sz="800"/>
            <a:t>NOt scored </a:t>
          </a:r>
          <a:r>
            <a:rPr lang="en-US" sz="800" baseline="0"/>
            <a:t>for 12 Evaluation Objectives</a:t>
          </a:r>
          <a:endParaRPr lang="en-US" sz="800"/>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357188</xdr:colOff>
      <xdr:row>399</xdr:row>
      <xdr:rowOff>11907</xdr:rowOff>
    </xdr:from>
    <xdr:to>
      <xdr:col>26</xdr:col>
      <xdr:colOff>297656</xdr:colOff>
      <xdr:row>419</xdr:row>
      <xdr:rowOff>59529</xdr:rowOff>
    </xdr:to>
    <xdr:grpSp>
      <xdr:nvGrpSpPr>
        <xdr:cNvPr id="2" name="Group 1">
          <a:extLst>
            <a:ext uri="{FF2B5EF4-FFF2-40B4-BE49-F238E27FC236}">
              <a16:creationId xmlns:a16="http://schemas.microsoft.com/office/drawing/2014/main" id="{58F06C70-7205-4E35-A819-32F4DF5209B0}"/>
            </a:ext>
          </a:extLst>
        </xdr:cNvPr>
        <xdr:cNvGrpSpPr/>
      </xdr:nvGrpSpPr>
      <xdr:grpSpPr>
        <a:xfrm>
          <a:off x="14227969" y="6417470"/>
          <a:ext cx="8215312" cy="3857622"/>
          <a:chOff x="14311313" y="4342942"/>
          <a:chExt cx="8215312" cy="4369592"/>
        </a:xfrm>
      </xdr:grpSpPr>
      <xdr:sp macro="" textlink="">
        <xdr:nvSpPr>
          <xdr:cNvPr id="4" name="Rectangle 3">
            <a:extLst>
              <a:ext uri="{FF2B5EF4-FFF2-40B4-BE49-F238E27FC236}">
                <a16:creationId xmlns:a16="http://schemas.microsoft.com/office/drawing/2014/main" id="{F49AF5FC-2FC6-4E76-A774-02D0782C2E29}"/>
              </a:ext>
            </a:extLst>
          </xdr:cNvPr>
          <xdr:cNvSpPr/>
        </xdr:nvSpPr>
        <xdr:spPr>
          <a:xfrm>
            <a:off x="14311313" y="4342942"/>
            <a:ext cx="8215312" cy="4369592"/>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Project Complexity and Feasibility Performance Measure associated with the Project Complexity Evaluation Objective.</a:t>
            </a:r>
          </a:p>
        </xdr:txBody>
      </xdr:sp>
      <xdr:pic>
        <xdr:nvPicPr>
          <xdr:cNvPr id="5" name="Picture 4">
            <a:extLst>
              <a:ext uri="{FF2B5EF4-FFF2-40B4-BE49-F238E27FC236}">
                <a16:creationId xmlns:a16="http://schemas.microsoft.com/office/drawing/2014/main" id="{10F68373-005C-424C-A425-199B9BBC3DF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54188" y="4450099"/>
            <a:ext cx="7356204" cy="3758187"/>
          </a:xfrm>
          <a:prstGeom prst="rect">
            <a:avLst/>
          </a:prstGeom>
          <a:noFill/>
          <a:ln>
            <a:noFill/>
          </a:ln>
        </xdr:spPr>
      </xdr:pic>
    </xdr:grpSp>
    <xdr:clientData/>
  </xdr:twoCellAnchor>
  <xdr:twoCellAnchor editAs="absolute">
    <xdr:from>
      <xdr:col>12</xdr:col>
      <xdr:colOff>333375</xdr:colOff>
      <xdr:row>5</xdr:row>
      <xdr:rowOff>83342</xdr:rowOff>
    </xdr:from>
    <xdr:to>
      <xdr:col>22</xdr:col>
      <xdr:colOff>159542</xdr:colOff>
      <xdr:row>397</xdr:row>
      <xdr:rowOff>119060</xdr:rowOff>
    </xdr:to>
    <xdr:grpSp>
      <xdr:nvGrpSpPr>
        <xdr:cNvPr id="7" name="Group 6">
          <a:extLst>
            <a:ext uri="{FF2B5EF4-FFF2-40B4-BE49-F238E27FC236}">
              <a16:creationId xmlns:a16="http://schemas.microsoft.com/office/drawing/2014/main" id="{DCD396B1-FAB4-4F28-A53E-6C72012D1FBB}"/>
            </a:ext>
          </a:extLst>
        </xdr:cNvPr>
        <xdr:cNvGrpSpPr/>
      </xdr:nvGrpSpPr>
      <xdr:grpSpPr>
        <a:xfrm>
          <a:off x="14204156" y="1250155"/>
          <a:ext cx="5672136" cy="4893468"/>
          <a:chOff x="14275594" y="1369219"/>
          <a:chExt cx="5672136" cy="2919065"/>
        </a:xfrm>
      </xdr:grpSpPr>
      <xdr:sp macro="" textlink="">
        <xdr:nvSpPr>
          <xdr:cNvPr id="3" name="Rectangle 2">
            <a:extLst>
              <a:ext uri="{FF2B5EF4-FFF2-40B4-BE49-F238E27FC236}">
                <a16:creationId xmlns:a16="http://schemas.microsoft.com/office/drawing/2014/main" id="{480CF6A4-A30D-42A0-B915-CB9E17EEBA5E}"/>
              </a:ext>
            </a:extLst>
          </xdr:cNvPr>
          <xdr:cNvSpPr/>
        </xdr:nvSpPr>
        <xdr:spPr>
          <a:xfrm>
            <a:off x="14275594" y="1369219"/>
            <a:ext cx="5672136" cy="2919065"/>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Project Complexity Evaluation Objective.</a:t>
            </a:r>
          </a:p>
        </xdr:txBody>
      </xdr:sp>
      <xdr:pic>
        <xdr:nvPicPr>
          <xdr:cNvPr id="6" name="Picture 5">
            <a:extLst>
              <a:ext uri="{FF2B5EF4-FFF2-40B4-BE49-F238E27FC236}">
                <a16:creationId xmlns:a16="http://schemas.microsoft.com/office/drawing/2014/main" id="{4F563587-89BC-4287-A148-41970B0015C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6250" y="1512093"/>
            <a:ext cx="2969973" cy="2534926"/>
          </a:xfrm>
          <a:prstGeom prst="rect">
            <a:avLst/>
          </a:prstGeom>
          <a:noFill/>
        </xdr:spPr>
      </xdr:pic>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15</xdr:col>
      <xdr:colOff>345281</xdr:colOff>
      <xdr:row>243</xdr:row>
      <xdr:rowOff>166689</xdr:rowOff>
    </xdr:from>
    <xdr:to>
      <xdr:col>26</xdr:col>
      <xdr:colOff>559593</xdr:colOff>
      <xdr:row>271</xdr:row>
      <xdr:rowOff>0</xdr:rowOff>
    </xdr:to>
    <xdr:grpSp>
      <xdr:nvGrpSpPr>
        <xdr:cNvPr id="8" name="Group 7">
          <a:extLst>
            <a:ext uri="{FF2B5EF4-FFF2-40B4-BE49-F238E27FC236}">
              <a16:creationId xmlns:a16="http://schemas.microsoft.com/office/drawing/2014/main" id="{21C1D9FF-9772-49AA-AA26-2D7F12A79B2F}"/>
            </a:ext>
          </a:extLst>
        </xdr:cNvPr>
        <xdr:cNvGrpSpPr/>
      </xdr:nvGrpSpPr>
      <xdr:grpSpPr>
        <a:xfrm>
          <a:off x="10084594" y="6536533"/>
          <a:ext cx="6667499" cy="5167311"/>
          <a:chOff x="19788188" y="5393533"/>
          <a:chExt cx="6667499" cy="5167311"/>
        </a:xfrm>
      </xdr:grpSpPr>
      <xdr:sp macro="" textlink="">
        <xdr:nvSpPr>
          <xdr:cNvPr id="5" name="Rectangle 4">
            <a:extLst>
              <a:ext uri="{FF2B5EF4-FFF2-40B4-BE49-F238E27FC236}">
                <a16:creationId xmlns:a16="http://schemas.microsoft.com/office/drawing/2014/main" id="{C8E77FBF-6B65-43D8-AE74-3B2395D3067A}"/>
              </a:ext>
            </a:extLst>
          </xdr:cNvPr>
          <xdr:cNvSpPr/>
        </xdr:nvSpPr>
        <xdr:spPr>
          <a:xfrm>
            <a:off x="19788188" y="5393533"/>
            <a:ext cx="6667499" cy="516731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Impacts to Ecosystems Performance Measure associated with the Protect Habitats, Wildlife and Ecosystem Services Evaluation Objective.</a:t>
            </a:r>
          </a:p>
        </xdr:txBody>
      </xdr:sp>
      <xdr:pic>
        <xdr:nvPicPr>
          <xdr:cNvPr id="2" name="Picture 1">
            <a:extLst>
              <a:ext uri="{FF2B5EF4-FFF2-40B4-BE49-F238E27FC236}">
                <a16:creationId xmlns:a16="http://schemas.microsoft.com/office/drawing/2014/main" id="{F7423DED-35A7-48EF-B9E2-44BA5B147D7B}"/>
              </a:ext>
            </a:extLst>
          </xdr:cNvPr>
          <xdr:cNvPicPr>
            <a:picLocks noChangeAspect="1"/>
          </xdr:cNvPicPr>
        </xdr:nvPicPr>
        <xdr:blipFill>
          <a:blip xmlns:r="http://schemas.openxmlformats.org/officeDocument/2006/relationships" r:embed="rId1"/>
          <a:stretch>
            <a:fillRect/>
          </a:stretch>
        </xdr:blipFill>
        <xdr:spPr>
          <a:xfrm>
            <a:off x="20276345" y="5524500"/>
            <a:ext cx="5723421" cy="4452904"/>
          </a:xfrm>
          <a:prstGeom prst="rect">
            <a:avLst/>
          </a:prstGeom>
        </xdr:spPr>
      </xdr:pic>
    </xdr:grpSp>
    <xdr:clientData/>
  </xdr:twoCellAnchor>
  <xdr:twoCellAnchor editAs="absolute">
    <xdr:from>
      <xdr:col>15</xdr:col>
      <xdr:colOff>352423</xdr:colOff>
      <xdr:row>272</xdr:row>
      <xdr:rowOff>80963</xdr:rowOff>
    </xdr:from>
    <xdr:to>
      <xdr:col>26</xdr:col>
      <xdr:colOff>583405</xdr:colOff>
      <xdr:row>298</xdr:row>
      <xdr:rowOff>142874</xdr:rowOff>
    </xdr:to>
    <xdr:grpSp>
      <xdr:nvGrpSpPr>
        <xdr:cNvPr id="10" name="Group 9">
          <a:extLst>
            <a:ext uri="{FF2B5EF4-FFF2-40B4-BE49-F238E27FC236}">
              <a16:creationId xmlns:a16="http://schemas.microsoft.com/office/drawing/2014/main" id="{6CBF397E-B40C-4A36-9DC4-A07FCD976215}"/>
            </a:ext>
          </a:extLst>
        </xdr:cNvPr>
        <xdr:cNvGrpSpPr/>
      </xdr:nvGrpSpPr>
      <xdr:grpSpPr>
        <a:xfrm>
          <a:off x="10091736" y="11975307"/>
          <a:ext cx="6684169" cy="5014911"/>
          <a:chOff x="19783424" y="10796588"/>
          <a:chExt cx="6684169" cy="5014911"/>
        </a:xfrm>
      </xdr:grpSpPr>
      <xdr:sp macro="" textlink="">
        <xdr:nvSpPr>
          <xdr:cNvPr id="9" name="Rectangle 8">
            <a:extLst>
              <a:ext uri="{FF2B5EF4-FFF2-40B4-BE49-F238E27FC236}">
                <a16:creationId xmlns:a16="http://schemas.microsoft.com/office/drawing/2014/main" id="{8427AC91-F2BD-49D8-B4DE-29348CC0AB51}"/>
              </a:ext>
            </a:extLst>
          </xdr:cNvPr>
          <xdr:cNvSpPr/>
        </xdr:nvSpPr>
        <xdr:spPr>
          <a:xfrm>
            <a:off x="19783424" y="10796588"/>
            <a:ext cx="6684169" cy="501491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Impacts</a:t>
            </a:r>
            <a:r>
              <a:rPr lang="en-US" sz="1100" b="1" baseline="0">
                <a:solidFill>
                  <a:sysClr val="windowText" lastClr="000000"/>
                </a:solidFill>
                <a:effectLst/>
                <a:latin typeface="+mn-lt"/>
                <a:ea typeface="+mn-ea"/>
                <a:cs typeface="+mn-cs"/>
              </a:rPr>
              <a:t> to</a:t>
            </a:r>
            <a:r>
              <a:rPr lang="en-US" sz="1100" b="1">
                <a:solidFill>
                  <a:sysClr val="windowText" lastClr="000000"/>
                </a:solidFill>
                <a:effectLst/>
                <a:latin typeface="+mn-lt"/>
                <a:ea typeface="+mn-ea"/>
                <a:cs typeface="+mn-cs"/>
              </a:rPr>
              <a:t> Threatened and Endangered Species Performance Measure associated with the Impacts to Ecosystems Evaluation Objective.</a:t>
            </a:r>
          </a:p>
        </xdr:txBody>
      </xdr:sp>
      <xdr:pic>
        <xdr:nvPicPr>
          <xdr:cNvPr id="3" name="Picture 2">
            <a:extLst>
              <a:ext uri="{FF2B5EF4-FFF2-40B4-BE49-F238E27FC236}">
                <a16:creationId xmlns:a16="http://schemas.microsoft.com/office/drawing/2014/main" id="{0B2AC116-637E-42E8-81F7-603D39E723C9}"/>
              </a:ext>
            </a:extLst>
          </xdr:cNvPr>
          <xdr:cNvPicPr>
            <a:picLocks noChangeAspect="1"/>
          </xdr:cNvPicPr>
        </xdr:nvPicPr>
        <xdr:blipFill>
          <a:blip xmlns:r="http://schemas.openxmlformats.org/officeDocument/2006/relationships" r:embed="rId2"/>
          <a:stretch>
            <a:fillRect/>
          </a:stretch>
        </xdr:blipFill>
        <xdr:spPr>
          <a:xfrm>
            <a:off x="20240626" y="10870408"/>
            <a:ext cx="5720982" cy="4496799"/>
          </a:xfrm>
          <a:prstGeom prst="rect">
            <a:avLst/>
          </a:prstGeom>
        </xdr:spPr>
      </xdr:pic>
    </xdr:grpSp>
    <xdr:clientData/>
  </xdr:twoCellAnchor>
  <xdr:twoCellAnchor editAs="absolute">
    <xdr:from>
      <xdr:col>15</xdr:col>
      <xdr:colOff>366711</xdr:colOff>
      <xdr:row>300</xdr:row>
      <xdr:rowOff>23814</xdr:rowOff>
    </xdr:from>
    <xdr:to>
      <xdr:col>26</xdr:col>
      <xdr:colOff>583406</xdr:colOff>
      <xdr:row>327</xdr:row>
      <xdr:rowOff>71437</xdr:rowOff>
    </xdr:to>
    <xdr:grpSp>
      <xdr:nvGrpSpPr>
        <xdr:cNvPr id="12" name="Group 11">
          <a:extLst>
            <a:ext uri="{FF2B5EF4-FFF2-40B4-BE49-F238E27FC236}">
              <a16:creationId xmlns:a16="http://schemas.microsoft.com/office/drawing/2014/main" id="{779C5FAB-E4E4-448B-AEDD-84AE7CC7A8FE}"/>
            </a:ext>
          </a:extLst>
        </xdr:cNvPr>
        <xdr:cNvGrpSpPr/>
      </xdr:nvGrpSpPr>
      <xdr:grpSpPr>
        <a:xfrm>
          <a:off x="10106024" y="17252158"/>
          <a:ext cx="6669882" cy="5191123"/>
          <a:chOff x="19797712" y="16073439"/>
          <a:chExt cx="6669882" cy="5191123"/>
        </a:xfrm>
      </xdr:grpSpPr>
      <xdr:sp macro="" textlink="">
        <xdr:nvSpPr>
          <xdr:cNvPr id="11" name="Rectangle 10">
            <a:extLst>
              <a:ext uri="{FF2B5EF4-FFF2-40B4-BE49-F238E27FC236}">
                <a16:creationId xmlns:a16="http://schemas.microsoft.com/office/drawing/2014/main" id="{94193AC4-EC7D-40B3-9B9F-8BB3AF34583A}"/>
              </a:ext>
            </a:extLst>
          </xdr:cNvPr>
          <xdr:cNvSpPr/>
        </xdr:nvSpPr>
        <xdr:spPr>
          <a:xfrm>
            <a:off x="19797712" y="16073439"/>
            <a:ext cx="6669882" cy="5191123"/>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Impacts</a:t>
            </a:r>
            <a:r>
              <a:rPr lang="en-US" sz="1100" b="1" baseline="0">
                <a:solidFill>
                  <a:sysClr val="windowText" lastClr="000000"/>
                </a:solidFill>
                <a:effectLst/>
                <a:latin typeface="+mn-lt"/>
                <a:ea typeface="+mn-ea"/>
                <a:cs typeface="+mn-cs"/>
              </a:rPr>
              <a:t> to</a:t>
            </a:r>
            <a:r>
              <a:rPr lang="en-US" sz="1100" b="1">
                <a:solidFill>
                  <a:sysClr val="windowText" lastClr="000000"/>
                </a:solidFill>
                <a:effectLst/>
                <a:latin typeface="+mn-lt"/>
                <a:ea typeface="+mn-ea"/>
                <a:cs typeface="+mn-cs"/>
              </a:rPr>
              <a:t> Native Species Performance Measure associated with the Impacts to Ecosystems Evaluation Objective.</a:t>
            </a:r>
          </a:p>
        </xdr:txBody>
      </xdr:sp>
      <xdr:pic>
        <xdr:nvPicPr>
          <xdr:cNvPr id="6" name="Picture 5">
            <a:extLst>
              <a:ext uri="{FF2B5EF4-FFF2-40B4-BE49-F238E27FC236}">
                <a16:creationId xmlns:a16="http://schemas.microsoft.com/office/drawing/2014/main" id="{00F9B260-8849-4F28-9D39-A121450677DA}"/>
              </a:ext>
            </a:extLst>
          </xdr:cNvPr>
          <xdr:cNvPicPr>
            <a:picLocks noChangeAspect="1"/>
          </xdr:cNvPicPr>
        </xdr:nvPicPr>
        <xdr:blipFill>
          <a:blip xmlns:r="http://schemas.openxmlformats.org/officeDocument/2006/relationships" r:embed="rId3"/>
          <a:stretch>
            <a:fillRect/>
          </a:stretch>
        </xdr:blipFill>
        <xdr:spPr>
          <a:xfrm>
            <a:off x="20216814" y="16168689"/>
            <a:ext cx="5723421" cy="4560203"/>
          </a:xfrm>
          <a:prstGeom prst="rect">
            <a:avLst/>
          </a:prstGeom>
        </xdr:spPr>
      </xdr:pic>
    </xdr:grpSp>
    <xdr:clientData/>
  </xdr:twoCellAnchor>
  <xdr:twoCellAnchor editAs="absolute">
    <xdr:from>
      <xdr:col>15</xdr:col>
      <xdr:colOff>345281</xdr:colOff>
      <xdr:row>4</xdr:row>
      <xdr:rowOff>142874</xdr:rowOff>
    </xdr:from>
    <xdr:to>
      <xdr:col>25</xdr:col>
      <xdr:colOff>171449</xdr:colOff>
      <xdr:row>242</xdr:row>
      <xdr:rowOff>166687</xdr:rowOff>
    </xdr:to>
    <xdr:grpSp>
      <xdr:nvGrpSpPr>
        <xdr:cNvPr id="13" name="Group 12">
          <a:extLst>
            <a:ext uri="{FF2B5EF4-FFF2-40B4-BE49-F238E27FC236}">
              <a16:creationId xmlns:a16="http://schemas.microsoft.com/office/drawing/2014/main" id="{48931F83-5FFC-450B-8375-C6F96C2CF5F2}"/>
            </a:ext>
          </a:extLst>
        </xdr:cNvPr>
        <xdr:cNvGrpSpPr/>
      </xdr:nvGrpSpPr>
      <xdr:grpSpPr>
        <a:xfrm>
          <a:off x="10084594" y="1095374"/>
          <a:ext cx="5672136" cy="5250657"/>
          <a:chOff x="19800094" y="714374"/>
          <a:chExt cx="5672136" cy="5203032"/>
        </a:xfrm>
      </xdr:grpSpPr>
      <xdr:sp macro="" textlink="">
        <xdr:nvSpPr>
          <xdr:cNvPr id="4" name="Rectangle 3">
            <a:extLst>
              <a:ext uri="{FF2B5EF4-FFF2-40B4-BE49-F238E27FC236}">
                <a16:creationId xmlns:a16="http://schemas.microsoft.com/office/drawing/2014/main" id="{89187C18-0CAA-4D5C-8034-01983D258EF2}"/>
              </a:ext>
            </a:extLst>
          </xdr:cNvPr>
          <xdr:cNvSpPr/>
        </xdr:nvSpPr>
        <xdr:spPr>
          <a:xfrm>
            <a:off x="19800094" y="714374"/>
            <a:ext cx="5672136" cy="5203032"/>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Protect Habitats, Wildlife and Ecosystem Services Evaluation Objective.</a:t>
            </a:r>
          </a:p>
        </xdr:txBody>
      </xdr:sp>
      <xdr:pic>
        <xdr:nvPicPr>
          <xdr:cNvPr id="7" name="Picture 6">
            <a:extLst>
              <a:ext uri="{FF2B5EF4-FFF2-40B4-BE49-F238E27FC236}">
                <a16:creationId xmlns:a16="http://schemas.microsoft.com/office/drawing/2014/main" id="{71709B4D-F9FD-4C73-B626-C0D8E22669E3}"/>
              </a:ext>
            </a:extLst>
          </xdr:cNvPr>
          <xdr:cNvPicPr>
            <a:picLocks noChangeAspect="1"/>
          </xdr:cNvPicPr>
        </xdr:nvPicPr>
        <xdr:blipFill>
          <a:blip xmlns:r="http://schemas.openxmlformats.org/officeDocument/2006/relationships" r:embed="rId4"/>
          <a:stretch>
            <a:fillRect/>
          </a:stretch>
        </xdr:blipFill>
        <xdr:spPr>
          <a:xfrm>
            <a:off x="20574000" y="857251"/>
            <a:ext cx="4472413" cy="4755292"/>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12</xdr:col>
      <xdr:colOff>321468</xdr:colOff>
      <xdr:row>398</xdr:row>
      <xdr:rowOff>90490</xdr:rowOff>
    </xdr:from>
    <xdr:to>
      <xdr:col>25</xdr:col>
      <xdr:colOff>273843</xdr:colOff>
      <xdr:row>416</xdr:row>
      <xdr:rowOff>45247</xdr:rowOff>
    </xdr:to>
    <xdr:grpSp>
      <xdr:nvGrpSpPr>
        <xdr:cNvPr id="8" name="Group 7">
          <a:extLst>
            <a:ext uri="{FF2B5EF4-FFF2-40B4-BE49-F238E27FC236}">
              <a16:creationId xmlns:a16="http://schemas.microsoft.com/office/drawing/2014/main" id="{8F700C9F-BC41-489A-BFF5-2A834CF116F8}"/>
            </a:ext>
          </a:extLst>
        </xdr:cNvPr>
        <xdr:cNvGrpSpPr/>
      </xdr:nvGrpSpPr>
      <xdr:grpSpPr>
        <a:xfrm>
          <a:off x="13930312" y="6305553"/>
          <a:ext cx="7631906" cy="3383757"/>
          <a:chOff x="13906425" y="5325474"/>
          <a:chExt cx="7620000" cy="3290801"/>
        </a:xfrm>
      </xdr:grpSpPr>
      <xdr:sp macro="" textlink="">
        <xdr:nvSpPr>
          <xdr:cNvPr id="3" name="Rectangle 2">
            <a:extLst>
              <a:ext uri="{FF2B5EF4-FFF2-40B4-BE49-F238E27FC236}">
                <a16:creationId xmlns:a16="http://schemas.microsoft.com/office/drawing/2014/main" id="{A65D1135-7AB8-4F35-B53D-36D3CC08E95F}"/>
              </a:ext>
            </a:extLst>
          </xdr:cNvPr>
          <xdr:cNvSpPr/>
        </xdr:nvSpPr>
        <xdr:spPr>
          <a:xfrm>
            <a:off x="13906425" y="5325474"/>
            <a:ext cx="7620000" cy="329080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Project Phasing Performance Measure associated with the Provide for Scalability of Implementation Evaluation Objective.</a:t>
            </a:r>
          </a:p>
        </xdr:txBody>
      </xdr:sp>
      <xdr:pic>
        <xdr:nvPicPr>
          <xdr:cNvPr id="6" name="Picture 5">
            <a:extLst>
              <a:ext uri="{FF2B5EF4-FFF2-40B4-BE49-F238E27FC236}">
                <a16:creationId xmlns:a16="http://schemas.microsoft.com/office/drawing/2014/main" id="{EB2E6461-B5E3-4B49-9BD7-D81476C7CB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82680" y="5512434"/>
            <a:ext cx="5731898" cy="2704927"/>
          </a:xfrm>
          <a:prstGeom prst="rect">
            <a:avLst/>
          </a:prstGeom>
          <a:noFill/>
          <a:ln>
            <a:noFill/>
          </a:ln>
        </xdr:spPr>
      </xdr:pic>
    </xdr:grpSp>
    <xdr:clientData/>
  </xdr:twoCellAnchor>
  <xdr:twoCellAnchor editAs="absolute">
    <xdr:from>
      <xdr:col>12</xdr:col>
      <xdr:colOff>321469</xdr:colOff>
      <xdr:row>4</xdr:row>
      <xdr:rowOff>190501</xdr:rowOff>
    </xdr:from>
    <xdr:to>
      <xdr:col>22</xdr:col>
      <xdr:colOff>135730</xdr:colOff>
      <xdr:row>397</xdr:row>
      <xdr:rowOff>23812</xdr:rowOff>
    </xdr:to>
    <xdr:grpSp>
      <xdr:nvGrpSpPr>
        <xdr:cNvPr id="2" name="Group 1">
          <a:extLst>
            <a:ext uri="{FF2B5EF4-FFF2-40B4-BE49-F238E27FC236}">
              <a16:creationId xmlns:a16="http://schemas.microsoft.com/office/drawing/2014/main" id="{06A3D7A7-79D4-4E8C-A84E-2774D96EBFEB}"/>
            </a:ext>
          </a:extLst>
        </xdr:cNvPr>
        <xdr:cNvGrpSpPr/>
      </xdr:nvGrpSpPr>
      <xdr:grpSpPr>
        <a:xfrm>
          <a:off x="13930313" y="1131095"/>
          <a:ext cx="5672136" cy="4917280"/>
          <a:chOff x="25169813" y="1369220"/>
          <a:chExt cx="5672136" cy="4917280"/>
        </a:xfrm>
      </xdr:grpSpPr>
      <xdr:sp macro="" textlink="">
        <xdr:nvSpPr>
          <xdr:cNvPr id="4" name="Rectangle 3">
            <a:extLst>
              <a:ext uri="{FF2B5EF4-FFF2-40B4-BE49-F238E27FC236}">
                <a16:creationId xmlns:a16="http://schemas.microsoft.com/office/drawing/2014/main" id="{0E2362D1-738D-43DF-A984-0066B2DA4FB1}"/>
              </a:ext>
            </a:extLst>
          </xdr:cNvPr>
          <xdr:cNvSpPr/>
        </xdr:nvSpPr>
        <xdr:spPr>
          <a:xfrm>
            <a:off x="25169813" y="1369220"/>
            <a:ext cx="5672136" cy="4917280"/>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Provide for Scalability of Implementation Evaluation Objective.</a:t>
            </a:r>
          </a:p>
        </xdr:txBody>
      </xdr:sp>
      <xdr:pic>
        <xdr:nvPicPr>
          <xdr:cNvPr id="10" name="Picture 9">
            <a:extLst>
              <a:ext uri="{FF2B5EF4-FFF2-40B4-BE49-F238E27FC236}">
                <a16:creationId xmlns:a16="http://schemas.microsoft.com/office/drawing/2014/main" id="{C48A87CB-9FC0-4A7F-8008-C1C74863D5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96157" y="1503823"/>
            <a:ext cx="3182681" cy="4522757"/>
          </a:xfrm>
          <a:prstGeom prst="rect">
            <a:avLst/>
          </a:prstGeom>
          <a:noFill/>
        </xdr:spPr>
      </xdr:pic>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11</xdr:col>
      <xdr:colOff>279284</xdr:colOff>
      <xdr:row>54</xdr:row>
      <xdr:rowOff>153418</xdr:rowOff>
    </xdr:from>
    <xdr:to>
      <xdr:col>25</xdr:col>
      <xdr:colOff>474549</xdr:colOff>
      <xdr:row>68</xdr:row>
      <xdr:rowOff>134370</xdr:rowOff>
    </xdr:to>
    <xdr:grpSp>
      <xdr:nvGrpSpPr>
        <xdr:cNvPr id="16" name="Group 15">
          <a:extLst>
            <a:ext uri="{FF2B5EF4-FFF2-40B4-BE49-F238E27FC236}">
              <a16:creationId xmlns:a16="http://schemas.microsoft.com/office/drawing/2014/main" id="{0BD7788A-33E3-433B-AD37-F4D71C0813C6}"/>
            </a:ext>
          </a:extLst>
        </xdr:cNvPr>
        <xdr:cNvGrpSpPr/>
      </xdr:nvGrpSpPr>
      <xdr:grpSpPr>
        <a:xfrm>
          <a:off x="12457677" y="13039382"/>
          <a:ext cx="8536443" cy="3056167"/>
          <a:chOff x="17652205" y="15806738"/>
          <a:chExt cx="8470107" cy="2794237"/>
        </a:xfrm>
      </xdr:grpSpPr>
      <xdr:sp macro="" textlink="">
        <xdr:nvSpPr>
          <xdr:cNvPr id="8" name="Rectangle 7">
            <a:extLst>
              <a:ext uri="{FF2B5EF4-FFF2-40B4-BE49-F238E27FC236}">
                <a16:creationId xmlns:a16="http://schemas.microsoft.com/office/drawing/2014/main" id="{161BB0DA-FCFF-49F7-9978-3B52E2C83DCD}"/>
              </a:ext>
            </a:extLst>
          </xdr:cNvPr>
          <xdr:cNvSpPr/>
        </xdr:nvSpPr>
        <xdr:spPr>
          <a:xfrm>
            <a:off x="17652205" y="15806738"/>
            <a:ext cx="8470107" cy="2794237"/>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Recreation Opportunities Sub-Score for the Recreation Opportunities Performance Measure associated with the Quality of Life/Recreation Evaluation Objective.</a:t>
            </a:r>
          </a:p>
        </xdr:txBody>
      </xdr:sp>
      <xdr:pic>
        <xdr:nvPicPr>
          <xdr:cNvPr id="14" name="Picture 13">
            <a:extLst>
              <a:ext uri="{FF2B5EF4-FFF2-40B4-BE49-F238E27FC236}">
                <a16:creationId xmlns:a16="http://schemas.microsoft.com/office/drawing/2014/main" id="{A3B40B5B-7FE5-48EF-A54D-2FE328C794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80828" y="15878175"/>
            <a:ext cx="7553607" cy="2289051"/>
          </a:xfrm>
          <a:prstGeom prst="rect">
            <a:avLst/>
          </a:prstGeom>
          <a:noFill/>
        </xdr:spPr>
      </xdr:pic>
    </xdr:grpSp>
    <xdr:clientData/>
  </xdr:twoCellAnchor>
  <xdr:twoCellAnchor editAs="absolute">
    <xdr:from>
      <xdr:col>11</xdr:col>
      <xdr:colOff>288810</xdr:colOff>
      <xdr:row>39</xdr:row>
      <xdr:rowOff>186758</xdr:rowOff>
    </xdr:from>
    <xdr:to>
      <xdr:col>25</xdr:col>
      <xdr:colOff>503463</xdr:colOff>
      <xdr:row>53</xdr:row>
      <xdr:rowOff>74839</xdr:rowOff>
    </xdr:to>
    <xdr:grpSp>
      <xdr:nvGrpSpPr>
        <xdr:cNvPr id="17" name="Group 16">
          <a:extLst>
            <a:ext uri="{FF2B5EF4-FFF2-40B4-BE49-F238E27FC236}">
              <a16:creationId xmlns:a16="http://schemas.microsoft.com/office/drawing/2014/main" id="{90ED5DBA-9E61-49CC-B2EE-BD85FF0DEEA4}"/>
            </a:ext>
          </a:extLst>
        </xdr:cNvPr>
        <xdr:cNvGrpSpPr/>
      </xdr:nvGrpSpPr>
      <xdr:grpSpPr>
        <a:xfrm>
          <a:off x="12467203" y="9616508"/>
          <a:ext cx="8555831" cy="3153795"/>
          <a:chOff x="17649826" y="10863262"/>
          <a:chExt cx="8484393" cy="3162300"/>
        </a:xfrm>
      </xdr:grpSpPr>
      <xdr:sp macro="" textlink="">
        <xdr:nvSpPr>
          <xdr:cNvPr id="9" name="Rectangle 8">
            <a:extLst>
              <a:ext uri="{FF2B5EF4-FFF2-40B4-BE49-F238E27FC236}">
                <a16:creationId xmlns:a16="http://schemas.microsoft.com/office/drawing/2014/main" id="{FBA533E6-FE37-4E77-BF65-6B07A7F3970C}"/>
              </a:ext>
            </a:extLst>
          </xdr:cNvPr>
          <xdr:cNvSpPr/>
        </xdr:nvSpPr>
        <xdr:spPr>
          <a:xfrm>
            <a:off x="17649826" y="10863262"/>
            <a:ext cx="8484393" cy="3162300"/>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Quality of Life Sub-Score for the Green Space/Open Space Performance Measure associated with the Quality of Life/Recreation Evaluation Objective.</a:t>
            </a:r>
          </a:p>
        </xdr:txBody>
      </xdr:sp>
      <xdr:pic>
        <xdr:nvPicPr>
          <xdr:cNvPr id="15" name="Picture 14">
            <a:extLst>
              <a:ext uri="{FF2B5EF4-FFF2-40B4-BE49-F238E27FC236}">
                <a16:creationId xmlns:a16="http://schemas.microsoft.com/office/drawing/2014/main" id="{EB1C9725-0AFD-4B67-A16D-480C247887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07075" y="10958511"/>
            <a:ext cx="6809430" cy="2523391"/>
          </a:xfrm>
          <a:prstGeom prst="rect">
            <a:avLst/>
          </a:prstGeom>
          <a:noFill/>
        </xdr:spPr>
      </xdr:pic>
    </xdr:grpSp>
    <xdr:clientData/>
  </xdr:twoCellAnchor>
  <xdr:twoCellAnchor editAs="absolute">
    <xdr:from>
      <xdr:col>11</xdr:col>
      <xdr:colOff>295954</xdr:colOff>
      <xdr:row>22</xdr:row>
      <xdr:rowOff>62933</xdr:rowOff>
    </xdr:from>
    <xdr:to>
      <xdr:col>25</xdr:col>
      <xdr:colOff>539182</xdr:colOff>
      <xdr:row>37</xdr:row>
      <xdr:rowOff>110558</xdr:rowOff>
    </xdr:to>
    <xdr:grpSp>
      <xdr:nvGrpSpPr>
        <xdr:cNvPr id="19" name="Group 18">
          <a:extLst>
            <a:ext uri="{FF2B5EF4-FFF2-40B4-BE49-F238E27FC236}">
              <a16:creationId xmlns:a16="http://schemas.microsoft.com/office/drawing/2014/main" id="{1BF1025E-315C-4913-9EBB-3A2E3F2F443D}"/>
            </a:ext>
          </a:extLst>
        </xdr:cNvPr>
        <xdr:cNvGrpSpPr/>
      </xdr:nvGrpSpPr>
      <xdr:grpSpPr>
        <a:xfrm>
          <a:off x="12474347" y="5845969"/>
          <a:ext cx="8584406" cy="3313339"/>
          <a:chOff x="17645063" y="5845969"/>
          <a:chExt cx="8512968" cy="3131624"/>
        </a:xfrm>
      </xdr:grpSpPr>
      <xdr:sp macro="" textlink="">
        <xdr:nvSpPr>
          <xdr:cNvPr id="6" name="Rectangle 5">
            <a:extLst>
              <a:ext uri="{FF2B5EF4-FFF2-40B4-BE49-F238E27FC236}">
                <a16:creationId xmlns:a16="http://schemas.microsoft.com/office/drawing/2014/main" id="{2CA4F24F-6076-4A8D-B613-458D643A951B}"/>
              </a:ext>
            </a:extLst>
          </xdr:cNvPr>
          <xdr:cNvSpPr/>
        </xdr:nvSpPr>
        <xdr:spPr>
          <a:xfrm>
            <a:off x="17645063" y="5845969"/>
            <a:ext cx="8512968" cy="313162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Green Space/Open Space Sub-Score for the Green Space/Open Space Performance Measure associated with the Quality of Life/Recreation Evaluation Objective.</a:t>
            </a:r>
          </a:p>
        </xdr:txBody>
      </xdr:sp>
      <xdr:pic>
        <xdr:nvPicPr>
          <xdr:cNvPr id="18" name="Picture 17">
            <a:extLst>
              <a:ext uri="{FF2B5EF4-FFF2-40B4-BE49-F238E27FC236}">
                <a16:creationId xmlns:a16="http://schemas.microsoft.com/office/drawing/2014/main" id="{73C2D8DB-CA2A-4292-8A14-94AA51EB28A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371344" y="5976938"/>
            <a:ext cx="6946149" cy="2508867"/>
          </a:xfrm>
          <a:prstGeom prst="rect">
            <a:avLst/>
          </a:prstGeom>
          <a:noFill/>
        </xdr:spPr>
      </xdr:pic>
    </xdr:grpSp>
    <xdr:clientData/>
  </xdr:twoCellAnchor>
  <xdr:twoCellAnchor editAs="absolute">
    <xdr:from>
      <xdr:col>11</xdr:col>
      <xdr:colOff>295952</xdr:colOff>
      <xdr:row>4</xdr:row>
      <xdr:rowOff>163287</xdr:rowOff>
    </xdr:from>
    <xdr:to>
      <xdr:col>21</xdr:col>
      <xdr:colOff>122121</xdr:colOff>
      <xdr:row>21</xdr:row>
      <xdr:rowOff>598714</xdr:rowOff>
    </xdr:to>
    <xdr:grpSp>
      <xdr:nvGrpSpPr>
        <xdr:cNvPr id="2" name="Group 1">
          <a:extLst>
            <a:ext uri="{FF2B5EF4-FFF2-40B4-BE49-F238E27FC236}">
              <a16:creationId xmlns:a16="http://schemas.microsoft.com/office/drawing/2014/main" id="{A53D2ABE-2078-4B99-94CA-588957A481E2}"/>
            </a:ext>
          </a:extLst>
        </xdr:cNvPr>
        <xdr:cNvGrpSpPr/>
      </xdr:nvGrpSpPr>
      <xdr:grpSpPr>
        <a:xfrm>
          <a:off x="12474345" y="1115787"/>
          <a:ext cx="5718062" cy="4503963"/>
          <a:chOff x="25060952" y="1183823"/>
          <a:chExt cx="5718062" cy="4503963"/>
        </a:xfrm>
      </xdr:grpSpPr>
      <xdr:sp macro="" textlink="">
        <xdr:nvSpPr>
          <xdr:cNvPr id="4" name="Rectangle 3">
            <a:extLst>
              <a:ext uri="{FF2B5EF4-FFF2-40B4-BE49-F238E27FC236}">
                <a16:creationId xmlns:a16="http://schemas.microsoft.com/office/drawing/2014/main" id="{A8AA64CF-4E2F-4A81-91F1-4B7BCB84791D}"/>
              </a:ext>
            </a:extLst>
          </xdr:cNvPr>
          <xdr:cNvSpPr/>
        </xdr:nvSpPr>
        <xdr:spPr>
          <a:xfrm>
            <a:off x="25060952" y="1183823"/>
            <a:ext cx="5718062" cy="4503963"/>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Quality of Life Evaluation Objective.</a:t>
            </a:r>
          </a:p>
        </xdr:txBody>
      </xdr:sp>
      <xdr:pic>
        <xdr:nvPicPr>
          <xdr:cNvPr id="22" name="Picture 21">
            <a:extLst>
              <a:ext uri="{FF2B5EF4-FFF2-40B4-BE49-F238E27FC236}">
                <a16:creationId xmlns:a16="http://schemas.microsoft.com/office/drawing/2014/main" id="{280BCF9B-CA29-4CF8-B500-1F02D93C8C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382548" y="1292680"/>
            <a:ext cx="2871148" cy="4070736"/>
          </a:xfrm>
          <a:prstGeom prst="rect">
            <a:avLst/>
          </a:prstGeom>
          <a:noFill/>
        </xdr:spPr>
      </xdr:pic>
    </xdr:grpSp>
    <xdr:clientData/>
  </xdr:twoCellAnchor>
  <xdr:twoCellAnchor>
    <xdr:from>
      <xdr:col>11</xdr:col>
      <xdr:colOff>279965</xdr:colOff>
      <xdr:row>70</xdr:row>
      <xdr:rowOff>57154</xdr:rowOff>
    </xdr:from>
    <xdr:to>
      <xdr:col>25</xdr:col>
      <xdr:colOff>474550</xdr:colOff>
      <xdr:row>91</xdr:row>
      <xdr:rowOff>47624</xdr:rowOff>
    </xdr:to>
    <xdr:grpSp>
      <xdr:nvGrpSpPr>
        <xdr:cNvPr id="3" name="Group 2">
          <a:extLst>
            <a:ext uri="{FF2B5EF4-FFF2-40B4-BE49-F238E27FC236}">
              <a16:creationId xmlns:a16="http://schemas.microsoft.com/office/drawing/2014/main" id="{B8079C1E-0A82-487C-B951-79DBF3024FDF}"/>
            </a:ext>
          </a:extLst>
        </xdr:cNvPr>
        <xdr:cNvGrpSpPr/>
      </xdr:nvGrpSpPr>
      <xdr:grpSpPr>
        <a:xfrm>
          <a:off x="12458358" y="16399333"/>
          <a:ext cx="8535763" cy="4589684"/>
          <a:chOff x="25058572" y="16399333"/>
          <a:chExt cx="8535764" cy="4780184"/>
        </a:xfrm>
      </xdr:grpSpPr>
      <xdr:sp macro="" textlink="">
        <xdr:nvSpPr>
          <xdr:cNvPr id="7" name="Rectangle 6">
            <a:extLst>
              <a:ext uri="{FF2B5EF4-FFF2-40B4-BE49-F238E27FC236}">
                <a16:creationId xmlns:a16="http://schemas.microsoft.com/office/drawing/2014/main" id="{79CA3F24-0C2F-49A0-97C7-2F6383007F83}"/>
              </a:ext>
            </a:extLst>
          </xdr:cNvPr>
          <xdr:cNvSpPr/>
        </xdr:nvSpPr>
        <xdr:spPr>
          <a:xfrm>
            <a:off x="25058572" y="16399333"/>
            <a:ext cx="8535764" cy="478018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Recreation Visitation Sub-Score for the Recreation Opportunities Performance Measure associated with the Quality of Life/Recreation Evaluation Objective.</a:t>
            </a:r>
          </a:p>
        </xdr:txBody>
      </xdr:sp>
      <xdr:pic>
        <xdr:nvPicPr>
          <xdr:cNvPr id="10" name="Picture 9">
            <a:extLst>
              <a:ext uri="{FF2B5EF4-FFF2-40B4-BE49-F238E27FC236}">
                <a16:creationId xmlns:a16="http://schemas.microsoft.com/office/drawing/2014/main" id="{6B4AFD57-26C8-45A7-8BEC-C6C4A9CC5F7B}"/>
              </a:ext>
            </a:extLst>
          </xdr:cNvPr>
          <xdr:cNvPicPr>
            <a:picLocks noChangeAspect="1"/>
          </xdr:cNvPicPr>
        </xdr:nvPicPr>
        <xdr:blipFill>
          <a:blip xmlns:r="http://schemas.openxmlformats.org/officeDocument/2006/relationships" r:embed="rId5"/>
          <a:stretch>
            <a:fillRect/>
          </a:stretch>
        </xdr:blipFill>
        <xdr:spPr>
          <a:xfrm>
            <a:off x="25419843" y="16485053"/>
            <a:ext cx="5920765" cy="4161233"/>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12</xdr:col>
      <xdr:colOff>1</xdr:colOff>
      <xdr:row>4</xdr:row>
      <xdr:rowOff>190499</xdr:rowOff>
    </xdr:from>
    <xdr:to>
      <xdr:col>21</xdr:col>
      <xdr:colOff>385763</xdr:colOff>
      <xdr:row>22</xdr:row>
      <xdr:rowOff>952499</xdr:rowOff>
    </xdr:to>
    <xdr:grpSp>
      <xdr:nvGrpSpPr>
        <xdr:cNvPr id="2" name="Group 1">
          <a:extLst>
            <a:ext uri="{FF2B5EF4-FFF2-40B4-BE49-F238E27FC236}">
              <a16:creationId xmlns:a16="http://schemas.microsoft.com/office/drawing/2014/main" id="{ADAE1DB5-193B-45C8-8D17-B52BA8B616C9}"/>
            </a:ext>
          </a:extLst>
        </xdr:cNvPr>
        <xdr:cNvGrpSpPr/>
      </xdr:nvGrpSpPr>
      <xdr:grpSpPr>
        <a:xfrm>
          <a:off x="12870657" y="1131093"/>
          <a:ext cx="5850731" cy="4953000"/>
          <a:chOff x="22550438" y="1131093"/>
          <a:chExt cx="5850731" cy="4953000"/>
        </a:xfrm>
      </xdr:grpSpPr>
      <xdr:sp macro="" textlink="">
        <xdr:nvSpPr>
          <xdr:cNvPr id="6" name="Rectangle 5">
            <a:extLst>
              <a:ext uri="{FF2B5EF4-FFF2-40B4-BE49-F238E27FC236}">
                <a16:creationId xmlns:a16="http://schemas.microsoft.com/office/drawing/2014/main" id="{41B62E90-C6A8-4841-8E00-0DF9676DB60E}"/>
              </a:ext>
            </a:extLst>
          </xdr:cNvPr>
          <xdr:cNvSpPr/>
        </xdr:nvSpPr>
        <xdr:spPr>
          <a:xfrm>
            <a:off x="22550438" y="1131093"/>
            <a:ext cx="5850731" cy="4953000"/>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Regional Economic Impact Evaluation Objective.</a:t>
            </a:r>
          </a:p>
        </xdr:txBody>
      </xdr:sp>
      <xdr:pic>
        <xdr:nvPicPr>
          <xdr:cNvPr id="7" name="Picture 6">
            <a:extLst>
              <a:ext uri="{FF2B5EF4-FFF2-40B4-BE49-F238E27FC236}">
                <a16:creationId xmlns:a16="http://schemas.microsoft.com/office/drawing/2014/main" id="{74D5EDB8-52D0-480E-82C4-0A565E86EC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5346" y="1273970"/>
            <a:ext cx="3470369" cy="4286249"/>
          </a:xfrm>
          <a:prstGeom prst="rect">
            <a:avLst/>
          </a:prstGeom>
          <a:noFill/>
        </xdr:spPr>
      </xdr:pic>
    </xdr:grpSp>
    <xdr:clientData/>
  </xdr:twoCellAnchor>
  <xdr:twoCellAnchor editAs="absolute">
    <xdr:from>
      <xdr:col>11</xdr:col>
      <xdr:colOff>376239</xdr:colOff>
      <xdr:row>24</xdr:row>
      <xdr:rowOff>78580</xdr:rowOff>
    </xdr:from>
    <xdr:to>
      <xdr:col>27</xdr:col>
      <xdr:colOff>547687</xdr:colOff>
      <xdr:row>269</xdr:row>
      <xdr:rowOff>119062</xdr:rowOff>
    </xdr:to>
    <xdr:grpSp>
      <xdr:nvGrpSpPr>
        <xdr:cNvPr id="3" name="Group 2">
          <a:extLst>
            <a:ext uri="{FF2B5EF4-FFF2-40B4-BE49-F238E27FC236}">
              <a16:creationId xmlns:a16="http://schemas.microsoft.com/office/drawing/2014/main" id="{A4F9EA43-F785-42AA-B620-938E573CD143}"/>
            </a:ext>
          </a:extLst>
        </xdr:cNvPr>
        <xdr:cNvGrpSpPr/>
      </xdr:nvGrpSpPr>
      <xdr:grpSpPr>
        <a:xfrm>
          <a:off x="12865895" y="6353174"/>
          <a:ext cx="9660730" cy="5195888"/>
          <a:chOff x="22545676" y="6353174"/>
          <a:chExt cx="9660730" cy="5195888"/>
        </a:xfrm>
      </xdr:grpSpPr>
      <xdr:sp macro="" textlink="">
        <xdr:nvSpPr>
          <xdr:cNvPr id="9" name="Rectangle 8">
            <a:extLst>
              <a:ext uri="{FF2B5EF4-FFF2-40B4-BE49-F238E27FC236}">
                <a16:creationId xmlns:a16="http://schemas.microsoft.com/office/drawing/2014/main" id="{0FF92ABB-AB14-42A8-996D-CA5F9218DE54}"/>
              </a:ext>
            </a:extLst>
          </xdr:cNvPr>
          <xdr:cNvSpPr/>
        </xdr:nvSpPr>
        <xdr:spPr>
          <a:xfrm>
            <a:off x="22545676" y="6353174"/>
            <a:ext cx="9660730" cy="519588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General Regional Economic Impacts Sub-Score for the Regional Economic Impact Performance Measure associated with the Regional Economic Impact Evaluation Objective.</a:t>
            </a:r>
          </a:p>
        </xdr:txBody>
      </xdr:sp>
      <xdr:pic>
        <xdr:nvPicPr>
          <xdr:cNvPr id="10" name="Picture 9">
            <a:extLst>
              <a:ext uri="{FF2B5EF4-FFF2-40B4-BE49-F238E27FC236}">
                <a16:creationId xmlns:a16="http://schemas.microsoft.com/office/drawing/2014/main" id="{2186C1C8-8885-47A6-BFB4-FA1D450CBB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95770" y="6472234"/>
            <a:ext cx="8040457" cy="4447108"/>
          </a:xfrm>
          <a:prstGeom prst="rect">
            <a:avLst/>
          </a:prstGeom>
          <a:noFill/>
          <a:ln>
            <a:noFill/>
          </a:ln>
        </xdr:spPr>
      </xdr:pic>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11</xdr:col>
      <xdr:colOff>328613</xdr:colOff>
      <xdr:row>25</xdr:row>
      <xdr:rowOff>59530</xdr:rowOff>
    </xdr:from>
    <xdr:to>
      <xdr:col>27</xdr:col>
      <xdr:colOff>511968</xdr:colOff>
      <xdr:row>49</xdr:row>
      <xdr:rowOff>95250</xdr:rowOff>
    </xdr:to>
    <xdr:grpSp>
      <xdr:nvGrpSpPr>
        <xdr:cNvPr id="13" name="Group 12">
          <a:extLst>
            <a:ext uri="{FF2B5EF4-FFF2-40B4-BE49-F238E27FC236}">
              <a16:creationId xmlns:a16="http://schemas.microsoft.com/office/drawing/2014/main" id="{EA153B37-9898-489F-B156-5A4C41B2D356}"/>
            </a:ext>
          </a:extLst>
        </xdr:cNvPr>
        <xdr:cNvGrpSpPr/>
      </xdr:nvGrpSpPr>
      <xdr:grpSpPr>
        <a:xfrm>
          <a:off x="12818269" y="6322218"/>
          <a:ext cx="9672637" cy="5024438"/>
          <a:chOff x="18033205" y="5829299"/>
          <a:chExt cx="9672637" cy="5074999"/>
        </a:xfrm>
      </xdr:grpSpPr>
      <xdr:sp macro="" textlink="">
        <xdr:nvSpPr>
          <xdr:cNvPr id="9" name="Rectangle 8">
            <a:extLst>
              <a:ext uri="{FF2B5EF4-FFF2-40B4-BE49-F238E27FC236}">
                <a16:creationId xmlns:a16="http://schemas.microsoft.com/office/drawing/2014/main" id="{403659F9-C9BB-4FDF-8C9E-E93B219DE90A}"/>
              </a:ext>
            </a:extLst>
          </xdr:cNvPr>
          <xdr:cNvSpPr/>
        </xdr:nvSpPr>
        <xdr:spPr>
          <a:xfrm>
            <a:off x="18033205" y="5829299"/>
            <a:ext cx="9672637" cy="5074999"/>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Coordination Performance Measure associated with the Regional Integration and Coordination Evaluation Objective.</a:t>
            </a:r>
          </a:p>
        </xdr:txBody>
      </xdr:sp>
      <xdr:pic>
        <xdr:nvPicPr>
          <xdr:cNvPr id="10" name="Picture 9">
            <a:extLst>
              <a:ext uri="{FF2B5EF4-FFF2-40B4-BE49-F238E27FC236}">
                <a16:creationId xmlns:a16="http://schemas.microsoft.com/office/drawing/2014/main" id="{87736F4A-9AF2-4289-9D55-4DF4126FA8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04706" y="6031704"/>
            <a:ext cx="8386283" cy="4657534"/>
          </a:xfrm>
          <a:prstGeom prst="rect">
            <a:avLst/>
          </a:prstGeom>
          <a:noFill/>
        </xdr:spPr>
      </xdr:pic>
    </xdr:grpSp>
    <xdr:clientData/>
  </xdr:twoCellAnchor>
  <xdr:twoCellAnchor editAs="absolute">
    <xdr:from>
      <xdr:col>11</xdr:col>
      <xdr:colOff>345282</xdr:colOff>
      <xdr:row>5</xdr:row>
      <xdr:rowOff>23811</xdr:rowOff>
    </xdr:from>
    <xdr:to>
      <xdr:col>22</xdr:col>
      <xdr:colOff>361950</xdr:colOff>
      <xdr:row>24</xdr:row>
      <xdr:rowOff>23812</xdr:rowOff>
    </xdr:to>
    <xdr:grpSp>
      <xdr:nvGrpSpPr>
        <xdr:cNvPr id="5" name="Group 4">
          <a:extLst>
            <a:ext uri="{FF2B5EF4-FFF2-40B4-BE49-F238E27FC236}">
              <a16:creationId xmlns:a16="http://schemas.microsoft.com/office/drawing/2014/main" id="{325CB855-14F7-410E-81CC-B538FE0C0361}"/>
            </a:ext>
          </a:extLst>
        </xdr:cNvPr>
        <xdr:cNvGrpSpPr/>
      </xdr:nvGrpSpPr>
      <xdr:grpSpPr>
        <a:xfrm>
          <a:off x="12834938" y="1166811"/>
          <a:ext cx="6469856" cy="4929189"/>
          <a:chOff x="22562344" y="1154905"/>
          <a:chExt cx="6469856" cy="4929189"/>
        </a:xfrm>
      </xdr:grpSpPr>
      <xdr:sp macro="" textlink="">
        <xdr:nvSpPr>
          <xdr:cNvPr id="6" name="Rectangle 5">
            <a:extLst>
              <a:ext uri="{FF2B5EF4-FFF2-40B4-BE49-F238E27FC236}">
                <a16:creationId xmlns:a16="http://schemas.microsoft.com/office/drawing/2014/main" id="{BDEA156C-300A-4E65-BDC4-7AAE8A185EA0}"/>
              </a:ext>
            </a:extLst>
          </xdr:cNvPr>
          <xdr:cNvSpPr/>
        </xdr:nvSpPr>
        <xdr:spPr>
          <a:xfrm>
            <a:off x="22562344" y="1154905"/>
            <a:ext cx="6469856" cy="4929189"/>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Regional Integration and Coordination Evaluation Objective.</a:t>
            </a:r>
          </a:p>
        </xdr:txBody>
      </xdr:sp>
      <xdr:pic>
        <xdr:nvPicPr>
          <xdr:cNvPr id="2" name="Picture 1">
            <a:extLst>
              <a:ext uri="{FF2B5EF4-FFF2-40B4-BE49-F238E27FC236}">
                <a16:creationId xmlns:a16="http://schemas.microsoft.com/office/drawing/2014/main" id="{7819E66C-F7C6-464C-A6E4-3F61DE5767FC}"/>
              </a:ext>
            </a:extLst>
          </xdr:cNvPr>
          <xdr:cNvPicPr>
            <a:picLocks noChangeAspect="1"/>
          </xdr:cNvPicPr>
        </xdr:nvPicPr>
        <xdr:blipFill>
          <a:blip xmlns:r="http://schemas.openxmlformats.org/officeDocument/2006/relationships" r:embed="rId2"/>
          <a:stretch>
            <a:fillRect/>
          </a:stretch>
        </xdr:blipFill>
        <xdr:spPr>
          <a:xfrm>
            <a:off x="24122063" y="1250156"/>
            <a:ext cx="3257985" cy="4577274"/>
          </a:xfrm>
          <a:prstGeom prst="rect">
            <a:avLst/>
          </a:prstGeom>
        </xdr:spPr>
      </xdr:pic>
    </xdr:grpSp>
    <xdr:clientData/>
  </xdr:twoCellAnchor>
  <xdr:twoCellAnchor editAs="absolute">
    <xdr:from>
      <xdr:col>11</xdr:col>
      <xdr:colOff>319090</xdr:colOff>
      <xdr:row>50</xdr:row>
      <xdr:rowOff>140496</xdr:rowOff>
    </xdr:from>
    <xdr:to>
      <xdr:col>22</xdr:col>
      <xdr:colOff>335758</xdr:colOff>
      <xdr:row>66</xdr:row>
      <xdr:rowOff>273845</xdr:rowOff>
    </xdr:to>
    <xdr:grpSp>
      <xdr:nvGrpSpPr>
        <xdr:cNvPr id="4" name="Group 3">
          <a:extLst>
            <a:ext uri="{FF2B5EF4-FFF2-40B4-BE49-F238E27FC236}">
              <a16:creationId xmlns:a16="http://schemas.microsoft.com/office/drawing/2014/main" id="{525D0C1B-9D23-4ACD-B901-0A251135277A}"/>
            </a:ext>
          </a:extLst>
        </xdr:cNvPr>
        <xdr:cNvGrpSpPr/>
      </xdr:nvGrpSpPr>
      <xdr:grpSpPr>
        <a:xfrm>
          <a:off x="12808746" y="11582402"/>
          <a:ext cx="6469856" cy="3788568"/>
          <a:chOff x="22536152" y="11570496"/>
          <a:chExt cx="6469856" cy="3788568"/>
        </a:xfrm>
      </xdr:grpSpPr>
      <xdr:sp macro="" textlink="">
        <xdr:nvSpPr>
          <xdr:cNvPr id="8" name="Rectangle 7">
            <a:extLst>
              <a:ext uri="{FF2B5EF4-FFF2-40B4-BE49-F238E27FC236}">
                <a16:creationId xmlns:a16="http://schemas.microsoft.com/office/drawing/2014/main" id="{56763493-CD2E-493E-915F-74ECE01CB6D5}"/>
              </a:ext>
            </a:extLst>
          </xdr:cNvPr>
          <xdr:cNvSpPr/>
        </xdr:nvSpPr>
        <xdr:spPr>
          <a:xfrm>
            <a:off x="22536152" y="11570496"/>
            <a:ext cx="6469856" cy="378856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Education and Outreach Performance Measure associated with the Regional Integration and Coordination Evaluation Objective.</a:t>
            </a:r>
          </a:p>
        </xdr:txBody>
      </xdr:sp>
      <xdr:pic>
        <xdr:nvPicPr>
          <xdr:cNvPr id="3" name="Picture 2">
            <a:extLst>
              <a:ext uri="{FF2B5EF4-FFF2-40B4-BE49-F238E27FC236}">
                <a16:creationId xmlns:a16="http://schemas.microsoft.com/office/drawing/2014/main" id="{4266B9ED-1601-4108-8C82-F1390CE7334E}"/>
              </a:ext>
            </a:extLst>
          </xdr:cNvPr>
          <xdr:cNvPicPr>
            <a:picLocks noChangeAspect="1"/>
          </xdr:cNvPicPr>
        </xdr:nvPicPr>
        <xdr:blipFill>
          <a:blip xmlns:r="http://schemas.openxmlformats.org/officeDocument/2006/relationships" r:embed="rId3"/>
          <a:stretch>
            <a:fillRect/>
          </a:stretch>
        </xdr:blipFill>
        <xdr:spPr>
          <a:xfrm>
            <a:off x="23288625" y="11763376"/>
            <a:ext cx="4850398" cy="302144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11</xdr:col>
      <xdr:colOff>338138</xdr:colOff>
      <xdr:row>91</xdr:row>
      <xdr:rowOff>50685</xdr:rowOff>
    </xdr:from>
    <xdr:to>
      <xdr:col>23</xdr:col>
      <xdr:colOff>540884</xdr:colOff>
      <xdr:row>108</xdr:row>
      <xdr:rowOff>190498</xdr:rowOff>
    </xdr:to>
    <xdr:grpSp>
      <xdr:nvGrpSpPr>
        <xdr:cNvPr id="13" name="Group 12">
          <a:extLst>
            <a:ext uri="{FF2B5EF4-FFF2-40B4-BE49-F238E27FC236}">
              <a16:creationId xmlns:a16="http://schemas.microsoft.com/office/drawing/2014/main" id="{A032C7ED-28F4-4832-A1ED-0DAA753BC543}"/>
            </a:ext>
          </a:extLst>
        </xdr:cNvPr>
        <xdr:cNvGrpSpPr/>
      </xdr:nvGrpSpPr>
      <xdr:grpSpPr>
        <a:xfrm>
          <a:off x="12756357" y="21481935"/>
          <a:ext cx="7632246" cy="3973626"/>
          <a:chOff x="13792200" y="19485253"/>
          <a:chExt cx="7627143" cy="3663706"/>
        </a:xfrm>
      </xdr:grpSpPr>
      <xdr:sp macro="" textlink="">
        <xdr:nvSpPr>
          <xdr:cNvPr id="7" name="Rectangle 6">
            <a:extLst>
              <a:ext uri="{FF2B5EF4-FFF2-40B4-BE49-F238E27FC236}">
                <a16:creationId xmlns:a16="http://schemas.microsoft.com/office/drawing/2014/main" id="{2460607F-9B8B-4C35-B1C7-5C28C07C0D79}"/>
              </a:ext>
            </a:extLst>
          </xdr:cNvPr>
          <xdr:cNvSpPr/>
        </xdr:nvSpPr>
        <xdr:spPr>
          <a:xfrm>
            <a:off x="13792200" y="19485253"/>
            <a:ext cx="7627143" cy="3663706"/>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Insufficient Wastewater Flows sub-score for the Vulnerability of Water Supply Facilities and Infrastructure Performance Measure associated with the Reliability and Robustness Evaluation Objective.</a:t>
            </a:r>
          </a:p>
        </xdr:txBody>
      </xdr:sp>
      <xdr:pic>
        <xdr:nvPicPr>
          <xdr:cNvPr id="12" name="Picture 11">
            <a:extLst>
              <a:ext uri="{FF2B5EF4-FFF2-40B4-BE49-F238E27FC236}">
                <a16:creationId xmlns:a16="http://schemas.microsoft.com/office/drawing/2014/main" id="{8489675D-83D0-4CE3-81F3-C4AED8763E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6" y="19713216"/>
            <a:ext cx="5543549" cy="2953267"/>
          </a:xfrm>
          <a:prstGeom prst="rect">
            <a:avLst/>
          </a:prstGeom>
          <a:noFill/>
        </xdr:spPr>
      </xdr:pic>
    </xdr:grpSp>
    <xdr:clientData/>
  </xdr:twoCellAnchor>
  <xdr:twoCellAnchor editAs="absolute">
    <xdr:from>
      <xdr:col>11</xdr:col>
      <xdr:colOff>316708</xdr:colOff>
      <xdr:row>78</xdr:row>
      <xdr:rowOff>90488</xdr:rowOff>
    </xdr:from>
    <xdr:to>
      <xdr:col>23</xdr:col>
      <xdr:colOff>511970</xdr:colOff>
      <xdr:row>90</xdr:row>
      <xdr:rowOff>20412</xdr:rowOff>
    </xdr:to>
    <xdr:grpSp>
      <xdr:nvGrpSpPr>
        <xdr:cNvPr id="21" name="Group 20">
          <a:extLst>
            <a:ext uri="{FF2B5EF4-FFF2-40B4-BE49-F238E27FC236}">
              <a16:creationId xmlns:a16="http://schemas.microsoft.com/office/drawing/2014/main" id="{17B528C4-D305-438D-8E3E-D80F10BF1A87}"/>
            </a:ext>
          </a:extLst>
        </xdr:cNvPr>
        <xdr:cNvGrpSpPr/>
      </xdr:nvGrpSpPr>
      <xdr:grpSpPr>
        <a:xfrm>
          <a:off x="12734927" y="18259426"/>
          <a:ext cx="7624762" cy="3001736"/>
          <a:chOff x="13806488" y="15806738"/>
          <a:chExt cx="7624762" cy="3183731"/>
        </a:xfrm>
      </xdr:grpSpPr>
      <xdr:sp macro="" textlink="">
        <xdr:nvSpPr>
          <xdr:cNvPr id="6" name="Rectangle 5">
            <a:extLst>
              <a:ext uri="{FF2B5EF4-FFF2-40B4-BE49-F238E27FC236}">
                <a16:creationId xmlns:a16="http://schemas.microsoft.com/office/drawing/2014/main" id="{65BE2D2A-2307-4D3E-94DB-2DC38C5B8BB6}"/>
              </a:ext>
            </a:extLst>
          </xdr:cNvPr>
          <xdr:cNvSpPr/>
        </xdr:nvSpPr>
        <xdr:spPr>
          <a:xfrm>
            <a:off x="13806488" y="15806738"/>
            <a:ext cx="7624762" cy="318373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Aging Infrastructure sub-score for the Vulnerability of Water Supply Facilities and Infrastructure Performance Measure associated with the Reliability and Robustness Evaluation Objective.</a:t>
            </a:r>
          </a:p>
        </xdr:txBody>
      </xdr:sp>
      <xdr:pic>
        <xdr:nvPicPr>
          <xdr:cNvPr id="15" name="Picture 14">
            <a:extLst>
              <a:ext uri="{FF2B5EF4-FFF2-40B4-BE49-F238E27FC236}">
                <a16:creationId xmlns:a16="http://schemas.microsoft.com/office/drawing/2014/main" id="{07ED9402-7B49-4C1C-A1B0-B645FCB666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25613" y="15913893"/>
            <a:ext cx="6471480" cy="2588419"/>
          </a:xfrm>
          <a:prstGeom prst="rect">
            <a:avLst/>
          </a:prstGeom>
          <a:noFill/>
        </xdr:spPr>
      </xdr:pic>
    </xdr:grpSp>
    <xdr:clientData/>
  </xdr:twoCellAnchor>
  <xdr:twoCellAnchor editAs="absolute">
    <xdr:from>
      <xdr:col>11</xdr:col>
      <xdr:colOff>300039</xdr:colOff>
      <xdr:row>58</xdr:row>
      <xdr:rowOff>118043</xdr:rowOff>
    </xdr:from>
    <xdr:to>
      <xdr:col>23</xdr:col>
      <xdr:colOff>488157</xdr:colOff>
      <xdr:row>77</xdr:row>
      <xdr:rowOff>34018</xdr:rowOff>
    </xdr:to>
    <xdr:grpSp>
      <xdr:nvGrpSpPr>
        <xdr:cNvPr id="19" name="Group 18">
          <a:extLst>
            <a:ext uri="{FF2B5EF4-FFF2-40B4-BE49-F238E27FC236}">
              <a16:creationId xmlns:a16="http://schemas.microsoft.com/office/drawing/2014/main" id="{67335C49-EC55-4673-AA04-65BFE6BEEA40}"/>
            </a:ext>
          </a:extLst>
        </xdr:cNvPr>
        <xdr:cNvGrpSpPr/>
      </xdr:nvGrpSpPr>
      <xdr:grpSpPr>
        <a:xfrm>
          <a:off x="12718258" y="13881668"/>
          <a:ext cx="7617618" cy="4130788"/>
          <a:chOff x="13801726" y="10801350"/>
          <a:chExt cx="7617618" cy="3544281"/>
        </a:xfrm>
      </xdr:grpSpPr>
      <xdr:sp macro="" textlink="">
        <xdr:nvSpPr>
          <xdr:cNvPr id="8" name="Rectangle 7">
            <a:extLst>
              <a:ext uri="{FF2B5EF4-FFF2-40B4-BE49-F238E27FC236}">
                <a16:creationId xmlns:a16="http://schemas.microsoft.com/office/drawing/2014/main" id="{DABEA419-073B-4D57-83E3-D0C87CDAC056}"/>
              </a:ext>
            </a:extLst>
          </xdr:cNvPr>
          <xdr:cNvSpPr/>
        </xdr:nvSpPr>
        <xdr:spPr>
          <a:xfrm>
            <a:off x="13801726" y="10801350"/>
            <a:ext cx="7617618" cy="354428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Resilience of Conveyance System sub-score for the Vulnerability of Water Supply Facilities and Infrastructure Performance Measure associated with the Reliability and Robustness Evaluation Objective.</a:t>
            </a:r>
          </a:p>
        </xdr:txBody>
      </xdr:sp>
      <xdr:pic>
        <xdr:nvPicPr>
          <xdr:cNvPr id="16" name="Picture 15">
            <a:extLst>
              <a:ext uri="{FF2B5EF4-FFF2-40B4-BE49-F238E27FC236}">
                <a16:creationId xmlns:a16="http://schemas.microsoft.com/office/drawing/2014/main" id="{7D9FFCF6-D474-47AC-93C7-BBF43C4B804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147007" y="10979944"/>
            <a:ext cx="6831085" cy="2938462"/>
          </a:xfrm>
          <a:prstGeom prst="rect">
            <a:avLst/>
          </a:prstGeom>
          <a:noFill/>
        </xdr:spPr>
      </xdr:pic>
    </xdr:grpSp>
    <xdr:clientData/>
  </xdr:twoCellAnchor>
  <xdr:twoCellAnchor editAs="absolute">
    <xdr:from>
      <xdr:col>11</xdr:col>
      <xdr:colOff>321469</xdr:colOff>
      <xdr:row>40</xdr:row>
      <xdr:rowOff>20412</xdr:rowOff>
    </xdr:from>
    <xdr:to>
      <xdr:col>23</xdr:col>
      <xdr:colOff>511969</xdr:colOff>
      <xdr:row>56</xdr:row>
      <xdr:rowOff>127568</xdr:rowOff>
    </xdr:to>
    <xdr:grpSp>
      <xdr:nvGrpSpPr>
        <xdr:cNvPr id="18" name="Group 17">
          <a:extLst>
            <a:ext uri="{FF2B5EF4-FFF2-40B4-BE49-F238E27FC236}">
              <a16:creationId xmlns:a16="http://schemas.microsoft.com/office/drawing/2014/main" id="{C53E8CBE-C1C6-446B-A05A-F84EF7CEC502}"/>
            </a:ext>
          </a:extLst>
        </xdr:cNvPr>
        <xdr:cNvGrpSpPr/>
      </xdr:nvGrpSpPr>
      <xdr:grpSpPr>
        <a:xfrm>
          <a:off x="12739688" y="9759725"/>
          <a:ext cx="7620000" cy="3750468"/>
          <a:chOff x="13799344" y="5786438"/>
          <a:chExt cx="7620000" cy="3750468"/>
        </a:xfrm>
      </xdr:grpSpPr>
      <xdr:sp macro="" textlink="">
        <xdr:nvSpPr>
          <xdr:cNvPr id="9" name="Rectangle 8">
            <a:extLst>
              <a:ext uri="{FF2B5EF4-FFF2-40B4-BE49-F238E27FC236}">
                <a16:creationId xmlns:a16="http://schemas.microsoft.com/office/drawing/2014/main" id="{E8730510-668F-4B5C-AE4F-C5B64384BC16}"/>
              </a:ext>
            </a:extLst>
          </xdr:cNvPr>
          <xdr:cNvSpPr/>
        </xdr:nvSpPr>
        <xdr:spPr>
          <a:xfrm>
            <a:off x="13799344" y="5786438"/>
            <a:ext cx="7620000" cy="375046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Diversity of Water Supply sub-score for the Vulnerability of Water Supply Facilities and Infrastructure Performance Measure associated with the Reliability and Robustness Evaluation Objective.</a:t>
            </a:r>
          </a:p>
        </xdr:txBody>
      </xdr:sp>
      <xdr:pic>
        <xdr:nvPicPr>
          <xdr:cNvPr id="17" name="Picture 16">
            <a:extLst>
              <a:ext uri="{FF2B5EF4-FFF2-40B4-BE49-F238E27FC236}">
                <a16:creationId xmlns:a16="http://schemas.microsoft.com/office/drawing/2014/main" id="{029294F5-2330-429D-939E-C14755AA4E2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680406" y="5905501"/>
            <a:ext cx="5803952" cy="3143249"/>
          </a:xfrm>
          <a:prstGeom prst="rect">
            <a:avLst/>
          </a:prstGeom>
          <a:noFill/>
        </xdr:spPr>
      </xdr:pic>
    </xdr:grpSp>
    <xdr:clientData/>
  </xdr:twoCellAnchor>
  <xdr:twoCellAnchor editAs="absolute">
    <xdr:from>
      <xdr:col>11</xdr:col>
      <xdr:colOff>311264</xdr:colOff>
      <xdr:row>5</xdr:row>
      <xdr:rowOff>17011</xdr:rowOff>
    </xdr:from>
    <xdr:to>
      <xdr:col>20</xdr:col>
      <xdr:colOff>375557</xdr:colOff>
      <xdr:row>25</xdr:row>
      <xdr:rowOff>103755</xdr:rowOff>
    </xdr:to>
    <xdr:grpSp>
      <xdr:nvGrpSpPr>
        <xdr:cNvPr id="4" name="Group 3">
          <a:extLst>
            <a:ext uri="{FF2B5EF4-FFF2-40B4-BE49-F238E27FC236}">
              <a16:creationId xmlns:a16="http://schemas.microsoft.com/office/drawing/2014/main" id="{6721CD19-8DFD-4363-B325-AD4F6BA7CC34}"/>
            </a:ext>
          </a:extLst>
        </xdr:cNvPr>
        <xdr:cNvGrpSpPr/>
      </xdr:nvGrpSpPr>
      <xdr:grpSpPr>
        <a:xfrm>
          <a:off x="12729483" y="1136199"/>
          <a:ext cx="5672137" cy="5254056"/>
          <a:chOff x="22468795" y="1100480"/>
          <a:chExt cx="5672137" cy="5254056"/>
        </a:xfrm>
      </xdr:grpSpPr>
      <xdr:sp macro="" textlink="">
        <xdr:nvSpPr>
          <xdr:cNvPr id="3" name="Rectangle 2">
            <a:extLst>
              <a:ext uri="{FF2B5EF4-FFF2-40B4-BE49-F238E27FC236}">
                <a16:creationId xmlns:a16="http://schemas.microsoft.com/office/drawing/2014/main" id="{7E3C6FA9-CA15-4B50-8B87-896709A532AE}"/>
              </a:ext>
            </a:extLst>
          </xdr:cNvPr>
          <xdr:cNvSpPr/>
        </xdr:nvSpPr>
        <xdr:spPr>
          <a:xfrm>
            <a:off x="22468795" y="1100480"/>
            <a:ext cx="5672137" cy="5254056"/>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Reliability and Robustness Evaluation Objective.azz</a:t>
            </a:r>
          </a:p>
        </xdr:txBody>
      </xdr:sp>
      <xdr:pic>
        <xdr:nvPicPr>
          <xdr:cNvPr id="24" name="Picture 23">
            <a:extLst>
              <a:ext uri="{FF2B5EF4-FFF2-40B4-BE49-F238E27FC236}">
                <a16:creationId xmlns:a16="http://schemas.microsoft.com/office/drawing/2014/main" id="{676FCB3F-9A2F-4062-91EE-CC5A9D2BEFD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683233" y="1290980"/>
            <a:ext cx="3355340" cy="4635500"/>
          </a:xfrm>
          <a:prstGeom prst="rect">
            <a:avLst/>
          </a:prstGeom>
          <a:noFill/>
        </xdr:spPr>
      </xdr:pic>
    </xdr:grpSp>
    <xdr:clientData/>
  </xdr:twoCellAnchor>
  <xdr:twoCellAnchor editAs="absolute">
    <xdr:from>
      <xdr:col>11</xdr:col>
      <xdr:colOff>309563</xdr:colOff>
      <xdr:row>26</xdr:row>
      <xdr:rowOff>154781</xdr:rowOff>
    </xdr:from>
    <xdr:to>
      <xdr:col>23</xdr:col>
      <xdr:colOff>500063</xdr:colOff>
      <xdr:row>38</xdr:row>
      <xdr:rowOff>185398</xdr:rowOff>
    </xdr:to>
    <xdr:grpSp>
      <xdr:nvGrpSpPr>
        <xdr:cNvPr id="22" name="Group 21">
          <a:extLst>
            <a:ext uri="{FF2B5EF4-FFF2-40B4-BE49-F238E27FC236}">
              <a16:creationId xmlns:a16="http://schemas.microsoft.com/office/drawing/2014/main" id="{67492270-11D7-4D5A-88B6-2AB7CF81E0AC}"/>
            </a:ext>
          </a:extLst>
        </xdr:cNvPr>
        <xdr:cNvGrpSpPr/>
      </xdr:nvGrpSpPr>
      <xdr:grpSpPr>
        <a:xfrm>
          <a:off x="12727782" y="6631781"/>
          <a:ext cx="7620000" cy="2911930"/>
          <a:chOff x="22467094" y="6596062"/>
          <a:chExt cx="7620000" cy="2911930"/>
        </a:xfrm>
      </xdr:grpSpPr>
      <xdr:sp macro="" textlink="">
        <xdr:nvSpPr>
          <xdr:cNvPr id="20" name="Rectangle 19">
            <a:extLst>
              <a:ext uri="{FF2B5EF4-FFF2-40B4-BE49-F238E27FC236}">
                <a16:creationId xmlns:a16="http://schemas.microsoft.com/office/drawing/2014/main" id="{394DE41B-960D-4E8B-9E19-4C9B0D10061F}"/>
              </a:ext>
            </a:extLst>
          </xdr:cNvPr>
          <xdr:cNvSpPr/>
        </xdr:nvSpPr>
        <xdr:spPr>
          <a:xfrm>
            <a:off x="22467094" y="6596062"/>
            <a:ext cx="7620000" cy="2911930"/>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Water Shortage Volume Performance Measure associated with the Reliability and Robustness Evaluation Objective.</a:t>
            </a:r>
          </a:p>
        </xdr:txBody>
      </xdr:sp>
      <xdr:pic>
        <xdr:nvPicPr>
          <xdr:cNvPr id="26" name="Picture 25">
            <a:extLst>
              <a:ext uri="{FF2B5EF4-FFF2-40B4-BE49-F238E27FC236}">
                <a16:creationId xmlns:a16="http://schemas.microsoft.com/office/drawing/2014/main" id="{DD3746E9-CEDA-44FD-A69C-61E0A199ACB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574375" y="6977062"/>
            <a:ext cx="5595620" cy="1837690"/>
          </a:xfrm>
          <a:prstGeom prst="rect">
            <a:avLst/>
          </a:prstGeom>
          <a:noFill/>
        </xdr:spPr>
      </xdr:pic>
    </xdr:grpSp>
    <xdr:clientData/>
  </xdr:twoCellAnchor>
  <xdr:twoCellAnchor editAs="absolute">
    <xdr:from>
      <xdr:col>11</xdr:col>
      <xdr:colOff>330995</xdr:colOff>
      <xdr:row>110</xdr:row>
      <xdr:rowOff>54771</xdr:rowOff>
    </xdr:from>
    <xdr:to>
      <xdr:col>23</xdr:col>
      <xdr:colOff>523876</xdr:colOff>
      <xdr:row>126</xdr:row>
      <xdr:rowOff>173491</xdr:rowOff>
    </xdr:to>
    <xdr:grpSp>
      <xdr:nvGrpSpPr>
        <xdr:cNvPr id="25" name="Group 24">
          <a:extLst>
            <a:ext uri="{FF2B5EF4-FFF2-40B4-BE49-F238E27FC236}">
              <a16:creationId xmlns:a16="http://schemas.microsoft.com/office/drawing/2014/main" id="{0219BE2C-1DA3-4366-B7CD-40DE1A0BD7F0}"/>
            </a:ext>
          </a:extLst>
        </xdr:cNvPr>
        <xdr:cNvGrpSpPr/>
      </xdr:nvGrpSpPr>
      <xdr:grpSpPr>
        <a:xfrm>
          <a:off x="12749214" y="25700834"/>
          <a:ext cx="7622381" cy="4154938"/>
          <a:chOff x="22488526" y="25665115"/>
          <a:chExt cx="7622381" cy="4154938"/>
        </a:xfrm>
      </xdr:grpSpPr>
      <xdr:sp macro="" textlink="">
        <xdr:nvSpPr>
          <xdr:cNvPr id="5" name="Rectangle 4">
            <a:extLst>
              <a:ext uri="{FF2B5EF4-FFF2-40B4-BE49-F238E27FC236}">
                <a16:creationId xmlns:a16="http://schemas.microsoft.com/office/drawing/2014/main" id="{C5BEB61E-9B17-4BC3-9610-16E0D554DBB5}"/>
              </a:ext>
            </a:extLst>
          </xdr:cNvPr>
          <xdr:cNvSpPr/>
        </xdr:nvSpPr>
        <xdr:spPr>
          <a:xfrm>
            <a:off x="22488526" y="25665115"/>
            <a:ext cx="7622381" cy="415493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Carryover Storage and Reservoir Augmentation Performance Measure associated with the Reliability and Robustness Evaluation Objective.</a:t>
            </a:r>
          </a:p>
        </xdr:txBody>
      </xdr:sp>
      <xdr:pic>
        <xdr:nvPicPr>
          <xdr:cNvPr id="28" name="Picture 27">
            <a:extLst>
              <a:ext uri="{FF2B5EF4-FFF2-40B4-BE49-F238E27FC236}">
                <a16:creationId xmlns:a16="http://schemas.microsoft.com/office/drawing/2014/main" id="{AD4D2DDE-0E3B-442A-9FC2-B9A5944DFBB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190995" y="26022303"/>
            <a:ext cx="6108065" cy="2724785"/>
          </a:xfrm>
          <a:prstGeom prst="rect">
            <a:avLst/>
          </a:prstGeom>
          <a:noFill/>
        </xdr:spPr>
      </xdr:pic>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17</xdr:col>
      <xdr:colOff>281777</xdr:colOff>
      <xdr:row>75</xdr:row>
      <xdr:rowOff>111126</xdr:rowOff>
    </xdr:from>
    <xdr:to>
      <xdr:col>31</xdr:col>
      <xdr:colOff>496093</xdr:colOff>
      <xdr:row>544</xdr:row>
      <xdr:rowOff>22656</xdr:rowOff>
    </xdr:to>
    <xdr:grpSp>
      <xdr:nvGrpSpPr>
        <xdr:cNvPr id="24" name="Group 23">
          <a:extLst>
            <a:ext uri="{FF2B5EF4-FFF2-40B4-BE49-F238E27FC236}">
              <a16:creationId xmlns:a16="http://schemas.microsoft.com/office/drawing/2014/main" id="{F244924C-731C-42CB-8613-BF293D014F1F}"/>
            </a:ext>
          </a:extLst>
        </xdr:cNvPr>
        <xdr:cNvGrpSpPr/>
      </xdr:nvGrpSpPr>
      <xdr:grpSpPr>
        <a:xfrm>
          <a:off x="12664277" y="18446751"/>
          <a:ext cx="8437566" cy="5086780"/>
          <a:chOff x="17930810" y="18014157"/>
          <a:chExt cx="8786750" cy="3145465"/>
        </a:xfrm>
      </xdr:grpSpPr>
      <xdr:sp macro="" textlink="">
        <xdr:nvSpPr>
          <xdr:cNvPr id="7" name="Rectangle 6">
            <a:extLst>
              <a:ext uri="{FF2B5EF4-FFF2-40B4-BE49-F238E27FC236}">
                <a16:creationId xmlns:a16="http://schemas.microsoft.com/office/drawing/2014/main" id="{71792177-C738-4E2E-AF78-7B2FCA5238A0}"/>
              </a:ext>
            </a:extLst>
          </xdr:cNvPr>
          <xdr:cNvSpPr/>
        </xdr:nvSpPr>
        <xdr:spPr>
          <a:xfrm>
            <a:off x="17930810" y="18014157"/>
            <a:ext cx="8786750" cy="3145465"/>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Groundwater Quality Performance Measure associated with the Water Quality and Watersheds Evaluation Objective.</a:t>
            </a:r>
          </a:p>
        </xdr:txBody>
      </xdr:sp>
      <xdr:pic>
        <xdr:nvPicPr>
          <xdr:cNvPr id="8" name="Picture 7">
            <a:extLst>
              <a:ext uri="{FF2B5EF4-FFF2-40B4-BE49-F238E27FC236}">
                <a16:creationId xmlns:a16="http://schemas.microsoft.com/office/drawing/2014/main" id="{15A24463-E53F-4338-8561-6E9193ED054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13249" y="18172260"/>
            <a:ext cx="5939719" cy="2734439"/>
          </a:xfrm>
          <a:prstGeom prst="rect">
            <a:avLst/>
          </a:prstGeom>
          <a:noFill/>
          <a:ln>
            <a:noFill/>
          </a:ln>
        </xdr:spPr>
      </xdr:pic>
    </xdr:grpSp>
    <xdr:clientData/>
  </xdr:twoCellAnchor>
  <xdr:twoCellAnchor editAs="absolute">
    <xdr:from>
      <xdr:col>17</xdr:col>
      <xdr:colOff>286542</xdr:colOff>
      <xdr:row>51</xdr:row>
      <xdr:rowOff>537369</xdr:rowOff>
    </xdr:from>
    <xdr:to>
      <xdr:col>31</xdr:col>
      <xdr:colOff>504031</xdr:colOff>
      <xdr:row>74</xdr:row>
      <xdr:rowOff>99217</xdr:rowOff>
    </xdr:to>
    <xdr:grpSp>
      <xdr:nvGrpSpPr>
        <xdr:cNvPr id="23" name="Group 22">
          <a:extLst>
            <a:ext uri="{FF2B5EF4-FFF2-40B4-BE49-F238E27FC236}">
              <a16:creationId xmlns:a16="http://schemas.microsoft.com/office/drawing/2014/main" id="{63DC35F7-83F2-4562-8351-A41DAFFCE4BB}"/>
            </a:ext>
          </a:extLst>
        </xdr:cNvPr>
        <xdr:cNvGrpSpPr/>
      </xdr:nvGrpSpPr>
      <xdr:grpSpPr>
        <a:xfrm>
          <a:off x="12669042" y="13475494"/>
          <a:ext cx="8440739" cy="4768848"/>
          <a:chOff x="17733167" y="11561754"/>
          <a:chExt cx="8496301" cy="3505898"/>
        </a:xfrm>
      </xdr:grpSpPr>
      <xdr:sp macro="" textlink="">
        <xdr:nvSpPr>
          <xdr:cNvPr id="10" name="Rectangle 9">
            <a:extLst>
              <a:ext uri="{FF2B5EF4-FFF2-40B4-BE49-F238E27FC236}">
                <a16:creationId xmlns:a16="http://schemas.microsoft.com/office/drawing/2014/main" id="{F05FBD9D-DE25-4FD8-8836-A9687F7D7CAF}"/>
              </a:ext>
            </a:extLst>
          </xdr:cNvPr>
          <xdr:cNvSpPr/>
        </xdr:nvSpPr>
        <xdr:spPr>
          <a:xfrm>
            <a:off x="17733167" y="11561754"/>
            <a:ext cx="8496301" cy="3505898"/>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Surface Water Quality Performance Measure associated with the Water Quality and Watersheds Evaluation Objective.</a:t>
            </a:r>
          </a:p>
        </xdr:txBody>
      </xdr:sp>
      <xdr:pic>
        <xdr:nvPicPr>
          <xdr:cNvPr id="11" name="Picture 10">
            <a:extLst>
              <a:ext uri="{FF2B5EF4-FFF2-40B4-BE49-F238E27FC236}">
                <a16:creationId xmlns:a16="http://schemas.microsoft.com/office/drawing/2014/main" id="{73B12F93-01A9-4B1F-A838-65A10E2AA8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47820" y="11686387"/>
            <a:ext cx="5576446" cy="3168751"/>
          </a:xfrm>
          <a:prstGeom prst="rect">
            <a:avLst/>
          </a:prstGeom>
          <a:noFill/>
          <a:ln>
            <a:noFill/>
          </a:ln>
        </xdr:spPr>
      </xdr:pic>
    </xdr:grpSp>
    <xdr:clientData/>
  </xdr:twoCellAnchor>
  <xdr:twoCellAnchor editAs="absolute">
    <xdr:from>
      <xdr:col>17</xdr:col>
      <xdr:colOff>269852</xdr:colOff>
      <xdr:row>25</xdr:row>
      <xdr:rowOff>61115</xdr:rowOff>
    </xdr:from>
    <xdr:to>
      <xdr:col>31</xdr:col>
      <xdr:colOff>496093</xdr:colOff>
      <xdr:row>36</xdr:row>
      <xdr:rowOff>908843</xdr:rowOff>
    </xdr:to>
    <xdr:grpSp>
      <xdr:nvGrpSpPr>
        <xdr:cNvPr id="21" name="Group 20">
          <a:extLst>
            <a:ext uri="{FF2B5EF4-FFF2-40B4-BE49-F238E27FC236}">
              <a16:creationId xmlns:a16="http://schemas.microsoft.com/office/drawing/2014/main" id="{9E8982C7-9D89-4C06-9433-0A883AC8E82C}"/>
            </a:ext>
          </a:extLst>
        </xdr:cNvPr>
        <xdr:cNvGrpSpPr/>
      </xdr:nvGrpSpPr>
      <xdr:grpSpPr>
        <a:xfrm>
          <a:off x="12652352" y="6299990"/>
          <a:ext cx="8449491" cy="3292478"/>
          <a:chOff x="17653590" y="6022181"/>
          <a:chExt cx="7008436" cy="4297234"/>
        </a:xfrm>
      </xdr:grpSpPr>
      <xdr:sp macro="" textlink="">
        <xdr:nvSpPr>
          <xdr:cNvPr id="14" name="Rectangle 13">
            <a:extLst>
              <a:ext uri="{FF2B5EF4-FFF2-40B4-BE49-F238E27FC236}">
                <a16:creationId xmlns:a16="http://schemas.microsoft.com/office/drawing/2014/main" id="{D2A44A80-8965-4D77-B3B1-F9E49A518CA2}"/>
              </a:ext>
            </a:extLst>
          </xdr:cNvPr>
          <xdr:cNvSpPr/>
        </xdr:nvSpPr>
        <xdr:spPr>
          <a:xfrm>
            <a:off x="17653590" y="6022181"/>
            <a:ext cx="7008436" cy="429723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Stormwater and Wastewater Discharges to Freshwater Bodies Sub-Score for the Stormwater and Wastewater Discharges Performance Measure associated with the Water Quality and Watersheds Evaluation Objective.</a:t>
            </a:r>
          </a:p>
        </xdr:txBody>
      </xdr:sp>
      <xdr:pic>
        <xdr:nvPicPr>
          <xdr:cNvPr id="18" name="Picture 17">
            <a:extLst>
              <a:ext uri="{FF2B5EF4-FFF2-40B4-BE49-F238E27FC236}">
                <a16:creationId xmlns:a16="http://schemas.microsoft.com/office/drawing/2014/main" id="{307F665D-842B-4B4A-A2CA-1B9752A7F6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87582" y="6153149"/>
            <a:ext cx="6013929" cy="3549715"/>
          </a:xfrm>
          <a:prstGeom prst="rect">
            <a:avLst/>
          </a:prstGeom>
          <a:noFill/>
          <a:ln>
            <a:noFill/>
          </a:ln>
        </xdr:spPr>
      </xdr:pic>
    </xdr:grpSp>
    <xdr:clientData/>
  </xdr:twoCellAnchor>
  <xdr:twoCellAnchor editAs="absolute">
    <xdr:from>
      <xdr:col>17</xdr:col>
      <xdr:colOff>277016</xdr:colOff>
      <xdr:row>37</xdr:row>
      <xdr:rowOff>182562</xdr:rowOff>
    </xdr:from>
    <xdr:to>
      <xdr:col>31</xdr:col>
      <xdr:colOff>515938</xdr:colOff>
      <xdr:row>51</xdr:row>
      <xdr:rowOff>349250</xdr:rowOff>
    </xdr:to>
    <xdr:grpSp>
      <xdr:nvGrpSpPr>
        <xdr:cNvPr id="22" name="Group 21">
          <a:extLst>
            <a:ext uri="{FF2B5EF4-FFF2-40B4-BE49-F238E27FC236}">
              <a16:creationId xmlns:a16="http://schemas.microsoft.com/office/drawing/2014/main" id="{499BBED3-C6E3-4EC7-A7A1-7FF2C7589918}"/>
            </a:ext>
          </a:extLst>
        </xdr:cNvPr>
        <xdr:cNvGrpSpPr/>
      </xdr:nvGrpSpPr>
      <xdr:grpSpPr>
        <a:xfrm>
          <a:off x="12659516" y="10009187"/>
          <a:ext cx="8462172" cy="3278188"/>
          <a:chOff x="17926048" y="9052092"/>
          <a:chExt cx="8517734" cy="4059474"/>
        </a:xfrm>
      </xdr:grpSpPr>
      <xdr:sp macro="" textlink="">
        <xdr:nvSpPr>
          <xdr:cNvPr id="19" name="Rectangle 18">
            <a:extLst>
              <a:ext uri="{FF2B5EF4-FFF2-40B4-BE49-F238E27FC236}">
                <a16:creationId xmlns:a16="http://schemas.microsoft.com/office/drawing/2014/main" id="{CA728FDE-C243-49E6-A245-D2E137954017}"/>
              </a:ext>
            </a:extLst>
          </xdr:cNvPr>
          <xdr:cNvSpPr/>
        </xdr:nvSpPr>
        <xdr:spPr>
          <a:xfrm>
            <a:off x="17926048" y="9052092"/>
            <a:ext cx="8517734" cy="4059474"/>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r>
              <a:rPr lang="en-US" sz="1100" b="1">
                <a:solidFill>
                  <a:sysClr val="windowText" lastClr="000000"/>
                </a:solidFill>
                <a:effectLst/>
                <a:latin typeface="+mn-lt"/>
                <a:ea typeface="+mn-ea"/>
                <a:cs typeface="+mn-cs"/>
              </a:rPr>
              <a:t>Decision tree for Stormwater and Wastewater Discharges to Marine Bodies Sub-Score for the Stormwater and Wastewater Discharges Performance Measure associated with the Water Quality and Watersheds Evaluation Objective.</a:t>
            </a:r>
          </a:p>
        </xdr:txBody>
      </xdr:sp>
      <xdr:pic>
        <xdr:nvPicPr>
          <xdr:cNvPr id="20" name="Picture 19">
            <a:extLst>
              <a:ext uri="{FF2B5EF4-FFF2-40B4-BE49-F238E27FC236}">
                <a16:creationId xmlns:a16="http://schemas.microsoft.com/office/drawing/2014/main" id="{CCCD98AD-5E00-4340-8CE6-1D5BA097170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61828" y="9164777"/>
            <a:ext cx="7300173" cy="3355713"/>
          </a:xfrm>
          <a:prstGeom prst="rect">
            <a:avLst/>
          </a:prstGeom>
          <a:noFill/>
          <a:ln>
            <a:noFill/>
          </a:ln>
        </xdr:spPr>
      </xdr:pic>
    </xdr:grpSp>
    <xdr:clientData/>
  </xdr:twoCellAnchor>
  <xdr:twoCellAnchor editAs="absolute">
    <xdr:from>
      <xdr:col>17</xdr:col>
      <xdr:colOff>265111</xdr:colOff>
      <xdr:row>4</xdr:row>
      <xdr:rowOff>165895</xdr:rowOff>
    </xdr:from>
    <xdr:to>
      <xdr:col>28</xdr:col>
      <xdr:colOff>504030</xdr:colOff>
      <xdr:row>24</xdr:row>
      <xdr:rowOff>87311</xdr:rowOff>
    </xdr:to>
    <xdr:grpSp>
      <xdr:nvGrpSpPr>
        <xdr:cNvPr id="4" name="Group 3">
          <a:extLst>
            <a:ext uri="{FF2B5EF4-FFF2-40B4-BE49-F238E27FC236}">
              <a16:creationId xmlns:a16="http://schemas.microsoft.com/office/drawing/2014/main" id="{82BC345E-CA1B-45DC-A1AF-7E94790F2C15}"/>
            </a:ext>
          </a:extLst>
        </xdr:cNvPr>
        <xdr:cNvGrpSpPr/>
      </xdr:nvGrpSpPr>
      <xdr:grpSpPr>
        <a:xfrm>
          <a:off x="12647611" y="1102520"/>
          <a:ext cx="6652419" cy="5001416"/>
          <a:chOff x="22486142" y="1138239"/>
          <a:chExt cx="6696076" cy="5017291"/>
        </a:xfrm>
      </xdr:grpSpPr>
      <xdr:sp macro="" textlink="">
        <xdr:nvSpPr>
          <xdr:cNvPr id="15" name="Rectangle 14">
            <a:extLst>
              <a:ext uri="{FF2B5EF4-FFF2-40B4-BE49-F238E27FC236}">
                <a16:creationId xmlns:a16="http://schemas.microsoft.com/office/drawing/2014/main" id="{29D244D5-8FF6-4CE8-A411-69D9181C852C}"/>
              </a:ext>
            </a:extLst>
          </xdr:cNvPr>
          <xdr:cNvSpPr/>
        </xdr:nvSpPr>
        <xdr:spPr>
          <a:xfrm>
            <a:off x="22486142" y="1138239"/>
            <a:ext cx="6696076" cy="5017291"/>
          </a:xfrm>
          <a:prstGeom prst="rect">
            <a:avLst/>
          </a:prstGeom>
          <a:solidFill>
            <a:schemeClr val="bg1">
              <a:lumMod val="95000"/>
            </a:schemeClr>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endParaRPr lang="en-US" sz="1100">
              <a:solidFill>
                <a:schemeClr val="lt1"/>
              </a:solidFill>
              <a:effectLst/>
              <a:latin typeface="+mn-lt"/>
              <a:ea typeface="+mn-ea"/>
              <a:cs typeface="+mn-cs"/>
            </a:endParaRPr>
          </a:p>
          <a:p>
            <a:r>
              <a:rPr lang="en-US" sz="1100" b="1">
                <a:solidFill>
                  <a:sysClr val="windowText" lastClr="000000"/>
                </a:solidFill>
                <a:effectLst/>
                <a:latin typeface="+mn-lt"/>
                <a:ea typeface="+mn-ea"/>
                <a:cs typeface="+mn-cs"/>
              </a:rPr>
              <a:t>Decision tree for the Water Quality and Watersheds Evaluation Objective.</a:t>
            </a:r>
          </a:p>
        </xdr:txBody>
      </xdr:sp>
      <xdr:pic>
        <xdr:nvPicPr>
          <xdr:cNvPr id="3" name="Picture 2">
            <a:extLst>
              <a:ext uri="{FF2B5EF4-FFF2-40B4-BE49-F238E27FC236}">
                <a16:creationId xmlns:a16="http://schemas.microsoft.com/office/drawing/2014/main" id="{BDCC6816-72A9-4E76-B74F-D2C2AF3B39F4}"/>
              </a:ext>
            </a:extLst>
          </xdr:cNvPr>
          <xdr:cNvPicPr>
            <a:picLocks noChangeAspect="1"/>
          </xdr:cNvPicPr>
        </xdr:nvPicPr>
        <xdr:blipFill>
          <a:blip xmlns:r="http://schemas.openxmlformats.org/officeDocument/2006/relationships" r:embed="rId5"/>
          <a:stretch>
            <a:fillRect/>
          </a:stretch>
        </xdr:blipFill>
        <xdr:spPr>
          <a:xfrm>
            <a:off x="23883938" y="1262062"/>
            <a:ext cx="4279763" cy="4577274"/>
          </a:xfrm>
          <a:prstGeom prst="rect">
            <a:avLst/>
          </a:prstGeom>
        </xdr:spPr>
      </xdr:pic>
    </xdr:grpSp>
    <xdr:clientData/>
  </xdr:twoCellAnchor>
</xdr:wsDr>
</file>

<file path=xl/drawings/drawing3.xml><?xml version="1.0" encoding="utf-8"?>
<c:userShapes xmlns:c="http://schemas.openxmlformats.org/drawingml/2006/chart">
  <cdr:relSizeAnchor xmlns:cdr="http://schemas.openxmlformats.org/drawingml/2006/chartDrawing">
    <cdr:from>
      <cdr:x>0.18907</cdr:x>
      <cdr:y>0.26554</cdr:y>
    </cdr:from>
    <cdr:to>
      <cdr:x>0.2421</cdr:x>
      <cdr:y>0.59184</cdr:y>
    </cdr:to>
    <cdr:sp macro="" textlink="">
      <cdr:nvSpPr>
        <cdr:cNvPr id="2" name="TextBox 1">
          <a:extLst xmlns:a="http://schemas.openxmlformats.org/drawingml/2006/main">
            <a:ext uri="{FF2B5EF4-FFF2-40B4-BE49-F238E27FC236}">
              <a16:creationId xmlns:a16="http://schemas.microsoft.com/office/drawing/2014/main" id="{AD4D2293-F14C-4497-88D2-063F14874FF3}"/>
            </a:ext>
          </a:extLst>
        </cdr:cNvPr>
        <cdr:cNvSpPr txBox="1"/>
      </cdr:nvSpPr>
      <cdr:spPr>
        <a:xfrm xmlns:a="http://schemas.openxmlformats.org/drawingml/2006/main">
          <a:off x="1320650" y="1093791"/>
          <a:ext cx="370417" cy="134408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US" sz="900">
              <a:solidFill>
                <a:sysClr val="windowText" lastClr="000000"/>
              </a:solidFill>
            </a:rPr>
            <a:t>Not Scored</a:t>
          </a:r>
        </a:p>
      </cdr:txBody>
    </cdr:sp>
  </cdr:relSizeAnchor>
</c:userShapes>
</file>

<file path=xl/drawings/drawing4.xml><?xml version="1.0" encoding="utf-8"?>
<c:userShapes xmlns:c="http://schemas.openxmlformats.org/drawingml/2006/chart">
  <cdr:relSizeAnchor xmlns:cdr="http://schemas.openxmlformats.org/drawingml/2006/chartDrawing">
    <cdr:from>
      <cdr:x>0.19534</cdr:x>
      <cdr:y>0.26882</cdr:y>
    </cdr:from>
    <cdr:to>
      <cdr:x>0.24842</cdr:x>
      <cdr:y>0.59459</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63133" y="1109133"/>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dr:relSizeAnchor xmlns:cdr="http://schemas.openxmlformats.org/drawingml/2006/chartDrawing">
    <cdr:from>
      <cdr:x>0.4107</cdr:x>
      <cdr:y>0.27139</cdr:y>
    </cdr:from>
    <cdr:to>
      <cdr:x>0.46378</cdr:x>
      <cdr:y>0.59715</cdr:y>
    </cdr:to>
    <cdr:sp macro="" textlink="">
      <cdr:nvSpPr>
        <cdr:cNvPr id="3"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2865966" y="1119717"/>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5.xml><?xml version="1.0" encoding="utf-8"?>
<c:userShapes xmlns:c="http://schemas.openxmlformats.org/drawingml/2006/chart">
  <cdr:relSizeAnchor xmlns:cdr="http://schemas.openxmlformats.org/drawingml/2006/chartDrawing">
    <cdr:from>
      <cdr:x>0.19231</cdr:x>
      <cdr:y>0.26655</cdr:y>
    </cdr:from>
    <cdr:to>
      <cdr:x>0.24539</cdr:x>
      <cdr:y>0.59267</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098550"/>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6.xml><?xml version="1.0" encoding="utf-8"?>
<c:userShapes xmlns:c="http://schemas.openxmlformats.org/drawingml/2006/chart">
  <cdr:relSizeAnchor xmlns:cdr="http://schemas.openxmlformats.org/drawingml/2006/chartDrawing">
    <cdr:from>
      <cdr:x>0.19231</cdr:x>
      <cdr:y>0.26674</cdr:y>
    </cdr:from>
    <cdr:to>
      <cdr:x>0.24539</cdr:x>
      <cdr:y>0.59311</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098550"/>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dr:relSizeAnchor xmlns:cdr="http://schemas.openxmlformats.org/drawingml/2006/chartDrawing">
    <cdr:from>
      <cdr:x>0.26056</cdr:x>
      <cdr:y>0.26931</cdr:y>
    </cdr:from>
    <cdr:to>
      <cdr:x>0.31364</cdr:x>
      <cdr:y>0.59568</cdr:y>
    </cdr:to>
    <cdr:sp macro="" textlink="">
      <cdr:nvSpPr>
        <cdr:cNvPr id="3"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818216" y="1109134"/>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dr:relSizeAnchor xmlns:cdr="http://schemas.openxmlformats.org/drawingml/2006/chartDrawing">
    <cdr:from>
      <cdr:x>0.41222</cdr:x>
      <cdr:y>0.26674</cdr:y>
    </cdr:from>
    <cdr:to>
      <cdr:x>0.4653</cdr:x>
      <cdr:y>0.59311</cdr:y>
    </cdr:to>
    <cdr:sp macro="" textlink="">
      <cdr:nvSpPr>
        <cdr:cNvPr id="4"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2876550" y="1098550"/>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dr:relSizeAnchor xmlns:cdr="http://schemas.openxmlformats.org/drawingml/2006/chartDrawing">
    <cdr:from>
      <cdr:x>0.6291</cdr:x>
      <cdr:y>0.26931</cdr:y>
    </cdr:from>
    <cdr:to>
      <cdr:x>0.68218</cdr:x>
      <cdr:y>0.59568</cdr:y>
    </cdr:to>
    <cdr:sp macro="" textlink="">
      <cdr:nvSpPr>
        <cdr:cNvPr id="5"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4389966" y="1109133"/>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7.xml><?xml version="1.0" encoding="utf-8"?>
<c:userShapes xmlns:c="http://schemas.openxmlformats.org/drawingml/2006/chart">
  <cdr:relSizeAnchor xmlns:cdr="http://schemas.openxmlformats.org/drawingml/2006/chartDrawing">
    <cdr:from>
      <cdr:x>0.19231</cdr:x>
      <cdr:y>0.27139</cdr:y>
    </cdr:from>
    <cdr:to>
      <cdr:x>0.24539</cdr:x>
      <cdr:y>0.59715</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119717"/>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8.xml><?xml version="1.0" encoding="utf-8"?>
<c:userShapes xmlns:c="http://schemas.openxmlformats.org/drawingml/2006/chart">
  <cdr:relSizeAnchor xmlns:cdr="http://schemas.openxmlformats.org/drawingml/2006/chartDrawing">
    <cdr:from>
      <cdr:x>0.19383</cdr:x>
      <cdr:y>0.26882</cdr:y>
    </cdr:from>
    <cdr:to>
      <cdr:x>0.24691</cdr:x>
      <cdr:y>0.59459</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52550" y="1109133"/>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drawings/drawing9.xml><?xml version="1.0" encoding="utf-8"?>
<c:userShapes xmlns:c="http://schemas.openxmlformats.org/drawingml/2006/chart">
  <cdr:relSizeAnchor xmlns:cdr="http://schemas.openxmlformats.org/drawingml/2006/chartDrawing">
    <cdr:from>
      <cdr:x>0.19231</cdr:x>
      <cdr:y>0.27139</cdr:y>
    </cdr:from>
    <cdr:to>
      <cdr:x>0.24539</cdr:x>
      <cdr:y>0.59715</cdr:y>
    </cdr:to>
    <cdr:sp macro="" textlink="">
      <cdr:nvSpPr>
        <cdr:cNvPr id="2" name="TextBox 1">
          <a:extLst xmlns:a="http://schemas.openxmlformats.org/drawingml/2006/main">
            <a:ext uri="{FF2B5EF4-FFF2-40B4-BE49-F238E27FC236}">
              <a16:creationId xmlns:a16="http://schemas.microsoft.com/office/drawing/2014/main" id="{D1A42651-3B43-493F-A405-1AB89B5CB037}"/>
            </a:ext>
          </a:extLst>
        </cdr:cNvPr>
        <cdr:cNvSpPr txBox="1"/>
      </cdr:nvSpPr>
      <cdr:spPr>
        <a:xfrm xmlns:a="http://schemas.openxmlformats.org/drawingml/2006/main">
          <a:off x="1341967" y="1119716"/>
          <a:ext cx="370417" cy="134408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solidFill>
                <a:sysClr val="windowText" lastClr="000000"/>
              </a:solidFill>
            </a:rPr>
            <a:t>Not Scored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0%20Projects/2015%20Projects/2015-026%20San%20Diego%20Basin%20Study%20FY15/3.0%20Data%20&amp;%20Analysis/Task%202.4/Concepts%20and%20Projects/Projects_0823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20Projects/2015%20Projects/2015-026%20San%20Diego%20Basin%20Study%20FY15/3.0%20Data%20&amp;%20Analysis/Task%202.5/Calc%20Review/Raw%20Data/Score%20Summary%20by%20Concept%20DRAFT%202018-09-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sheetName val="Cell Validation"/>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Responses"/>
      <sheetName val="Raw Scores"/>
      <sheetName val="Summary by Concept"/>
      <sheetName val="Rubric"/>
      <sheetName val="Cell Validation"/>
    </sheetNames>
    <sheetDataSet>
      <sheetData sheetId="0">
        <row r="232">
          <cell r="A232"/>
          <cell r="B232"/>
          <cell r="C232"/>
          <cell r="F232"/>
          <cell r="G232"/>
          <cell r="H232"/>
          <cell r="I232"/>
          <cell r="J232"/>
          <cell r="L232"/>
          <cell r="N232"/>
          <cell r="O232"/>
          <cell r="Q232"/>
          <cell r="R232"/>
          <cell r="S232"/>
          <cell r="T232"/>
          <cell r="V232"/>
          <cell r="X232"/>
          <cell r="Z232"/>
          <cell r="AA232"/>
          <cell r="AB232"/>
          <cell r="AD232"/>
          <cell r="AE232"/>
          <cell r="AG232"/>
        </row>
        <row r="233">
          <cell r="A233"/>
          <cell r="B233"/>
          <cell r="C233"/>
          <cell r="F233"/>
          <cell r="G233"/>
          <cell r="H233"/>
          <cell r="I233"/>
          <cell r="J233"/>
          <cell r="L233"/>
          <cell r="N233"/>
          <cell r="O233"/>
          <cell r="Q233"/>
          <cell r="R233"/>
          <cell r="S233"/>
          <cell r="T233"/>
          <cell r="V233"/>
          <cell r="X233"/>
          <cell r="Z233"/>
          <cell r="AA233"/>
          <cell r="AB233"/>
          <cell r="AD233"/>
          <cell r="AE233"/>
          <cell r="AG233"/>
        </row>
        <row r="234">
          <cell r="A234"/>
          <cell r="B234"/>
          <cell r="C234"/>
          <cell r="F234"/>
          <cell r="G234"/>
          <cell r="H234"/>
          <cell r="I234"/>
          <cell r="J234"/>
          <cell r="L234"/>
          <cell r="N234"/>
          <cell r="O234"/>
          <cell r="Q234"/>
          <cell r="R234"/>
          <cell r="S234"/>
          <cell r="T234"/>
          <cell r="V234"/>
          <cell r="X234"/>
          <cell r="Z234"/>
          <cell r="AA234"/>
          <cell r="AB234"/>
          <cell r="AD234"/>
          <cell r="AE234"/>
          <cell r="AG234"/>
        </row>
        <row r="235">
          <cell r="A235"/>
          <cell r="B235"/>
          <cell r="C235"/>
          <cell r="F235"/>
          <cell r="G235"/>
          <cell r="H235"/>
          <cell r="I235"/>
          <cell r="J235"/>
          <cell r="L235"/>
          <cell r="N235"/>
          <cell r="O235"/>
          <cell r="Q235"/>
          <cell r="R235"/>
          <cell r="S235"/>
          <cell r="T235"/>
          <cell r="V235"/>
          <cell r="X235"/>
          <cell r="Z235"/>
          <cell r="AA235"/>
          <cell r="AB235"/>
          <cell r="AD235"/>
          <cell r="AE235"/>
          <cell r="AG235"/>
        </row>
        <row r="236">
          <cell r="A236"/>
          <cell r="B236"/>
          <cell r="C236"/>
          <cell r="F236"/>
          <cell r="G236"/>
          <cell r="H236"/>
          <cell r="I236"/>
          <cell r="J236"/>
          <cell r="L236"/>
          <cell r="N236"/>
          <cell r="O236"/>
          <cell r="Q236"/>
          <cell r="R236"/>
          <cell r="S236"/>
          <cell r="T236"/>
          <cell r="V236"/>
          <cell r="X236"/>
          <cell r="Z236"/>
          <cell r="AA236"/>
          <cell r="AB236"/>
          <cell r="AD236"/>
          <cell r="AE236"/>
          <cell r="AG236"/>
        </row>
        <row r="237">
          <cell r="A237"/>
          <cell r="B237"/>
          <cell r="C237"/>
          <cell r="F237"/>
          <cell r="G237"/>
          <cell r="H237"/>
          <cell r="I237"/>
          <cell r="J237"/>
          <cell r="L237"/>
          <cell r="N237"/>
          <cell r="O237"/>
          <cell r="Q237"/>
          <cell r="R237"/>
          <cell r="S237"/>
          <cell r="T237"/>
          <cell r="V237"/>
          <cell r="X237"/>
          <cell r="Z237"/>
          <cell r="AA237"/>
          <cell r="AB237"/>
          <cell r="AD237"/>
          <cell r="AE237"/>
          <cell r="AG237"/>
        </row>
        <row r="238">
          <cell r="A238"/>
          <cell r="B238"/>
          <cell r="C238"/>
          <cell r="F238"/>
          <cell r="G238"/>
          <cell r="H238"/>
          <cell r="I238"/>
          <cell r="J238"/>
          <cell r="L238"/>
          <cell r="N238"/>
          <cell r="O238"/>
          <cell r="Q238"/>
          <cell r="R238"/>
          <cell r="S238"/>
          <cell r="T238"/>
          <cell r="V238"/>
          <cell r="X238"/>
          <cell r="Z238"/>
          <cell r="AA238"/>
          <cell r="AB238"/>
          <cell r="AD238"/>
          <cell r="AE238"/>
          <cell r="AG238"/>
        </row>
        <row r="239">
          <cell r="A239"/>
          <cell r="B239"/>
          <cell r="C239"/>
          <cell r="F239"/>
          <cell r="G239"/>
          <cell r="H239"/>
          <cell r="I239"/>
          <cell r="J239"/>
          <cell r="L239"/>
          <cell r="N239"/>
          <cell r="O239"/>
          <cell r="Q239"/>
          <cell r="R239"/>
          <cell r="S239"/>
          <cell r="T239"/>
          <cell r="V239"/>
          <cell r="X239"/>
          <cell r="Z239"/>
          <cell r="AA239"/>
          <cell r="AB239"/>
          <cell r="AD239"/>
          <cell r="AE239"/>
          <cell r="AG239"/>
        </row>
        <row r="240">
          <cell r="A240"/>
          <cell r="B240"/>
          <cell r="C240"/>
          <cell r="F240"/>
          <cell r="G240"/>
          <cell r="H240"/>
          <cell r="I240"/>
          <cell r="J240"/>
          <cell r="L240"/>
          <cell r="N240"/>
          <cell r="O240"/>
          <cell r="Q240"/>
          <cell r="R240"/>
          <cell r="S240"/>
          <cell r="T240"/>
          <cell r="V240"/>
          <cell r="X240"/>
          <cell r="Z240"/>
          <cell r="AA240"/>
          <cell r="AB240"/>
          <cell r="AD240"/>
          <cell r="AE240"/>
          <cell r="AG240"/>
        </row>
        <row r="241">
          <cell r="A241"/>
          <cell r="B241"/>
          <cell r="C241"/>
          <cell r="F241"/>
          <cell r="G241"/>
          <cell r="H241"/>
          <cell r="I241"/>
          <cell r="J241"/>
          <cell r="L241"/>
          <cell r="N241"/>
          <cell r="O241"/>
          <cell r="Q241"/>
          <cell r="R241"/>
          <cell r="S241"/>
          <cell r="T241"/>
          <cell r="V241"/>
          <cell r="X241"/>
          <cell r="Z241"/>
          <cell r="AA241"/>
          <cell r="AB241"/>
          <cell r="AD241"/>
          <cell r="AE241"/>
          <cell r="AG241"/>
        </row>
        <row r="242">
          <cell r="A242"/>
          <cell r="B242"/>
          <cell r="C242"/>
          <cell r="F242"/>
          <cell r="G242"/>
          <cell r="H242"/>
          <cell r="I242"/>
          <cell r="J242"/>
          <cell r="L242"/>
          <cell r="N242"/>
          <cell r="O242"/>
          <cell r="Q242"/>
          <cell r="R242"/>
          <cell r="S242"/>
          <cell r="T242"/>
          <cell r="V242"/>
          <cell r="X242"/>
          <cell r="Z242"/>
          <cell r="AA242"/>
          <cell r="AB242"/>
          <cell r="AD242"/>
          <cell r="AE242"/>
          <cell r="AG242"/>
        </row>
        <row r="243">
          <cell r="A243"/>
          <cell r="B243"/>
          <cell r="C243"/>
          <cell r="F243"/>
          <cell r="G243"/>
          <cell r="H243"/>
          <cell r="I243"/>
          <cell r="J243"/>
          <cell r="L243"/>
          <cell r="N243"/>
          <cell r="O243"/>
          <cell r="Q243"/>
          <cell r="R243"/>
          <cell r="S243"/>
          <cell r="T243"/>
          <cell r="V243"/>
          <cell r="X243"/>
          <cell r="Z243"/>
          <cell r="AA243"/>
          <cell r="AB243"/>
          <cell r="AD243"/>
          <cell r="AE243"/>
          <cell r="AG243"/>
        </row>
        <row r="244">
          <cell r="A244"/>
          <cell r="B244"/>
          <cell r="C244"/>
          <cell r="F244"/>
          <cell r="G244"/>
          <cell r="H244"/>
          <cell r="I244"/>
          <cell r="J244"/>
          <cell r="L244"/>
          <cell r="N244"/>
          <cell r="O244"/>
          <cell r="Q244"/>
          <cell r="R244"/>
          <cell r="S244"/>
          <cell r="T244"/>
          <cell r="V244"/>
          <cell r="X244"/>
          <cell r="Z244"/>
          <cell r="AA244"/>
          <cell r="AB244"/>
          <cell r="AD244"/>
          <cell r="AE244"/>
          <cell r="AG244"/>
        </row>
        <row r="245">
          <cell r="A245"/>
          <cell r="B245"/>
          <cell r="C245"/>
          <cell r="F245"/>
          <cell r="G245"/>
          <cell r="H245"/>
          <cell r="I245"/>
          <cell r="J245"/>
          <cell r="L245"/>
          <cell r="N245"/>
          <cell r="O245"/>
          <cell r="Q245"/>
          <cell r="R245"/>
          <cell r="S245"/>
          <cell r="T245"/>
          <cell r="V245"/>
          <cell r="X245"/>
          <cell r="Z245"/>
          <cell r="AA245"/>
          <cell r="AB245"/>
          <cell r="AD245"/>
          <cell r="AE245"/>
          <cell r="AG245"/>
        </row>
        <row r="246">
          <cell r="A246"/>
          <cell r="B246"/>
          <cell r="C246"/>
          <cell r="F246"/>
          <cell r="G246"/>
          <cell r="H246"/>
          <cell r="I246"/>
          <cell r="J246"/>
          <cell r="L246"/>
          <cell r="N246"/>
          <cell r="O246"/>
          <cell r="Q246"/>
          <cell r="R246"/>
          <cell r="S246"/>
          <cell r="T246"/>
          <cell r="V246"/>
          <cell r="X246"/>
          <cell r="Z246"/>
          <cell r="AA246"/>
          <cell r="AB246"/>
          <cell r="AD246"/>
          <cell r="AE246"/>
          <cell r="AG246"/>
        </row>
        <row r="247">
          <cell r="A247"/>
          <cell r="B247"/>
          <cell r="C247"/>
          <cell r="F247"/>
          <cell r="G247"/>
          <cell r="H247"/>
          <cell r="I247"/>
          <cell r="J247"/>
          <cell r="L247"/>
          <cell r="N247"/>
          <cell r="O247"/>
          <cell r="Q247"/>
          <cell r="R247"/>
          <cell r="S247"/>
          <cell r="T247"/>
          <cell r="V247"/>
          <cell r="X247"/>
          <cell r="Z247"/>
          <cell r="AA247"/>
          <cell r="AB247"/>
          <cell r="AD247"/>
          <cell r="AE247"/>
          <cell r="AG247"/>
        </row>
        <row r="248">
          <cell r="A248"/>
          <cell r="B248"/>
          <cell r="C248"/>
          <cell r="F248"/>
          <cell r="G248"/>
          <cell r="H248"/>
          <cell r="I248"/>
          <cell r="J248"/>
          <cell r="L248"/>
          <cell r="N248"/>
          <cell r="O248"/>
          <cell r="Q248"/>
          <cell r="R248"/>
          <cell r="S248"/>
          <cell r="T248"/>
          <cell r="V248"/>
          <cell r="X248"/>
          <cell r="Z248"/>
          <cell r="AA248"/>
          <cell r="AB248"/>
          <cell r="AD248"/>
          <cell r="AE248"/>
          <cell r="AG248"/>
        </row>
        <row r="249">
          <cell r="A249"/>
          <cell r="B249"/>
          <cell r="C249"/>
          <cell r="F249"/>
          <cell r="G249"/>
          <cell r="H249"/>
          <cell r="I249"/>
          <cell r="J249"/>
          <cell r="L249"/>
          <cell r="N249"/>
          <cell r="O249"/>
          <cell r="Q249"/>
          <cell r="R249"/>
          <cell r="S249"/>
          <cell r="T249"/>
          <cell r="V249"/>
          <cell r="X249"/>
          <cell r="Z249"/>
          <cell r="AA249"/>
          <cell r="AB249"/>
          <cell r="AD249"/>
          <cell r="AE249"/>
          <cell r="AG249"/>
        </row>
        <row r="250">
          <cell r="A250"/>
          <cell r="B250"/>
          <cell r="C250"/>
          <cell r="F250"/>
          <cell r="G250"/>
          <cell r="H250"/>
          <cell r="I250"/>
          <cell r="J250"/>
          <cell r="L250"/>
          <cell r="N250"/>
          <cell r="O250"/>
          <cell r="Q250"/>
          <cell r="R250"/>
          <cell r="S250"/>
          <cell r="T250"/>
          <cell r="V250"/>
          <cell r="X250"/>
          <cell r="Z250"/>
          <cell r="AA250"/>
          <cell r="AB250"/>
          <cell r="AD250"/>
          <cell r="AE250"/>
          <cell r="AG250"/>
        </row>
        <row r="251">
          <cell r="A251"/>
          <cell r="B251"/>
          <cell r="C251"/>
          <cell r="F251"/>
          <cell r="G251"/>
          <cell r="H251"/>
          <cell r="I251"/>
          <cell r="J251"/>
          <cell r="L251"/>
          <cell r="N251"/>
          <cell r="O251"/>
          <cell r="Q251"/>
          <cell r="R251"/>
          <cell r="S251"/>
          <cell r="T251"/>
          <cell r="V251"/>
          <cell r="X251"/>
          <cell r="Z251"/>
          <cell r="AA251"/>
          <cell r="AB251"/>
          <cell r="AD251"/>
          <cell r="AE251"/>
          <cell r="AG251"/>
        </row>
        <row r="252">
          <cell r="A252"/>
          <cell r="B252"/>
          <cell r="C252"/>
          <cell r="F252"/>
          <cell r="G252"/>
          <cell r="H252"/>
          <cell r="I252"/>
          <cell r="J252"/>
          <cell r="L252"/>
          <cell r="N252"/>
          <cell r="O252"/>
          <cell r="Q252"/>
          <cell r="R252"/>
          <cell r="S252"/>
          <cell r="T252"/>
          <cell r="V252"/>
          <cell r="X252"/>
          <cell r="Z252"/>
          <cell r="AA252"/>
          <cell r="AB252"/>
          <cell r="AD252"/>
          <cell r="AE252"/>
          <cell r="AG252"/>
        </row>
        <row r="253">
          <cell r="A253"/>
          <cell r="B253"/>
          <cell r="C253"/>
          <cell r="F253"/>
          <cell r="G253"/>
          <cell r="H253"/>
          <cell r="I253"/>
          <cell r="J253"/>
          <cell r="L253"/>
          <cell r="N253"/>
          <cell r="O253"/>
          <cell r="Q253"/>
          <cell r="R253"/>
          <cell r="S253"/>
          <cell r="T253"/>
          <cell r="V253"/>
          <cell r="X253"/>
          <cell r="Z253"/>
          <cell r="AA253"/>
          <cell r="AB253"/>
          <cell r="AD253"/>
          <cell r="AE253"/>
          <cell r="AG253"/>
        </row>
        <row r="254">
          <cell r="A254"/>
          <cell r="B254"/>
          <cell r="C254"/>
          <cell r="F254"/>
          <cell r="G254"/>
          <cell r="H254"/>
          <cell r="I254"/>
          <cell r="J254"/>
          <cell r="L254"/>
          <cell r="N254"/>
          <cell r="O254"/>
          <cell r="Q254"/>
          <cell r="R254"/>
          <cell r="S254"/>
          <cell r="T254"/>
          <cell r="V254"/>
          <cell r="X254"/>
          <cell r="Z254"/>
          <cell r="AA254"/>
          <cell r="AB254"/>
          <cell r="AD254"/>
          <cell r="AE254"/>
          <cell r="AG254"/>
        </row>
        <row r="255">
          <cell r="A255"/>
          <cell r="B255"/>
          <cell r="C255"/>
          <cell r="F255"/>
          <cell r="G255"/>
          <cell r="H255"/>
          <cell r="I255"/>
          <cell r="J255"/>
          <cell r="L255"/>
          <cell r="N255"/>
          <cell r="O255"/>
          <cell r="Q255"/>
          <cell r="R255"/>
          <cell r="S255"/>
          <cell r="T255"/>
          <cell r="V255"/>
          <cell r="X255"/>
          <cell r="Z255"/>
          <cell r="AA255"/>
          <cell r="AB255"/>
          <cell r="AD255"/>
          <cell r="AE255"/>
          <cell r="AG255"/>
        </row>
        <row r="256">
          <cell r="A256"/>
          <cell r="B256"/>
          <cell r="C256"/>
          <cell r="F256"/>
          <cell r="G256"/>
          <cell r="H256"/>
          <cell r="I256"/>
          <cell r="J256"/>
          <cell r="L256"/>
          <cell r="N256"/>
          <cell r="O256"/>
          <cell r="Q256"/>
          <cell r="R256"/>
          <cell r="S256"/>
          <cell r="T256"/>
          <cell r="V256"/>
          <cell r="X256"/>
          <cell r="Z256"/>
          <cell r="AA256"/>
          <cell r="AB256"/>
          <cell r="AD256"/>
          <cell r="AE256"/>
          <cell r="AG256"/>
        </row>
        <row r="257">
          <cell r="A257"/>
          <cell r="B257"/>
          <cell r="C257"/>
          <cell r="F257"/>
          <cell r="G257"/>
          <cell r="H257"/>
          <cell r="I257"/>
          <cell r="J257"/>
          <cell r="L257"/>
          <cell r="N257"/>
          <cell r="O257"/>
          <cell r="Q257"/>
          <cell r="R257"/>
          <cell r="S257"/>
          <cell r="T257"/>
          <cell r="V257"/>
          <cell r="X257"/>
          <cell r="Z257"/>
          <cell r="AA257"/>
          <cell r="AB257"/>
          <cell r="AD257"/>
          <cell r="AE257"/>
          <cell r="AG257"/>
        </row>
        <row r="258">
          <cell r="A258"/>
          <cell r="B258"/>
          <cell r="C258"/>
          <cell r="F258"/>
          <cell r="G258"/>
          <cell r="H258"/>
          <cell r="I258"/>
          <cell r="J258"/>
          <cell r="L258"/>
          <cell r="N258"/>
          <cell r="O258"/>
          <cell r="Q258"/>
          <cell r="R258"/>
          <cell r="S258"/>
          <cell r="T258"/>
          <cell r="V258"/>
          <cell r="X258"/>
          <cell r="Z258"/>
          <cell r="AA258"/>
          <cell r="AB258"/>
          <cell r="AD258"/>
          <cell r="AE258"/>
          <cell r="AG258"/>
        </row>
        <row r="259">
          <cell r="A259"/>
          <cell r="B259"/>
          <cell r="C259"/>
          <cell r="F259"/>
          <cell r="G259"/>
          <cell r="H259"/>
          <cell r="I259"/>
          <cell r="J259"/>
          <cell r="L259"/>
          <cell r="N259"/>
          <cell r="O259"/>
          <cell r="Q259"/>
          <cell r="R259"/>
          <cell r="S259"/>
          <cell r="T259"/>
          <cell r="V259"/>
          <cell r="X259"/>
          <cell r="Z259"/>
          <cell r="AA259"/>
          <cell r="AB259"/>
          <cell r="AD259"/>
          <cell r="AE259"/>
          <cell r="AG259"/>
        </row>
        <row r="260">
          <cell r="A260"/>
          <cell r="B260"/>
          <cell r="C260"/>
          <cell r="F260"/>
          <cell r="G260"/>
          <cell r="H260"/>
          <cell r="I260"/>
          <cell r="J260"/>
          <cell r="L260"/>
          <cell r="N260"/>
          <cell r="O260"/>
          <cell r="Q260"/>
          <cell r="R260"/>
          <cell r="S260"/>
          <cell r="T260"/>
          <cell r="V260"/>
          <cell r="X260"/>
          <cell r="Z260"/>
          <cell r="AA260"/>
          <cell r="AB260"/>
          <cell r="AD260"/>
          <cell r="AE260"/>
          <cell r="AG260"/>
        </row>
        <row r="261">
          <cell r="A261"/>
          <cell r="B261"/>
          <cell r="C261"/>
          <cell r="F261"/>
          <cell r="G261"/>
          <cell r="H261"/>
          <cell r="I261"/>
          <cell r="J261"/>
          <cell r="L261"/>
          <cell r="N261"/>
          <cell r="O261"/>
          <cell r="Q261"/>
          <cell r="R261"/>
          <cell r="S261"/>
          <cell r="T261"/>
          <cell r="V261"/>
          <cell r="X261"/>
          <cell r="Z261"/>
          <cell r="AA261"/>
          <cell r="AB261"/>
          <cell r="AD261"/>
          <cell r="AE261"/>
          <cell r="AG261"/>
        </row>
        <row r="262">
          <cell r="A262"/>
          <cell r="B262"/>
          <cell r="C262"/>
          <cell r="F262"/>
          <cell r="G262"/>
          <cell r="H262"/>
          <cell r="I262"/>
          <cell r="J262"/>
          <cell r="L262"/>
          <cell r="N262"/>
          <cell r="O262"/>
          <cell r="Q262"/>
          <cell r="R262"/>
          <cell r="S262"/>
          <cell r="T262"/>
          <cell r="V262"/>
          <cell r="X262"/>
          <cell r="Z262"/>
          <cell r="AA262"/>
          <cell r="AB262"/>
          <cell r="AD262"/>
          <cell r="AE262"/>
          <cell r="AG262"/>
        </row>
        <row r="263">
          <cell r="A263"/>
          <cell r="B263"/>
          <cell r="C263"/>
          <cell r="F263"/>
          <cell r="G263"/>
          <cell r="H263"/>
          <cell r="I263"/>
          <cell r="J263"/>
          <cell r="L263"/>
          <cell r="N263"/>
          <cell r="O263"/>
          <cell r="Q263"/>
          <cell r="R263"/>
          <cell r="S263"/>
          <cell r="T263"/>
          <cell r="V263"/>
          <cell r="X263"/>
          <cell r="Z263"/>
          <cell r="AA263"/>
          <cell r="AB263"/>
          <cell r="AD263"/>
          <cell r="AE263"/>
          <cell r="AG263"/>
        </row>
        <row r="264">
          <cell r="A264"/>
          <cell r="B264"/>
          <cell r="C264"/>
          <cell r="F264"/>
          <cell r="G264"/>
          <cell r="H264"/>
          <cell r="I264"/>
          <cell r="J264"/>
          <cell r="L264"/>
          <cell r="N264"/>
          <cell r="O264"/>
          <cell r="Q264"/>
          <cell r="R264"/>
          <cell r="S264"/>
          <cell r="T264"/>
          <cell r="V264"/>
          <cell r="X264"/>
          <cell r="Z264"/>
          <cell r="AA264"/>
          <cell r="AB264"/>
          <cell r="AD264"/>
          <cell r="AE264"/>
          <cell r="AG264"/>
        </row>
        <row r="265">
          <cell r="A265"/>
          <cell r="B265"/>
          <cell r="C265"/>
          <cell r="F265"/>
          <cell r="G265"/>
          <cell r="H265"/>
          <cell r="I265"/>
          <cell r="J265"/>
          <cell r="L265"/>
          <cell r="N265"/>
          <cell r="O265"/>
          <cell r="Q265"/>
          <cell r="R265"/>
          <cell r="S265"/>
          <cell r="T265"/>
          <cell r="V265"/>
          <cell r="X265"/>
          <cell r="Z265"/>
          <cell r="AA265"/>
          <cell r="AB265"/>
          <cell r="AD265"/>
          <cell r="AE265"/>
          <cell r="AG265"/>
        </row>
        <row r="266">
          <cell r="A266"/>
          <cell r="B266"/>
          <cell r="C266"/>
          <cell r="F266"/>
          <cell r="G266"/>
          <cell r="H266"/>
          <cell r="I266"/>
          <cell r="J266"/>
          <cell r="L266"/>
          <cell r="N266"/>
          <cell r="O266"/>
          <cell r="Q266"/>
          <cell r="R266"/>
          <cell r="S266"/>
          <cell r="T266"/>
          <cell r="V266"/>
          <cell r="X266"/>
          <cell r="Z266"/>
          <cell r="AA266"/>
          <cell r="AB266"/>
          <cell r="AD266"/>
          <cell r="AE266"/>
          <cell r="AG266"/>
        </row>
        <row r="267">
          <cell r="A267"/>
          <cell r="B267"/>
          <cell r="C267"/>
          <cell r="F267"/>
          <cell r="G267"/>
          <cell r="H267"/>
          <cell r="I267"/>
          <cell r="J267"/>
          <cell r="L267"/>
          <cell r="N267"/>
          <cell r="O267"/>
          <cell r="Q267"/>
          <cell r="R267"/>
          <cell r="S267"/>
          <cell r="T267"/>
          <cell r="V267"/>
          <cell r="X267"/>
          <cell r="Z267"/>
          <cell r="AA267"/>
          <cell r="AB267"/>
          <cell r="AD267"/>
          <cell r="AE267"/>
          <cell r="AG267"/>
        </row>
        <row r="268">
          <cell r="A268"/>
          <cell r="B268"/>
          <cell r="C268"/>
          <cell r="F268"/>
          <cell r="G268"/>
          <cell r="H268"/>
          <cell r="I268"/>
          <cell r="J268"/>
          <cell r="L268"/>
          <cell r="N268"/>
          <cell r="O268"/>
          <cell r="Q268"/>
          <cell r="R268"/>
          <cell r="S268"/>
          <cell r="T268"/>
          <cell r="V268"/>
          <cell r="X268"/>
          <cell r="Z268"/>
          <cell r="AA268"/>
          <cell r="AB268"/>
          <cell r="AD268"/>
          <cell r="AE268"/>
          <cell r="AG268"/>
        </row>
        <row r="269">
          <cell r="A269"/>
          <cell r="B269"/>
          <cell r="C269"/>
          <cell r="F269"/>
          <cell r="G269"/>
          <cell r="H269"/>
          <cell r="I269"/>
          <cell r="J269"/>
          <cell r="L269"/>
          <cell r="N269"/>
          <cell r="O269"/>
          <cell r="Q269"/>
          <cell r="R269"/>
          <cell r="S269"/>
          <cell r="T269"/>
          <cell r="V269"/>
          <cell r="X269"/>
          <cell r="Z269"/>
          <cell r="AA269"/>
          <cell r="AB269"/>
          <cell r="AD269"/>
          <cell r="AE269"/>
          <cell r="AG269"/>
        </row>
        <row r="270">
          <cell r="A270"/>
          <cell r="B270"/>
          <cell r="C270"/>
          <cell r="F270"/>
          <cell r="G270"/>
          <cell r="H270"/>
          <cell r="I270"/>
          <cell r="J270"/>
          <cell r="L270"/>
          <cell r="N270"/>
          <cell r="O270"/>
          <cell r="Q270"/>
          <cell r="R270"/>
          <cell r="S270"/>
          <cell r="T270"/>
          <cell r="V270"/>
          <cell r="X270"/>
          <cell r="Z270"/>
          <cell r="AA270"/>
          <cell r="AB270"/>
          <cell r="AD270"/>
          <cell r="AE270"/>
          <cell r="AG270"/>
        </row>
        <row r="271">
          <cell r="A271"/>
          <cell r="B271"/>
          <cell r="C271"/>
          <cell r="F271"/>
          <cell r="G271"/>
          <cell r="H271"/>
          <cell r="I271"/>
          <cell r="J271"/>
          <cell r="L271"/>
          <cell r="N271"/>
          <cell r="O271"/>
          <cell r="Q271"/>
          <cell r="R271"/>
          <cell r="S271"/>
          <cell r="T271"/>
          <cell r="V271"/>
          <cell r="X271"/>
          <cell r="Z271"/>
          <cell r="AA271"/>
          <cell r="AB271"/>
          <cell r="AD271"/>
          <cell r="AE271"/>
          <cell r="AG271"/>
        </row>
        <row r="272">
          <cell r="A272"/>
          <cell r="B272"/>
          <cell r="C272"/>
          <cell r="F272"/>
          <cell r="G272"/>
          <cell r="H272"/>
          <cell r="I272"/>
          <cell r="J272"/>
          <cell r="L272"/>
          <cell r="N272"/>
          <cell r="O272"/>
          <cell r="Q272"/>
          <cell r="R272"/>
          <cell r="S272"/>
          <cell r="T272"/>
          <cell r="V272"/>
          <cell r="X272"/>
          <cell r="Z272"/>
          <cell r="AA272"/>
          <cell r="AB272"/>
          <cell r="AD272"/>
          <cell r="AE272"/>
          <cell r="AG272"/>
        </row>
        <row r="273">
          <cell r="A273"/>
          <cell r="B273"/>
          <cell r="C273"/>
          <cell r="F273"/>
          <cell r="G273"/>
          <cell r="H273"/>
          <cell r="I273"/>
          <cell r="J273"/>
          <cell r="L273"/>
          <cell r="N273"/>
          <cell r="O273"/>
          <cell r="Q273"/>
          <cell r="R273"/>
          <cell r="S273"/>
          <cell r="T273"/>
          <cell r="V273"/>
          <cell r="X273"/>
          <cell r="Z273"/>
          <cell r="AA273"/>
          <cell r="AB273"/>
          <cell r="AD273"/>
          <cell r="AE273"/>
          <cell r="AG273"/>
        </row>
        <row r="274">
          <cell r="A274"/>
          <cell r="B274"/>
          <cell r="C274"/>
          <cell r="F274"/>
          <cell r="G274"/>
          <cell r="H274"/>
          <cell r="I274"/>
          <cell r="J274"/>
          <cell r="L274"/>
          <cell r="N274"/>
          <cell r="O274"/>
          <cell r="Q274"/>
          <cell r="R274"/>
          <cell r="S274"/>
          <cell r="T274"/>
          <cell r="V274"/>
          <cell r="X274"/>
          <cell r="Z274"/>
          <cell r="AA274"/>
          <cell r="AB274"/>
          <cell r="AD274"/>
          <cell r="AE274"/>
          <cell r="AG274"/>
        </row>
        <row r="275">
          <cell r="A275"/>
          <cell r="B275"/>
          <cell r="C275"/>
          <cell r="F275"/>
          <cell r="G275"/>
          <cell r="H275"/>
          <cell r="I275"/>
          <cell r="J275"/>
          <cell r="L275"/>
          <cell r="N275"/>
          <cell r="O275"/>
          <cell r="Q275"/>
          <cell r="R275"/>
          <cell r="S275"/>
          <cell r="T275"/>
          <cell r="V275"/>
          <cell r="X275"/>
          <cell r="Z275"/>
          <cell r="AA275"/>
          <cell r="AB275"/>
          <cell r="AD275"/>
          <cell r="AE275"/>
          <cell r="AG275"/>
        </row>
        <row r="276">
          <cell r="A276"/>
          <cell r="B276"/>
          <cell r="C276"/>
          <cell r="F276"/>
          <cell r="G276"/>
          <cell r="H276"/>
          <cell r="I276"/>
          <cell r="J276"/>
          <cell r="L276"/>
          <cell r="N276"/>
          <cell r="O276"/>
          <cell r="Q276"/>
          <cell r="R276"/>
          <cell r="S276"/>
          <cell r="T276"/>
          <cell r="V276"/>
          <cell r="X276"/>
          <cell r="Z276"/>
          <cell r="AA276"/>
          <cell r="AB276"/>
          <cell r="AD276"/>
          <cell r="AE276"/>
          <cell r="AG276"/>
        </row>
        <row r="277">
          <cell r="A277"/>
          <cell r="B277"/>
          <cell r="C277"/>
          <cell r="F277"/>
          <cell r="G277"/>
          <cell r="H277"/>
          <cell r="I277"/>
          <cell r="J277"/>
          <cell r="L277"/>
          <cell r="N277"/>
          <cell r="O277"/>
          <cell r="Q277"/>
          <cell r="R277"/>
          <cell r="S277"/>
          <cell r="T277"/>
          <cell r="V277"/>
          <cell r="X277"/>
          <cell r="Z277"/>
          <cell r="AA277"/>
          <cell r="AB277"/>
          <cell r="AD277"/>
          <cell r="AE277"/>
          <cell r="AG277"/>
        </row>
        <row r="278">
          <cell r="A278"/>
          <cell r="B278"/>
          <cell r="C278"/>
          <cell r="F278"/>
          <cell r="G278"/>
          <cell r="H278"/>
          <cell r="I278"/>
          <cell r="J278"/>
          <cell r="L278"/>
          <cell r="N278"/>
          <cell r="O278"/>
          <cell r="Q278"/>
          <cell r="R278"/>
          <cell r="S278"/>
          <cell r="T278"/>
          <cell r="V278"/>
          <cell r="X278"/>
          <cell r="Z278"/>
          <cell r="AA278"/>
          <cell r="AB278"/>
          <cell r="AD278"/>
          <cell r="AE278"/>
          <cell r="AG278"/>
        </row>
        <row r="279">
          <cell r="A279"/>
          <cell r="B279"/>
          <cell r="C279"/>
          <cell r="F279"/>
          <cell r="G279"/>
          <cell r="H279"/>
          <cell r="I279"/>
          <cell r="J279"/>
          <cell r="L279"/>
          <cell r="N279"/>
          <cell r="O279"/>
          <cell r="Q279"/>
          <cell r="R279"/>
          <cell r="S279"/>
          <cell r="T279"/>
          <cell r="V279"/>
          <cell r="X279"/>
          <cell r="Z279"/>
          <cell r="AA279"/>
          <cell r="AB279"/>
          <cell r="AD279"/>
          <cell r="AE279"/>
          <cell r="AG279"/>
        </row>
        <row r="280">
          <cell r="A280"/>
          <cell r="B280"/>
          <cell r="C280"/>
          <cell r="F280"/>
          <cell r="G280"/>
          <cell r="H280"/>
          <cell r="I280"/>
          <cell r="J280"/>
          <cell r="L280"/>
          <cell r="N280"/>
          <cell r="O280"/>
          <cell r="Q280"/>
          <cell r="R280"/>
          <cell r="S280"/>
          <cell r="T280"/>
          <cell r="V280"/>
          <cell r="X280"/>
          <cell r="Z280"/>
          <cell r="AA280"/>
          <cell r="AB280"/>
          <cell r="AD280"/>
          <cell r="AE280"/>
          <cell r="AG280"/>
        </row>
        <row r="281">
          <cell r="A281"/>
          <cell r="B281"/>
          <cell r="C281"/>
          <cell r="F281"/>
          <cell r="G281"/>
          <cell r="H281"/>
          <cell r="I281"/>
          <cell r="J281"/>
          <cell r="L281"/>
          <cell r="N281"/>
          <cell r="O281"/>
          <cell r="Q281"/>
          <cell r="R281"/>
          <cell r="S281"/>
          <cell r="T281"/>
          <cell r="V281"/>
          <cell r="X281"/>
          <cell r="Z281"/>
          <cell r="AA281"/>
          <cell r="AB281"/>
          <cell r="AD281"/>
          <cell r="AE281"/>
          <cell r="AG281"/>
        </row>
        <row r="282">
          <cell r="A282"/>
          <cell r="B282"/>
          <cell r="C282"/>
          <cell r="F282"/>
          <cell r="G282"/>
          <cell r="H282"/>
          <cell r="I282"/>
          <cell r="J282"/>
          <cell r="L282"/>
          <cell r="N282"/>
          <cell r="O282"/>
          <cell r="Q282"/>
          <cell r="R282"/>
          <cell r="S282"/>
          <cell r="T282"/>
          <cell r="V282"/>
          <cell r="X282"/>
          <cell r="Z282"/>
          <cell r="AA282"/>
          <cell r="AB282"/>
          <cell r="AD282"/>
          <cell r="AE282"/>
          <cell r="AG282"/>
        </row>
        <row r="283">
          <cell r="A283"/>
          <cell r="B283"/>
          <cell r="C283"/>
          <cell r="F283"/>
          <cell r="G283"/>
          <cell r="H283"/>
          <cell r="I283"/>
          <cell r="J283"/>
          <cell r="L283"/>
          <cell r="N283"/>
          <cell r="O283"/>
          <cell r="Q283"/>
          <cell r="R283"/>
          <cell r="S283"/>
          <cell r="T283"/>
          <cell r="V283"/>
          <cell r="X283"/>
          <cell r="Z283"/>
          <cell r="AA283"/>
          <cell r="AB283"/>
          <cell r="AD283"/>
          <cell r="AE283"/>
          <cell r="AG283"/>
        </row>
        <row r="284">
          <cell r="A284"/>
          <cell r="B284"/>
          <cell r="C284"/>
          <cell r="F284"/>
          <cell r="G284"/>
          <cell r="H284"/>
          <cell r="I284"/>
          <cell r="J284"/>
          <cell r="L284"/>
          <cell r="N284"/>
          <cell r="O284"/>
          <cell r="Q284"/>
          <cell r="R284"/>
          <cell r="S284"/>
          <cell r="T284"/>
          <cell r="V284"/>
          <cell r="X284"/>
          <cell r="Z284"/>
          <cell r="AA284"/>
          <cell r="AB284"/>
          <cell r="AD284"/>
          <cell r="AE284"/>
          <cell r="AG284"/>
        </row>
        <row r="285">
          <cell r="A285"/>
          <cell r="B285"/>
          <cell r="C285"/>
          <cell r="F285"/>
          <cell r="G285"/>
          <cell r="H285"/>
          <cell r="I285"/>
          <cell r="J285"/>
          <cell r="L285"/>
          <cell r="N285"/>
          <cell r="O285"/>
          <cell r="Q285"/>
          <cell r="R285"/>
          <cell r="S285"/>
          <cell r="T285"/>
          <cell r="V285"/>
          <cell r="X285"/>
          <cell r="Z285"/>
          <cell r="AA285"/>
          <cell r="AB285"/>
          <cell r="AD285"/>
          <cell r="AE285"/>
          <cell r="AG285"/>
        </row>
        <row r="286">
          <cell r="A286"/>
          <cell r="B286"/>
          <cell r="C286"/>
          <cell r="F286"/>
          <cell r="G286"/>
          <cell r="H286"/>
          <cell r="I286"/>
          <cell r="J286"/>
          <cell r="L286"/>
          <cell r="N286"/>
          <cell r="O286"/>
          <cell r="Q286"/>
          <cell r="R286"/>
          <cell r="S286"/>
          <cell r="T286"/>
          <cell r="V286"/>
          <cell r="X286"/>
          <cell r="Z286"/>
          <cell r="AA286"/>
          <cell r="AB286"/>
          <cell r="AD286"/>
          <cell r="AE286"/>
          <cell r="AG286"/>
        </row>
        <row r="287">
          <cell r="A287"/>
          <cell r="B287"/>
          <cell r="C287"/>
          <cell r="F287"/>
          <cell r="G287"/>
          <cell r="H287"/>
          <cell r="I287"/>
          <cell r="J287"/>
          <cell r="L287"/>
          <cell r="N287"/>
          <cell r="O287"/>
          <cell r="Q287"/>
          <cell r="R287"/>
          <cell r="S287"/>
          <cell r="T287"/>
          <cell r="V287"/>
          <cell r="X287"/>
          <cell r="Z287"/>
          <cell r="AA287"/>
          <cell r="AB287"/>
          <cell r="AD287"/>
          <cell r="AE287"/>
          <cell r="AG287"/>
        </row>
        <row r="288">
          <cell r="A288"/>
          <cell r="B288"/>
          <cell r="C288"/>
          <cell r="F288"/>
          <cell r="G288"/>
          <cell r="H288"/>
          <cell r="I288"/>
          <cell r="J288"/>
          <cell r="L288"/>
          <cell r="N288"/>
          <cell r="O288"/>
          <cell r="Q288"/>
          <cell r="R288"/>
          <cell r="S288"/>
          <cell r="T288"/>
          <cell r="V288"/>
          <cell r="X288"/>
          <cell r="Z288"/>
          <cell r="AA288"/>
          <cell r="AB288"/>
          <cell r="AD288"/>
          <cell r="AE288"/>
          <cell r="AG288"/>
        </row>
        <row r="289">
          <cell r="A289"/>
          <cell r="B289"/>
          <cell r="C289"/>
          <cell r="F289"/>
          <cell r="G289"/>
          <cell r="H289"/>
          <cell r="I289"/>
          <cell r="J289"/>
          <cell r="L289"/>
          <cell r="N289"/>
          <cell r="O289"/>
          <cell r="Q289"/>
          <cell r="R289"/>
          <cell r="S289"/>
          <cell r="T289"/>
          <cell r="V289"/>
          <cell r="X289"/>
          <cell r="Z289"/>
          <cell r="AA289"/>
          <cell r="AB289"/>
          <cell r="AD289"/>
          <cell r="AE289"/>
          <cell r="AG289"/>
        </row>
        <row r="290">
          <cell r="A290"/>
          <cell r="B290"/>
          <cell r="C290"/>
          <cell r="F290"/>
          <cell r="G290"/>
          <cell r="H290"/>
          <cell r="I290"/>
          <cell r="J290"/>
          <cell r="L290"/>
          <cell r="N290"/>
          <cell r="O290"/>
          <cell r="Q290"/>
          <cell r="R290"/>
          <cell r="S290"/>
          <cell r="T290"/>
          <cell r="V290"/>
          <cell r="X290"/>
          <cell r="Z290"/>
          <cell r="AA290"/>
          <cell r="AB290"/>
          <cell r="AD290"/>
          <cell r="AE290"/>
          <cell r="AG290"/>
        </row>
        <row r="291">
          <cell r="A291"/>
          <cell r="B291"/>
          <cell r="C291"/>
          <cell r="F291"/>
          <cell r="G291"/>
          <cell r="H291"/>
          <cell r="I291"/>
          <cell r="J291"/>
          <cell r="L291"/>
          <cell r="N291"/>
          <cell r="O291"/>
          <cell r="Q291"/>
          <cell r="R291"/>
          <cell r="S291"/>
          <cell r="T291"/>
          <cell r="V291"/>
          <cell r="X291"/>
          <cell r="Z291"/>
          <cell r="AA291"/>
          <cell r="AB291"/>
          <cell r="AD291"/>
          <cell r="AE291"/>
          <cell r="AG291"/>
        </row>
        <row r="292">
          <cell r="A292"/>
          <cell r="B292"/>
          <cell r="C292"/>
          <cell r="F292"/>
          <cell r="G292"/>
          <cell r="H292"/>
          <cell r="I292"/>
          <cell r="J292"/>
          <cell r="L292"/>
          <cell r="N292"/>
          <cell r="O292"/>
          <cell r="Q292"/>
          <cell r="R292"/>
          <cell r="S292"/>
          <cell r="T292"/>
          <cell r="V292"/>
          <cell r="X292"/>
          <cell r="Z292"/>
          <cell r="AA292"/>
          <cell r="AB292"/>
          <cell r="AD292"/>
          <cell r="AE292"/>
          <cell r="AG292"/>
        </row>
        <row r="293">
          <cell r="A293"/>
          <cell r="B293"/>
          <cell r="C293"/>
          <cell r="F293"/>
          <cell r="G293"/>
          <cell r="H293"/>
          <cell r="I293"/>
          <cell r="J293"/>
          <cell r="L293"/>
          <cell r="N293"/>
          <cell r="O293"/>
          <cell r="Q293"/>
          <cell r="R293"/>
          <cell r="S293"/>
          <cell r="T293"/>
          <cell r="V293"/>
          <cell r="X293"/>
          <cell r="Z293"/>
          <cell r="AA293"/>
          <cell r="AB293"/>
          <cell r="AD293"/>
          <cell r="AE293"/>
          <cell r="AG293"/>
        </row>
        <row r="294">
          <cell r="A294"/>
          <cell r="B294"/>
          <cell r="C294"/>
          <cell r="F294"/>
          <cell r="G294"/>
          <cell r="H294"/>
          <cell r="I294"/>
          <cell r="J294"/>
          <cell r="L294"/>
          <cell r="N294"/>
          <cell r="O294"/>
          <cell r="Q294"/>
          <cell r="R294"/>
          <cell r="S294"/>
          <cell r="T294"/>
          <cell r="V294"/>
          <cell r="X294"/>
          <cell r="Z294"/>
          <cell r="AA294"/>
          <cell r="AB294"/>
          <cell r="AD294"/>
          <cell r="AE294"/>
          <cell r="AG294"/>
        </row>
        <row r="295">
          <cell r="A295"/>
          <cell r="B295"/>
          <cell r="C295"/>
          <cell r="F295"/>
          <cell r="G295"/>
          <cell r="H295"/>
          <cell r="I295"/>
          <cell r="J295"/>
          <cell r="L295"/>
          <cell r="N295"/>
          <cell r="O295"/>
          <cell r="Q295"/>
          <cell r="R295"/>
          <cell r="S295"/>
          <cell r="T295"/>
          <cell r="V295"/>
          <cell r="X295"/>
          <cell r="Z295"/>
          <cell r="AA295"/>
          <cell r="AB295"/>
          <cell r="AD295"/>
          <cell r="AE295"/>
          <cell r="AG295"/>
        </row>
        <row r="296">
          <cell r="A296"/>
          <cell r="B296"/>
          <cell r="C296"/>
          <cell r="F296"/>
          <cell r="G296"/>
          <cell r="H296"/>
          <cell r="I296"/>
          <cell r="J296"/>
          <cell r="L296"/>
          <cell r="N296"/>
          <cell r="O296"/>
          <cell r="Q296"/>
          <cell r="R296"/>
          <cell r="S296"/>
          <cell r="T296"/>
          <cell r="V296"/>
          <cell r="X296"/>
          <cell r="Z296"/>
          <cell r="AA296"/>
          <cell r="AB296"/>
          <cell r="AD296"/>
          <cell r="AE296"/>
          <cell r="AG296"/>
        </row>
        <row r="297">
          <cell r="A297"/>
          <cell r="B297"/>
          <cell r="C297"/>
          <cell r="F297"/>
          <cell r="G297"/>
          <cell r="H297"/>
          <cell r="I297"/>
          <cell r="J297"/>
          <cell r="L297"/>
          <cell r="N297"/>
          <cell r="O297"/>
          <cell r="Q297"/>
          <cell r="R297"/>
          <cell r="S297"/>
          <cell r="T297"/>
          <cell r="V297"/>
          <cell r="X297"/>
          <cell r="Z297"/>
          <cell r="AA297"/>
          <cell r="AB297"/>
          <cell r="AD297"/>
          <cell r="AE297"/>
          <cell r="AG297"/>
        </row>
        <row r="298">
          <cell r="A298"/>
          <cell r="B298"/>
          <cell r="C298"/>
          <cell r="F298"/>
          <cell r="G298"/>
          <cell r="H298"/>
          <cell r="I298"/>
          <cell r="J298"/>
          <cell r="L298"/>
          <cell r="N298"/>
          <cell r="O298"/>
          <cell r="Q298"/>
          <cell r="R298"/>
          <cell r="S298"/>
          <cell r="T298"/>
          <cell r="V298"/>
          <cell r="X298"/>
          <cell r="Z298"/>
          <cell r="AA298"/>
          <cell r="AB298"/>
          <cell r="AD298"/>
          <cell r="AE298"/>
          <cell r="AG298"/>
        </row>
        <row r="299">
          <cell r="A299"/>
          <cell r="B299"/>
          <cell r="C299"/>
          <cell r="F299"/>
          <cell r="G299"/>
          <cell r="H299"/>
          <cell r="I299"/>
          <cell r="J299"/>
          <cell r="L299"/>
          <cell r="N299"/>
          <cell r="O299"/>
          <cell r="Q299"/>
          <cell r="R299"/>
          <cell r="S299"/>
          <cell r="T299"/>
          <cell r="V299"/>
          <cell r="X299"/>
          <cell r="Z299"/>
          <cell r="AA299"/>
          <cell r="AB299"/>
          <cell r="AD299"/>
          <cell r="AE299"/>
          <cell r="AG299"/>
        </row>
        <row r="300">
          <cell r="A300"/>
          <cell r="B300"/>
          <cell r="C300"/>
          <cell r="F300"/>
          <cell r="G300"/>
          <cell r="H300"/>
          <cell r="I300"/>
          <cell r="J300"/>
          <cell r="L300"/>
          <cell r="N300"/>
          <cell r="O300"/>
          <cell r="Q300"/>
          <cell r="R300"/>
          <cell r="S300"/>
          <cell r="T300"/>
          <cell r="V300"/>
          <cell r="X300"/>
          <cell r="Z300"/>
          <cell r="AA300"/>
          <cell r="AB300"/>
          <cell r="AD300"/>
          <cell r="AE300"/>
          <cell r="AG300"/>
        </row>
        <row r="301">
          <cell r="A301"/>
          <cell r="B301"/>
          <cell r="C301"/>
          <cell r="F301"/>
          <cell r="G301"/>
          <cell r="H301"/>
          <cell r="I301"/>
          <cell r="J301"/>
          <cell r="L301"/>
          <cell r="N301"/>
          <cell r="O301"/>
          <cell r="Q301"/>
          <cell r="R301"/>
          <cell r="S301"/>
          <cell r="T301"/>
          <cell r="V301"/>
          <cell r="X301"/>
          <cell r="Z301"/>
          <cell r="AA301"/>
          <cell r="AB301"/>
          <cell r="AD301"/>
          <cell r="AE301"/>
          <cell r="AG301"/>
        </row>
        <row r="302">
          <cell r="A302"/>
          <cell r="B302"/>
          <cell r="C302"/>
          <cell r="F302"/>
          <cell r="G302"/>
          <cell r="H302"/>
          <cell r="I302"/>
          <cell r="J302"/>
          <cell r="L302"/>
          <cell r="N302"/>
          <cell r="O302"/>
          <cell r="Q302"/>
          <cell r="R302"/>
          <cell r="S302"/>
          <cell r="T302"/>
          <cell r="V302"/>
          <cell r="X302"/>
          <cell r="Z302"/>
          <cell r="AA302"/>
          <cell r="AB302"/>
          <cell r="AD302"/>
          <cell r="AE302"/>
          <cell r="AG302"/>
        </row>
        <row r="303">
          <cell r="A303"/>
          <cell r="B303"/>
          <cell r="C303"/>
          <cell r="F303"/>
          <cell r="G303"/>
          <cell r="H303"/>
          <cell r="I303"/>
          <cell r="J303"/>
          <cell r="L303"/>
          <cell r="N303"/>
          <cell r="O303"/>
          <cell r="Q303"/>
          <cell r="R303"/>
          <cell r="S303"/>
          <cell r="T303"/>
          <cell r="V303"/>
          <cell r="X303"/>
          <cell r="Z303"/>
          <cell r="AA303"/>
          <cell r="AB303"/>
          <cell r="AD303"/>
          <cell r="AE303"/>
          <cell r="AG303"/>
        </row>
        <row r="304">
          <cell r="A304"/>
          <cell r="B304"/>
          <cell r="C304"/>
          <cell r="F304"/>
          <cell r="G304"/>
          <cell r="H304"/>
          <cell r="I304"/>
          <cell r="J304"/>
          <cell r="L304"/>
          <cell r="N304"/>
          <cell r="O304"/>
          <cell r="Q304"/>
          <cell r="R304"/>
          <cell r="S304"/>
          <cell r="T304"/>
          <cell r="V304"/>
          <cell r="X304"/>
          <cell r="Z304"/>
          <cell r="AA304"/>
          <cell r="AB304"/>
          <cell r="AD304"/>
          <cell r="AE304"/>
          <cell r="AG304"/>
        </row>
        <row r="305">
          <cell r="A305"/>
          <cell r="B305"/>
          <cell r="C305"/>
          <cell r="F305"/>
          <cell r="G305"/>
          <cell r="H305"/>
          <cell r="I305"/>
          <cell r="J305"/>
          <cell r="L305"/>
          <cell r="N305"/>
          <cell r="O305"/>
          <cell r="Q305"/>
          <cell r="R305"/>
          <cell r="S305"/>
          <cell r="T305"/>
          <cell r="V305"/>
          <cell r="X305"/>
          <cell r="Z305"/>
          <cell r="AA305"/>
          <cell r="AB305"/>
          <cell r="AD305"/>
          <cell r="AE305"/>
          <cell r="AG305"/>
        </row>
        <row r="306">
          <cell r="A306"/>
          <cell r="B306"/>
          <cell r="C306"/>
          <cell r="F306"/>
          <cell r="G306"/>
          <cell r="H306"/>
          <cell r="I306"/>
          <cell r="J306"/>
          <cell r="L306"/>
          <cell r="N306"/>
          <cell r="O306"/>
          <cell r="Q306"/>
          <cell r="R306"/>
          <cell r="S306"/>
          <cell r="T306"/>
          <cell r="V306"/>
          <cell r="X306"/>
          <cell r="Z306"/>
          <cell r="AA306"/>
          <cell r="AB306"/>
          <cell r="AD306"/>
          <cell r="AE306"/>
          <cell r="AG306"/>
        </row>
        <row r="307">
          <cell r="A307"/>
          <cell r="B307"/>
          <cell r="C307"/>
          <cell r="F307"/>
          <cell r="G307"/>
          <cell r="H307"/>
          <cell r="I307"/>
          <cell r="J307"/>
          <cell r="L307"/>
          <cell r="N307"/>
          <cell r="O307"/>
          <cell r="Q307"/>
          <cell r="R307"/>
          <cell r="S307"/>
          <cell r="T307"/>
          <cell r="V307"/>
          <cell r="X307"/>
          <cell r="Z307"/>
          <cell r="AA307"/>
          <cell r="AB307"/>
          <cell r="AD307"/>
          <cell r="AE307"/>
          <cell r="AG307"/>
        </row>
        <row r="308">
          <cell r="A308"/>
          <cell r="B308"/>
          <cell r="C308"/>
          <cell r="F308"/>
          <cell r="G308"/>
          <cell r="H308"/>
          <cell r="I308"/>
          <cell r="J308"/>
          <cell r="L308"/>
          <cell r="N308"/>
          <cell r="O308"/>
          <cell r="Q308"/>
          <cell r="R308"/>
          <cell r="S308"/>
          <cell r="T308"/>
          <cell r="V308"/>
          <cell r="X308"/>
          <cell r="Z308"/>
          <cell r="AA308"/>
          <cell r="AB308"/>
          <cell r="AD308"/>
          <cell r="AE308"/>
          <cell r="AG308"/>
        </row>
        <row r="309">
          <cell r="A309"/>
          <cell r="B309"/>
          <cell r="C309"/>
          <cell r="F309"/>
          <cell r="G309"/>
          <cell r="H309"/>
          <cell r="I309"/>
          <cell r="J309"/>
          <cell r="L309"/>
          <cell r="N309"/>
          <cell r="O309"/>
          <cell r="Q309"/>
          <cell r="R309"/>
          <cell r="S309"/>
          <cell r="T309"/>
          <cell r="V309"/>
          <cell r="X309"/>
          <cell r="Z309"/>
          <cell r="AA309"/>
          <cell r="AB309"/>
          <cell r="AD309"/>
          <cell r="AE309"/>
          <cell r="AG309"/>
        </row>
        <row r="310">
          <cell r="A310"/>
          <cell r="B310"/>
          <cell r="C310"/>
          <cell r="F310"/>
          <cell r="G310"/>
          <cell r="H310"/>
          <cell r="I310"/>
          <cell r="J310"/>
          <cell r="L310"/>
          <cell r="N310"/>
          <cell r="O310"/>
          <cell r="Q310"/>
          <cell r="R310"/>
          <cell r="S310"/>
          <cell r="T310"/>
          <cell r="V310"/>
          <cell r="X310"/>
          <cell r="Z310"/>
          <cell r="AA310"/>
          <cell r="AB310"/>
          <cell r="AD310"/>
          <cell r="AE310"/>
          <cell r="AG310"/>
        </row>
        <row r="311">
          <cell r="A311"/>
          <cell r="B311"/>
          <cell r="C311"/>
          <cell r="F311"/>
          <cell r="G311"/>
          <cell r="H311"/>
          <cell r="I311"/>
          <cell r="J311"/>
          <cell r="L311"/>
          <cell r="N311"/>
          <cell r="O311"/>
          <cell r="Q311"/>
          <cell r="R311"/>
          <cell r="S311"/>
          <cell r="T311"/>
          <cell r="V311"/>
          <cell r="X311"/>
          <cell r="Z311"/>
          <cell r="AA311"/>
          <cell r="AB311"/>
          <cell r="AD311"/>
          <cell r="AE311"/>
          <cell r="AG311"/>
        </row>
        <row r="312">
          <cell r="A312"/>
          <cell r="B312"/>
          <cell r="C312"/>
          <cell r="F312"/>
          <cell r="G312"/>
          <cell r="H312"/>
          <cell r="I312"/>
          <cell r="J312"/>
          <cell r="L312"/>
          <cell r="N312"/>
          <cell r="O312"/>
          <cell r="Q312"/>
          <cell r="R312"/>
          <cell r="S312"/>
          <cell r="T312"/>
          <cell r="V312"/>
          <cell r="X312"/>
          <cell r="Z312"/>
          <cell r="AA312"/>
          <cell r="AB312"/>
          <cell r="AD312"/>
          <cell r="AE312"/>
          <cell r="AG312"/>
        </row>
        <row r="313">
          <cell r="A313"/>
          <cell r="B313"/>
          <cell r="C313"/>
          <cell r="F313"/>
          <cell r="G313"/>
          <cell r="H313"/>
          <cell r="I313"/>
          <cell r="J313"/>
          <cell r="L313"/>
          <cell r="N313"/>
          <cell r="O313"/>
          <cell r="Q313"/>
          <cell r="R313"/>
          <cell r="S313"/>
          <cell r="T313"/>
          <cell r="V313"/>
          <cell r="X313"/>
          <cell r="Z313"/>
          <cell r="AA313"/>
          <cell r="AB313"/>
          <cell r="AD313"/>
          <cell r="AE313"/>
          <cell r="AG313"/>
        </row>
        <row r="314">
          <cell r="A314"/>
          <cell r="B314"/>
          <cell r="C314"/>
          <cell r="F314"/>
          <cell r="G314"/>
          <cell r="H314"/>
          <cell r="I314"/>
          <cell r="J314"/>
          <cell r="L314"/>
          <cell r="N314"/>
          <cell r="O314"/>
          <cell r="Q314"/>
          <cell r="R314"/>
          <cell r="S314"/>
          <cell r="T314"/>
          <cell r="V314"/>
          <cell r="X314"/>
          <cell r="Z314"/>
          <cell r="AA314"/>
          <cell r="AB314"/>
          <cell r="AD314"/>
          <cell r="AE314"/>
          <cell r="AG314"/>
        </row>
        <row r="315">
          <cell r="A315"/>
          <cell r="B315"/>
          <cell r="C315"/>
          <cell r="F315"/>
          <cell r="G315"/>
          <cell r="H315"/>
          <cell r="I315"/>
          <cell r="J315"/>
          <cell r="L315"/>
          <cell r="N315"/>
          <cell r="O315"/>
          <cell r="Q315"/>
          <cell r="R315"/>
          <cell r="S315"/>
          <cell r="T315"/>
          <cell r="V315"/>
          <cell r="X315"/>
          <cell r="Z315"/>
          <cell r="AA315"/>
          <cell r="AB315"/>
          <cell r="AD315"/>
          <cell r="AE315"/>
          <cell r="AG315"/>
        </row>
        <row r="316">
          <cell r="A316"/>
          <cell r="B316"/>
          <cell r="C316"/>
          <cell r="F316"/>
          <cell r="G316"/>
          <cell r="H316"/>
          <cell r="I316"/>
          <cell r="J316"/>
          <cell r="L316"/>
          <cell r="N316"/>
          <cell r="O316"/>
          <cell r="Q316"/>
          <cell r="R316"/>
          <cell r="S316"/>
          <cell r="T316"/>
          <cell r="V316"/>
          <cell r="X316"/>
          <cell r="Z316"/>
          <cell r="AA316"/>
          <cell r="AB316"/>
          <cell r="AD316"/>
          <cell r="AE316"/>
          <cell r="AG316"/>
        </row>
        <row r="317">
          <cell r="A317"/>
          <cell r="B317"/>
          <cell r="C317"/>
          <cell r="F317"/>
          <cell r="G317"/>
          <cell r="H317"/>
          <cell r="I317"/>
          <cell r="J317"/>
          <cell r="L317"/>
          <cell r="N317"/>
          <cell r="O317"/>
          <cell r="Q317"/>
          <cell r="R317"/>
          <cell r="S317"/>
          <cell r="T317"/>
          <cell r="V317"/>
          <cell r="X317"/>
          <cell r="Z317"/>
          <cell r="AA317"/>
          <cell r="AB317"/>
          <cell r="AD317"/>
          <cell r="AE317"/>
          <cell r="AG317"/>
        </row>
        <row r="318">
          <cell r="A318"/>
          <cell r="B318"/>
          <cell r="C318"/>
          <cell r="F318"/>
          <cell r="G318"/>
          <cell r="H318"/>
          <cell r="I318"/>
          <cell r="J318"/>
          <cell r="L318"/>
          <cell r="N318"/>
          <cell r="O318"/>
          <cell r="Q318"/>
          <cell r="R318"/>
          <cell r="S318"/>
          <cell r="T318"/>
          <cell r="V318"/>
          <cell r="X318"/>
          <cell r="Z318"/>
          <cell r="AA318"/>
          <cell r="AB318"/>
          <cell r="AD318"/>
          <cell r="AE318"/>
          <cell r="AG318"/>
        </row>
        <row r="319">
          <cell r="A319"/>
          <cell r="B319"/>
          <cell r="C319"/>
          <cell r="F319"/>
          <cell r="G319"/>
          <cell r="H319"/>
          <cell r="I319"/>
          <cell r="J319"/>
          <cell r="L319"/>
          <cell r="N319"/>
          <cell r="O319"/>
          <cell r="Q319"/>
          <cell r="R319"/>
          <cell r="S319"/>
          <cell r="T319"/>
          <cell r="V319"/>
          <cell r="X319"/>
          <cell r="Z319"/>
          <cell r="AA319"/>
          <cell r="AB319"/>
          <cell r="AD319"/>
          <cell r="AE319"/>
          <cell r="AG319"/>
        </row>
        <row r="320">
          <cell r="A320"/>
          <cell r="B320"/>
          <cell r="C320"/>
          <cell r="F320"/>
          <cell r="G320"/>
          <cell r="H320"/>
          <cell r="I320"/>
          <cell r="J320"/>
          <cell r="L320"/>
          <cell r="N320"/>
          <cell r="O320"/>
          <cell r="Q320"/>
          <cell r="R320"/>
          <cell r="S320"/>
          <cell r="T320"/>
          <cell r="V320"/>
          <cell r="X320"/>
          <cell r="Z320"/>
          <cell r="AA320"/>
          <cell r="AB320"/>
          <cell r="AD320"/>
          <cell r="AE320"/>
          <cell r="AG320"/>
        </row>
        <row r="321">
          <cell r="A321"/>
          <cell r="B321"/>
          <cell r="C321"/>
          <cell r="F321"/>
          <cell r="G321"/>
          <cell r="H321"/>
          <cell r="I321"/>
          <cell r="J321"/>
          <cell r="L321"/>
          <cell r="N321"/>
          <cell r="O321"/>
          <cell r="Q321"/>
          <cell r="R321"/>
          <cell r="S321"/>
          <cell r="T321"/>
          <cell r="V321"/>
          <cell r="X321"/>
          <cell r="Z321"/>
          <cell r="AA321"/>
          <cell r="AB321"/>
          <cell r="AD321"/>
          <cell r="AE321"/>
          <cell r="AG321"/>
        </row>
        <row r="322">
          <cell r="A322"/>
          <cell r="B322"/>
          <cell r="C322"/>
          <cell r="F322"/>
          <cell r="G322"/>
          <cell r="H322"/>
          <cell r="I322"/>
          <cell r="J322"/>
          <cell r="L322"/>
          <cell r="N322"/>
          <cell r="O322"/>
          <cell r="Q322"/>
          <cell r="R322"/>
          <cell r="S322"/>
          <cell r="T322"/>
          <cell r="V322"/>
          <cell r="X322"/>
          <cell r="Z322"/>
          <cell r="AA322"/>
          <cell r="AB322"/>
          <cell r="AD322"/>
          <cell r="AE322"/>
          <cell r="AG322"/>
        </row>
        <row r="323">
          <cell r="A323"/>
          <cell r="B323"/>
          <cell r="C323"/>
          <cell r="F323"/>
          <cell r="G323"/>
          <cell r="H323"/>
          <cell r="I323"/>
          <cell r="J323"/>
          <cell r="L323"/>
          <cell r="N323"/>
          <cell r="O323"/>
          <cell r="Q323"/>
          <cell r="R323"/>
          <cell r="S323"/>
          <cell r="T323"/>
          <cell r="V323"/>
          <cell r="X323"/>
          <cell r="Z323"/>
          <cell r="AA323"/>
          <cell r="AB323"/>
          <cell r="AD323"/>
          <cell r="AE323"/>
          <cell r="AG323"/>
        </row>
        <row r="324">
          <cell r="A324"/>
          <cell r="B324"/>
          <cell r="C324"/>
          <cell r="F324"/>
          <cell r="G324"/>
          <cell r="H324"/>
          <cell r="I324"/>
          <cell r="J324"/>
          <cell r="L324"/>
          <cell r="N324"/>
          <cell r="O324"/>
          <cell r="Q324"/>
          <cell r="R324"/>
          <cell r="S324"/>
          <cell r="T324"/>
          <cell r="V324"/>
          <cell r="X324"/>
          <cell r="Z324"/>
          <cell r="AA324"/>
          <cell r="AB324"/>
          <cell r="AD324"/>
          <cell r="AE324"/>
          <cell r="AG324"/>
        </row>
        <row r="325">
          <cell r="A325"/>
          <cell r="B325"/>
          <cell r="C325"/>
          <cell r="F325"/>
          <cell r="G325"/>
          <cell r="H325"/>
          <cell r="I325"/>
          <cell r="J325"/>
          <cell r="L325"/>
          <cell r="N325"/>
          <cell r="O325"/>
          <cell r="Q325"/>
          <cell r="R325"/>
          <cell r="S325"/>
          <cell r="T325"/>
          <cell r="V325"/>
          <cell r="X325"/>
          <cell r="Z325"/>
          <cell r="AA325"/>
          <cell r="AB325"/>
          <cell r="AD325"/>
          <cell r="AE325"/>
          <cell r="AG325"/>
        </row>
        <row r="326">
          <cell r="A326"/>
          <cell r="B326"/>
          <cell r="C326"/>
          <cell r="F326"/>
          <cell r="G326"/>
          <cell r="H326"/>
          <cell r="I326"/>
          <cell r="J326"/>
          <cell r="L326"/>
          <cell r="N326"/>
          <cell r="O326"/>
          <cell r="Q326"/>
          <cell r="R326"/>
          <cell r="S326"/>
          <cell r="T326"/>
          <cell r="V326"/>
          <cell r="X326"/>
          <cell r="Z326"/>
          <cell r="AA326"/>
          <cell r="AB326"/>
          <cell r="AD326"/>
          <cell r="AE326"/>
          <cell r="AG326"/>
        </row>
        <row r="327">
          <cell r="A327"/>
          <cell r="B327"/>
          <cell r="C327"/>
          <cell r="F327"/>
          <cell r="G327"/>
          <cell r="H327"/>
          <cell r="I327"/>
          <cell r="J327"/>
          <cell r="L327"/>
          <cell r="N327"/>
          <cell r="O327"/>
          <cell r="Q327"/>
          <cell r="R327"/>
          <cell r="S327"/>
          <cell r="T327"/>
          <cell r="V327"/>
          <cell r="X327"/>
          <cell r="Z327"/>
          <cell r="AA327"/>
          <cell r="AB327"/>
          <cell r="AD327"/>
          <cell r="AE327"/>
          <cell r="AG327"/>
        </row>
        <row r="328">
          <cell r="A328"/>
          <cell r="B328"/>
          <cell r="C328"/>
          <cell r="F328"/>
          <cell r="G328"/>
          <cell r="H328"/>
          <cell r="I328"/>
          <cell r="J328"/>
          <cell r="L328"/>
          <cell r="N328"/>
          <cell r="O328"/>
          <cell r="Q328"/>
          <cell r="R328"/>
          <cell r="S328"/>
          <cell r="T328"/>
          <cell r="V328"/>
          <cell r="X328"/>
          <cell r="Z328"/>
          <cell r="AA328"/>
          <cell r="AB328"/>
          <cell r="AD328"/>
          <cell r="AE328"/>
          <cell r="AG328"/>
        </row>
        <row r="329">
          <cell r="A329"/>
          <cell r="B329"/>
          <cell r="C329"/>
          <cell r="F329"/>
          <cell r="G329"/>
          <cell r="H329"/>
          <cell r="I329"/>
          <cell r="J329"/>
          <cell r="L329"/>
          <cell r="N329"/>
          <cell r="O329"/>
          <cell r="Q329"/>
          <cell r="R329"/>
          <cell r="S329"/>
          <cell r="T329"/>
          <cell r="V329"/>
          <cell r="X329"/>
          <cell r="Z329"/>
          <cell r="AA329"/>
          <cell r="AB329"/>
          <cell r="AD329"/>
          <cell r="AE329"/>
          <cell r="AG329"/>
        </row>
        <row r="330">
          <cell r="A330"/>
          <cell r="B330"/>
          <cell r="C330"/>
          <cell r="F330"/>
          <cell r="G330"/>
          <cell r="H330"/>
          <cell r="I330"/>
          <cell r="J330"/>
          <cell r="L330"/>
          <cell r="N330"/>
          <cell r="O330"/>
          <cell r="Q330"/>
          <cell r="R330"/>
          <cell r="S330"/>
          <cell r="T330"/>
          <cell r="V330"/>
          <cell r="X330"/>
          <cell r="Z330"/>
          <cell r="AA330"/>
          <cell r="AB330"/>
          <cell r="AD330"/>
          <cell r="AE330"/>
          <cell r="AG330"/>
        </row>
        <row r="331">
          <cell r="A331"/>
          <cell r="B331"/>
          <cell r="C331"/>
          <cell r="F331"/>
          <cell r="G331"/>
          <cell r="H331"/>
          <cell r="I331"/>
          <cell r="J331"/>
          <cell r="L331"/>
          <cell r="N331"/>
          <cell r="O331"/>
          <cell r="Q331"/>
          <cell r="R331"/>
          <cell r="S331"/>
          <cell r="T331"/>
          <cell r="V331"/>
          <cell r="X331"/>
          <cell r="Z331"/>
          <cell r="AA331"/>
          <cell r="AB331"/>
          <cell r="AD331"/>
          <cell r="AE331"/>
          <cell r="AG331"/>
        </row>
        <row r="332">
          <cell r="A332"/>
          <cell r="B332"/>
          <cell r="C332"/>
          <cell r="F332"/>
          <cell r="G332"/>
          <cell r="H332"/>
          <cell r="I332"/>
          <cell r="J332"/>
          <cell r="L332"/>
          <cell r="N332"/>
          <cell r="O332"/>
          <cell r="Q332"/>
          <cell r="R332"/>
          <cell r="S332"/>
          <cell r="T332"/>
          <cell r="V332"/>
          <cell r="X332"/>
          <cell r="Z332"/>
          <cell r="AA332"/>
          <cell r="AB332"/>
          <cell r="AD332"/>
          <cell r="AE332"/>
          <cell r="AG332"/>
        </row>
        <row r="333">
          <cell r="A333"/>
          <cell r="B333"/>
          <cell r="C333"/>
          <cell r="F333"/>
          <cell r="G333"/>
          <cell r="H333"/>
          <cell r="I333"/>
          <cell r="J333"/>
          <cell r="L333"/>
          <cell r="N333"/>
          <cell r="O333"/>
          <cell r="Q333"/>
          <cell r="R333"/>
          <cell r="S333"/>
          <cell r="T333"/>
          <cell r="V333"/>
          <cell r="X333"/>
          <cell r="Z333"/>
          <cell r="AA333"/>
          <cell r="AB333"/>
          <cell r="AD333"/>
          <cell r="AE333"/>
          <cell r="AG333"/>
        </row>
        <row r="334">
          <cell r="A334"/>
          <cell r="B334"/>
          <cell r="C334"/>
          <cell r="F334"/>
          <cell r="G334"/>
          <cell r="H334"/>
          <cell r="I334"/>
          <cell r="J334"/>
          <cell r="L334"/>
          <cell r="N334"/>
          <cell r="O334"/>
          <cell r="Q334"/>
          <cell r="R334"/>
          <cell r="S334"/>
          <cell r="T334"/>
          <cell r="V334"/>
          <cell r="X334"/>
          <cell r="Z334"/>
          <cell r="AA334"/>
          <cell r="AB334"/>
          <cell r="AD334"/>
          <cell r="AE334"/>
          <cell r="AG334"/>
        </row>
        <row r="335">
          <cell r="A335"/>
          <cell r="B335"/>
          <cell r="C335"/>
          <cell r="F335"/>
          <cell r="G335"/>
          <cell r="H335"/>
          <cell r="I335"/>
          <cell r="J335"/>
          <cell r="L335"/>
          <cell r="N335"/>
          <cell r="O335"/>
          <cell r="Q335"/>
          <cell r="R335"/>
          <cell r="S335"/>
          <cell r="T335"/>
          <cell r="V335"/>
          <cell r="X335"/>
          <cell r="Z335"/>
          <cell r="AA335"/>
          <cell r="AB335"/>
          <cell r="AD335"/>
          <cell r="AE335"/>
          <cell r="AG335"/>
        </row>
        <row r="336">
          <cell r="A336"/>
          <cell r="B336"/>
          <cell r="C336"/>
          <cell r="F336"/>
          <cell r="G336"/>
          <cell r="H336"/>
          <cell r="I336"/>
          <cell r="J336"/>
          <cell r="L336"/>
          <cell r="N336"/>
          <cell r="O336"/>
          <cell r="Q336"/>
          <cell r="R336"/>
          <cell r="S336"/>
          <cell r="T336"/>
          <cell r="V336"/>
          <cell r="X336"/>
          <cell r="Z336"/>
          <cell r="AA336"/>
          <cell r="AB336"/>
          <cell r="AD336"/>
          <cell r="AE336"/>
          <cell r="AG336"/>
        </row>
        <row r="337">
          <cell r="A337"/>
          <cell r="B337"/>
          <cell r="C337"/>
          <cell r="F337"/>
          <cell r="G337"/>
          <cell r="H337"/>
          <cell r="I337"/>
          <cell r="J337"/>
          <cell r="L337"/>
          <cell r="N337"/>
          <cell r="O337"/>
          <cell r="Q337"/>
          <cell r="R337"/>
          <cell r="S337"/>
          <cell r="T337"/>
          <cell r="V337"/>
          <cell r="X337"/>
          <cell r="Z337"/>
          <cell r="AA337"/>
          <cell r="AB337"/>
          <cell r="AD337"/>
          <cell r="AE337"/>
          <cell r="AG337"/>
        </row>
        <row r="338">
          <cell r="A338"/>
          <cell r="B338"/>
          <cell r="C338"/>
          <cell r="F338"/>
          <cell r="G338"/>
          <cell r="H338"/>
          <cell r="I338"/>
          <cell r="J338"/>
          <cell r="L338"/>
          <cell r="N338"/>
          <cell r="O338"/>
          <cell r="Q338"/>
          <cell r="R338"/>
          <cell r="S338"/>
          <cell r="T338"/>
          <cell r="V338"/>
          <cell r="X338"/>
          <cell r="Z338"/>
          <cell r="AA338"/>
          <cell r="AB338"/>
          <cell r="AD338"/>
          <cell r="AE338"/>
          <cell r="AG338"/>
        </row>
        <row r="339">
          <cell r="A339"/>
          <cell r="B339"/>
          <cell r="C339"/>
          <cell r="F339"/>
          <cell r="G339"/>
          <cell r="H339"/>
          <cell r="I339"/>
          <cell r="J339"/>
          <cell r="L339"/>
          <cell r="N339"/>
          <cell r="O339"/>
          <cell r="Q339"/>
          <cell r="R339"/>
          <cell r="S339"/>
          <cell r="T339"/>
          <cell r="V339"/>
          <cell r="X339"/>
          <cell r="Z339"/>
          <cell r="AA339"/>
          <cell r="AB339"/>
          <cell r="AD339"/>
          <cell r="AE339"/>
          <cell r="AG339"/>
        </row>
        <row r="340">
          <cell r="A340"/>
          <cell r="B340"/>
          <cell r="C340"/>
          <cell r="F340"/>
          <cell r="G340"/>
          <cell r="H340"/>
          <cell r="I340"/>
          <cell r="J340"/>
          <cell r="L340"/>
          <cell r="N340"/>
          <cell r="O340"/>
          <cell r="Q340"/>
          <cell r="R340"/>
          <cell r="S340"/>
          <cell r="T340"/>
          <cell r="V340"/>
          <cell r="X340"/>
          <cell r="Z340"/>
          <cell r="AA340"/>
          <cell r="AB340"/>
          <cell r="AD340"/>
          <cell r="AE340"/>
          <cell r="AG340"/>
        </row>
        <row r="341">
          <cell r="A341"/>
          <cell r="B341"/>
          <cell r="C341"/>
          <cell r="F341"/>
          <cell r="G341"/>
          <cell r="H341"/>
          <cell r="I341"/>
          <cell r="J341"/>
          <cell r="L341"/>
          <cell r="N341"/>
          <cell r="O341"/>
          <cell r="Q341"/>
          <cell r="R341"/>
          <cell r="S341"/>
          <cell r="T341"/>
          <cell r="V341"/>
          <cell r="X341"/>
          <cell r="Z341"/>
          <cell r="AA341"/>
          <cell r="AB341"/>
          <cell r="AD341"/>
          <cell r="AE341"/>
          <cell r="AG341"/>
        </row>
        <row r="342">
          <cell r="A342"/>
          <cell r="B342"/>
          <cell r="C342"/>
          <cell r="F342"/>
          <cell r="G342"/>
          <cell r="H342"/>
          <cell r="I342"/>
          <cell r="J342"/>
          <cell r="L342"/>
          <cell r="N342"/>
          <cell r="O342"/>
          <cell r="Q342"/>
          <cell r="R342"/>
          <cell r="S342"/>
          <cell r="T342"/>
          <cell r="V342"/>
          <cell r="X342"/>
          <cell r="Z342"/>
          <cell r="AA342"/>
          <cell r="AB342"/>
          <cell r="AD342"/>
          <cell r="AE342"/>
          <cell r="AG342"/>
        </row>
        <row r="343">
          <cell r="A343"/>
          <cell r="B343"/>
          <cell r="C343"/>
          <cell r="F343"/>
          <cell r="G343"/>
          <cell r="H343"/>
          <cell r="I343"/>
          <cell r="J343"/>
          <cell r="L343"/>
          <cell r="N343"/>
          <cell r="O343"/>
          <cell r="Q343"/>
          <cell r="R343"/>
          <cell r="S343"/>
          <cell r="T343"/>
          <cell r="V343"/>
          <cell r="X343"/>
          <cell r="Z343"/>
          <cell r="AA343"/>
          <cell r="AB343"/>
          <cell r="AD343"/>
          <cell r="AE343"/>
          <cell r="AG343"/>
        </row>
        <row r="344">
          <cell r="A344"/>
          <cell r="B344"/>
          <cell r="C344"/>
          <cell r="F344"/>
          <cell r="G344"/>
          <cell r="H344"/>
          <cell r="I344"/>
          <cell r="J344"/>
          <cell r="L344"/>
          <cell r="N344"/>
          <cell r="O344"/>
          <cell r="Q344"/>
          <cell r="R344"/>
          <cell r="S344"/>
          <cell r="T344"/>
          <cell r="V344"/>
          <cell r="X344"/>
          <cell r="Z344"/>
          <cell r="AA344"/>
          <cell r="AB344"/>
          <cell r="AD344"/>
          <cell r="AE344"/>
          <cell r="AG344"/>
        </row>
        <row r="345">
          <cell r="A345"/>
          <cell r="B345"/>
          <cell r="C345"/>
          <cell r="F345"/>
          <cell r="G345"/>
          <cell r="H345"/>
          <cell r="I345"/>
          <cell r="J345"/>
          <cell r="L345"/>
          <cell r="N345"/>
          <cell r="O345"/>
          <cell r="Q345"/>
          <cell r="R345"/>
          <cell r="S345"/>
          <cell r="T345"/>
          <cell r="V345"/>
          <cell r="X345"/>
          <cell r="Z345"/>
          <cell r="AA345"/>
          <cell r="AB345"/>
          <cell r="AD345"/>
          <cell r="AE345"/>
          <cell r="AG345"/>
        </row>
        <row r="346">
          <cell r="A346"/>
          <cell r="B346"/>
          <cell r="C346"/>
          <cell r="F346"/>
          <cell r="G346"/>
          <cell r="H346"/>
          <cell r="I346"/>
          <cell r="J346"/>
          <cell r="L346"/>
          <cell r="N346"/>
          <cell r="O346"/>
          <cell r="Q346"/>
          <cell r="R346"/>
          <cell r="S346"/>
          <cell r="T346"/>
          <cell r="V346"/>
          <cell r="X346"/>
          <cell r="Z346"/>
          <cell r="AA346"/>
          <cell r="AB346"/>
          <cell r="AD346"/>
          <cell r="AE346"/>
          <cell r="AG346"/>
        </row>
        <row r="347">
          <cell r="A347"/>
          <cell r="B347"/>
          <cell r="C347"/>
          <cell r="F347"/>
          <cell r="G347"/>
          <cell r="H347"/>
          <cell r="I347"/>
          <cell r="J347"/>
          <cell r="L347"/>
          <cell r="N347"/>
          <cell r="O347"/>
          <cell r="Q347"/>
          <cell r="R347"/>
          <cell r="S347"/>
          <cell r="T347"/>
          <cell r="V347"/>
          <cell r="X347"/>
          <cell r="Z347"/>
          <cell r="AA347"/>
          <cell r="AB347"/>
          <cell r="AD347"/>
          <cell r="AE347"/>
          <cell r="AG347"/>
        </row>
        <row r="348">
          <cell r="A348"/>
          <cell r="B348"/>
          <cell r="C348"/>
          <cell r="F348"/>
          <cell r="G348"/>
          <cell r="H348"/>
          <cell r="I348"/>
          <cell r="J348"/>
          <cell r="L348"/>
          <cell r="N348"/>
          <cell r="O348"/>
          <cell r="Q348"/>
          <cell r="R348"/>
          <cell r="S348"/>
          <cell r="T348"/>
          <cell r="V348"/>
          <cell r="X348"/>
          <cell r="Z348"/>
          <cell r="AA348"/>
          <cell r="AB348"/>
          <cell r="AD348"/>
          <cell r="AE348"/>
          <cell r="AG348"/>
        </row>
        <row r="349">
          <cell r="A349"/>
          <cell r="B349"/>
          <cell r="C349"/>
          <cell r="F349"/>
          <cell r="G349"/>
          <cell r="H349"/>
          <cell r="I349"/>
          <cell r="J349"/>
          <cell r="L349"/>
          <cell r="N349"/>
          <cell r="O349"/>
          <cell r="Q349"/>
          <cell r="R349"/>
          <cell r="S349"/>
          <cell r="T349"/>
          <cell r="V349"/>
          <cell r="X349"/>
          <cell r="Z349"/>
          <cell r="AA349"/>
          <cell r="AB349"/>
          <cell r="AD349"/>
          <cell r="AE349"/>
          <cell r="AG349"/>
        </row>
        <row r="350">
          <cell r="A350"/>
          <cell r="B350"/>
          <cell r="C350"/>
          <cell r="F350"/>
          <cell r="G350"/>
          <cell r="H350"/>
          <cell r="I350"/>
          <cell r="J350"/>
          <cell r="L350"/>
          <cell r="N350"/>
          <cell r="O350"/>
          <cell r="Q350"/>
          <cell r="R350"/>
          <cell r="S350"/>
          <cell r="T350"/>
          <cell r="V350"/>
          <cell r="X350"/>
          <cell r="Z350"/>
          <cell r="AA350"/>
          <cell r="AB350"/>
          <cell r="AD350"/>
          <cell r="AE350"/>
          <cell r="AG350"/>
        </row>
        <row r="351">
          <cell r="A351"/>
          <cell r="B351"/>
          <cell r="C351"/>
          <cell r="F351"/>
          <cell r="G351"/>
          <cell r="H351"/>
          <cell r="I351"/>
          <cell r="J351"/>
          <cell r="L351"/>
          <cell r="N351"/>
          <cell r="O351"/>
          <cell r="Q351"/>
          <cell r="R351"/>
          <cell r="S351"/>
          <cell r="T351"/>
          <cell r="V351"/>
          <cell r="X351"/>
          <cell r="Z351"/>
          <cell r="AA351"/>
          <cell r="AB351"/>
          <cell r="AD351"/>
          <cell r="AE351"/>
          <cell r="AG351"/>
        </row>
        <row r="352">
          <cell r="A352"/>
          <cell r="B352"/>
          <cell r="C352"/>
          <cell r="F352"/>
          <cell r="G352"/>
          <cell r="H352"/>
          <cell r="I352"/>
          <cell r="J352"/>
          <cell r="L352"/>
          <cell r="N352"/>
          <cell r="O352"/>
          <cell r="Q352"/>
          <cell r="R352"/>
          <cell r="S352"/>
          <cell r="T352"/>
          <cell r="V352"/>
          <cell r="X352"/>
          <cell r="Z352"/>
          <cell r="AA352"/>
          <cell r="AB352"/>
          <cell r="AD352"/>
          <cell r="AE352"/>
          <cell r="AG352"/>
        </row>
        <row r="353">
          <cell r="A353"/>
          <cell r="B353"/>
          <cell r="C353"/>
          <cell r="F353"/>
          <cell r="G353"/>
          <cell r="H353"/>
          <cell r="I353"/>
          <cell r="J353"/>
          <cell r="L353"/>
          <cell r="N353"/>
          <cell r="O353"/>
          <cell r="Q353"/>
          <cell r="R353"/>
          <cell r="S353"/>
          <cell r="T353"/>
          <cell r="V353"/>
          <cell r="X353"/>
          <cell r="Z353"/>
          <cell r="AA353"/>
          <cell r="AB353"/>
          <cell r="AD353"/>
          <cell r="AE353"/>
          <cell r="AG353"/>
        </row>
      </sheetData>
      <sheetData sheetId="1"/>
      <sheetData sheetId="2"/>
      <sheetData sheetId="3">
        <row r="3">
          <cell r="E3" t="str">
            <v>RR-V-1</v>
          </cell>
          <cell r="F3" t="str">
            <v>a.      No, this Adaptation Concept increases reliance on imported water (either directly or indirectly).</v>
          </cell>
          <cell r="G3">
            <v>1</v>
          </cell>
        </row>
        <row r="4">
          <cell r="E4" t="str">
            <v>RR-V-1</v>
          </cell>
          <cell r="F4" t="str">
            <v>b.      N/A</v>
          </cell>
          <cell r="G4">
            <v>2</v>
          </cell>
        </row>
        <row r="5">
          <cell r="E5" t="str">
            <v>RR-V-1</v>
          </cell>
          <cell r="F5" t="str">
            <v>c.      No or unknown effect on diversity of supplies</v>
          </cell>
          <cell r="G5">
            <v>3</v>
          </cell>
        </row>
        <row r="6">
          <cell r="E6" t="str">
            <v>RR-V-1</v>
          </cell>
          <cell r="F6" t="str">
            <v>d.      Not necessarily, though the Adaptation Concept indirectly supports other systems/project/infrastructure that may have an impact on the diversity of water supplies.</v>
          </cell>
          <cell r="G6">
            <v>4</v>
          </cell>
        </row>
        <row r="7">
          <cell r="E7" t="str">
            <v>RR-V-1</v>
          </cell>
          <cell r="F7" t="str">
            <v>e.      Yes, the Adaptation Concept increases diversity of supplies.</v>
          </cell>
          <cell r="G7">
            <v>5</v>
          </cell>
        </row>
        <row r="8">
          <cell r="E8" t="str">
            <v>RR-V-2</v>
          </cell>
          <cell r="F8" t="str">
            <v>a.      No, Adaptation Concept reduces resilience of conveyance system.</v>
          </cell>
          <cell r="G8">
            <v>1</v>
          </cell>
        </row>
        <row r="9">
          <cell r="E9" t="str">
            <v>RR-V-2</v>
          </cell>
          <cell r="F9" t="str">
            <v>b.      N/A</v>
          </cell>
          <cell r="G9">
            <v>2</v>
          </cell>
        </row>
        <row r="10">
          <cell r="E10" t="str">
            <v>RR-V-2</v>
          </cell>
          <cell r="F10" t="str">
            <v>c.       Neutral or unknown impact on the resilience of the conveyance system.</v>
          </cell>
          <cell r="G10">
            <v>3</v>
          </cell>
        </row>
        <row r="11">
          <cell r="E11" t="str">
            <v>RR-V-2</v>
          </cell>
          <cell r="F11" t="str">
            <v>d.      Not necessarily, though the Adaptation Concept indirectly supports other systems/project/infrastructure that may have an impact on the resilience of the conveyance system.</v>
          </cell>
          <cell r="G11">
            <v>4</v>
          </cell>
        </row>
        <row r="12">
          <cell r="E12" t="str">
            <v>RR-V-2</v>
          </cell>
          <cell r="F12" t="str">
            <v>e.      Yes, the Adaptation Concept increases resilience.</v>
          </cell>
          <cell r="G12">
            <v>5</v>
          </cell>
        </row>
        <row r="13">
          <cell r="E13" t="str">
            <v>RR-V-3</v>
          </cell>
          <cell r="F13" t="str">
            <v>a.      Adaptation Concept has a significant negative impact on infrastructure.</v>
          </cell>
          <cell r="G13">
            <v>1</v>
          </cell>
        </row>
        <row r="14">
          <cell r="E14" t="str">
            <v>RR-V-3</v>
          </cell>
          <cell r="F14" t="str">
            <v>b.      Adaptation Concept has a moderate negative impact on infrastructure.</v>
          </cell>
          <cell r="G14">
            <v>2</v>
          </cell>
        </row>
        <row r="15">
          <cell r="E15" t="str">
            <v>RR-V-3</v>
          </cell>
          <cell r="F15" t="str">
            <v>c.      Neutral or unknown impact</v>
          </cell>
          <cell r="G15">
            <v>3</v>
          </cell>
        </row>
        <row r="16">
          <cell r="E16" t="str">
            <v>RR-V-3</v>
          </cell>
          <cell r="F16" t="str">
            <v>d.      Adaptation Concept has a moderate positive impact on infrastructure.</v>
          </cell>
          <cell r="G16">
            <v>4</v>
          </cell>
        </row>
        <row r="17">
          <cell r="E17" t="str">
            <v>RR-V-3</v>
          </cell>
          <cell r="F17" t="str">
            <v>e.      Adaptation Concept has a significant positive impact on infrastructure.</v>
          </cell>
          <cell r="G17">
            <v>5</v>
          </cell>
        </row>
        <row r="18">
          <cell r="E18" t="str">
            <v>RR-V-4</v>
          </cell>
          <cell r="F18" t="str">
            <v>a.      Strong negative impact</v>
          </cell>
          <cell r="G18">
            <v>1</v>
          </cell>
        </row>
        <row r="19">
          <cell r="E19" t="str">
            <v>RR-V-4</v>
          </cell>
          <cell r="F19" t="str">
            <v>b.      Negative impact</v>
          </cell>
          <cell r="G19">
            <v>2</v>
          </cell>
        </row>
        <row r="20">
          <cell r="E20" t="str">
            <v>RR-V-4</v>
          </cell>
          <cell r="F20" t="str">
            <v>c.       Neutral or unknown impact</v>
          </cell>
          <cell r="G20">
            <v>3</v>
          </cell>
        </row>
        <row r="21">
          <cell r="E21" t="str">
            <v>RR-V-4</v>
          </cell>
          <cell r="F21" t="str">
            <v>d.      Positive impact</v>
          </cell>
          <cell r="G21">
            <v>4</v>
          </cell>
        </row>
        <row r="22">
          <cell r="E22" t="str">
            <v>RR-V-4</v>
          </cell>
          <cell r="F22" t="str">
            <v>e.      Strong positive impact</v>
          </cell>
          <cell r="G22">
            <v>5</v>
          </cell>
        </row>
        <row r="23">
          <cell r="E23" t="str">
            <v>RR-CS-1</v>
          </cell>
          <cell r="F23" t="str">
            <v>a.      Direct or long-term negative impact on ability to use storage capacity of reservoirs</v>
          </cell>
          <cell r="G23">
            <v>1</v>
          </cell>
        </row>
        <row r="24">
          <cell r="E24" t="str">
            <v>RR-CS-1</v>
          </cell>
          <cell r="F24" t="str">
            <v>b.      Indirect or temporary negative impact on ability to use storage capacity of reservoirs</v>
          </cell>
          <cell r="G24">
            <v>2</v>
          </cell>
        </row>
        <row r="25">
          <cell r="E25" t="str">
            <v>RR-CS-1</v>
          </cell>
          <cell r="F25" t="str">
            <v>c.       Neutral or unknown impact</v>
          </cell>
          <cell r="G25">
            <v>3</v>
          </cell>
        </row>
        <row r="26">
          <cell r="E26" t="str">
            <v>RR-CS-1</v>
          </cell>
          <cell r="F26" t="str">
            <v>d.      Indirect or temporary positive impact on ability to use storage capacity of reservoirs</v>
          </cell>
          <cell r="G26">
            <v>4</v>
          </cell>
        </row>
        <row r="27">
          <cell r="E27" t="str">
            <v>RR-CS-1</v>
          </cell>
          <cell r="F27" t="str">
            <v>e.      Direct or long-term positive impact on ability to use storage capacity of reservoirs</v>
          </cell>
          <cell r="G27">
            <v>5</v>
          </cell>
        </row>
        <row r="28">
          <cell r="E28" t="str">
            <v>OLS-LS-1</v>
          </cell>
          <cell r="F28" t="str">
            <v>a.      Direct or long-term decrease in local water supply</v>
          </cell>
          <cell r="G28">
            <v>1</v>
          </cell>
        </row>
        <row r="29">
          <cell r="E29" t="str">
            <v>OLS-LS-1</v>
          </cell>
          <cell r="F29" t="str">
            <v>b.      Indirect or temporary decrease in local water supply</v>
          </cell>
          <cell r="G29">
            <v>2</v>
          </cell>
        </row>
        <row r="30">
          <cell r="E30" t="str">
            <v>OLS-LS-1</v>
          </cell>
          <cell r="F30" t="str">
            <v>c.       Neutral or unknown impact on local water supply</v>
          </cell>
          <cell r="G30">
            <v>3</v>
          </cell>
        </row>
        <row r="31">
          <cell r="E31" t="str">
            <v>OLS-LS-1</v>
          </cell>
          <cell r="F31" t="str">
            <v>d.      Indirect or temporary increase in local water supply</v>
          </cell>
          <cell r="G31">
            <v>4</v>
          </cell>
        </row>
        <row r="32">
          <cell r="E32" t="str">
            <v>OLS-LS-1</v>
          </cell>
          <cell r="F32" t="str">
            <v>e.      Direct or long-term increase in local water supply</v>
          </cell>
          <cell r="G32">
            <v>5</v>
          </cell>
        </row>
        <row r="33">
          <cell r="E33" t="str">
            <v>CE-CC-1</v>
          </cell>
          <cell r="F33" t="str">
            <v>a.      Very costly/high cost</v>
          </cell>
          <cell r="G33">
            <v>1</v>
          </cell>
        </row>
        <row r="34">
          <cell r="E34" t="str">
            <v>CE-CC-1</v>
          </cell>
          <cell r="F34" t="str">
            <v>b.      Moderate or variable costs</v>
          </cell>
          <cell r="G34">
            <v>3</v>
          </cell>
        </row>
        <row r="35">
          <cell r="E35" t="str">
            <v>CE-CC-1</v>
          </cell>
          <cell r="F35" t="str">
            <v>c.     Inexpensive/low cost</v>
          </cell>
          <cell r="G35">
            <v>5</v>
          </cell>
        </row>
        <row r="36">
          <cell r="E36" t="str">
            <v>CE-OM-1</v>
          </cell>
          <cell r="F36" t="str">
            <v>a.      Very costly</v>
          </cell>
          <cell r="G36">
            <v>1</v>
          </cell>
        </row>
        <row r="37">
          <cell r="E37" t="str">
            <v>CE-OM-1</v>
          </cell>
          <cell r="F37" t="str">
            <v>b.      Moderate or variable costs</v>
          </cell>
          <cell r="G37">
            <v>3</v>
          </cell>
        </row>
        <row r="38">
          <cell r="E38" t="str">
            <v>CE-OM-1</v>
          </cell>
          <cell r="F38" t="str">
            <v>c.      Inexpensive/low cost</v>
          </cell>
          <cell r="G38">
            <v>5</v>
          </cell>
        </row>
        <row r="39">
          <cell r="E39" t="str">
            <v>RI-C-1</v>
          </cell>
          <cell r="F39" t="str">
            <v>a.      No integration or coordination</v>
          </cell>
          <cell r="G39">
            <v>1</v>
          </cell>
        </row>
        <row r="40">
          <cell r="E40" t="str">
            <v>RI-C-1</v>
          </cell>
          <cell r="F40" t="str">
            <v>b.      Limited integration or coordination</v>
          </cell>
          <cell r="G40">
            <v>2</v>
          </cell>
        </row>
        <row r="41">
          <cell r="E41" t="str">
            <v>RI-C-1</v>
          </cell>
          <cell r="F41" t="str">
            <v>c.       Moderate integration or coordination</v>
          </cell>
          <cell r="G41">
            <v>3</v>
          </cell>
        </row>
        <row r="42">
          <cell r="E42" t="str">
            <v>RI-C-1</v>
          </cell>
          <cell r="F42" t="str">
            <v>d.      Substantial integration or coordination</v>
          </cell>
          <cell r="G42">
            <v>4</v>
          </cell>
        </row>
        <row r="43">
          <cell r="E43" t="str">
            <v>RI-C-1</v>
          </cell>
          <cell r="F43" t="str">
            <v>e.      Very high level of integration or coordination</v>
          </cell>
          <cell r="G43">
            <v>5</v>
          </cell>
        </row>
        <row r="44">
          <cell r="E44" t="str">
            <v>RI-C-2</v>
          </cell>
          <cell r="F44" t="str">
            <v>a.      No</v>
          </cell>
          <cell r="G44">
            <v>1</v>
          </cell>
        </row>
        <row r="45">
          <cell r="E45" t="str">
            <v>RI-C-2</v>
          </cell>
          <cell r="F45" t="str">
            <v>b.      Unknown</v>
          </cell>
          <cell r="G45">
            <v>3</v>
          </cell>
        </row>
        <row r="46">
          <cell r="E46" t="str">
            <v>RI-C-2</v>
          </cell>
          <cell r="F46" t="str">
            <v>c.       Sometimes project implementation requires leveraging assets or building off of existing projects</v>
          </cell>
          <cell r="G46">
            <v>4</v>
          </cell>
        </row>
        <row r="47">
          <cell r="E47" t="str">
            <v>RI-C-2</v>
          </cell>
          <cell r="F47" t="str">
            <v>a.      No</v>
          </cell>
          <cell r="G47">
            <v>5</v>
          </cell>
        </row>
        <row r="48">
          <cell r="E48" t="str">
            <v>RI-C-3</v>
          </cell>
          <cell r="F48" t="str">
            <v>a.      No or unknown</v>
          </cell>
          <cell r="G48"/>
        </row>
        <row r="49">
          <cell r="E49" t="str">
            <v>RI-C-3</v>
          </cell>
          <cell r="F49" t="str">
            <v>b.      Yes</v>
          </cell>
          <cell r="G49"/>
        </row>
        <row r="50">
          <cell r="E50" t="str">
            <v>RI-EO-1</v>
          </cell>
          <cell r="F50" t="str">
            <v>a.      No education and outreach</v>
          </cell>
          <cell r="G50">
            <v>1</v>
          </cell>
        </row>
        <row r="51">
          <cell r="E51" t="str">
            <v>RI-EO-1</v>
          </cell>
          <cell r="F51" t="str">
            <v>b.      Very limited education and outreach</v>
          </cell>
          <cell r="G51">
            <v>2</v>
          </cell>
        </row>
        <row r="52">
          <cell r="E52" t="str">
            <v>RI-EO-1</v>
          </cell>
          <cell r="F52" t="str">
            <v>c.       Limited education and outreach</v>
          </cell>
          <cell r="G52">
            <v>3</v>
          </cell>
        </row>
        <row r="53">
          <cell r="E53" t="str">
            <v>RI-EO-1</v>
          </cell>
          <cell r="F53" t="str">
            <v>d.      Moderate education and outreach</v>
          </cell>
          <cell r="G53">
            <v>4</v>
          </cell>
        </row>
        <row r="54">
          <cell r="E54" t="str">
            <v>RI-EO-1</v>
          </cell>
          <cell r="F54" t="str">
            <v>e.      Significant education and outreach</v>
          </cell>
          <cell r="G54">
            <v>5</v>
          </cell>
        </row>
        <row r="55">
          <cell r="E55" t="str">
            <v>SI-PP-1</v>
          </cell>
          <cell r="F55" t="str">
            <v>a.      Extreme difficulty to scale back, phase, or expand.</v>
          </cell>
          <cell r="G55">
            <v>1</v>
          </cell>
        </row>
        <row r="56">
          <cell r="E56" t="str">
            <v>SI-PP-1</v>
          </cell>
          <cell r="F56" t="str">
            <v>b.      Moderate difficulty to expand or phase the project.</v>
          </cell>
          <cell r="G56">
            <v>2</v>
          </cell>
        </row>
        <row r="57">
          <cell r="E57" t="str">
            <v>SI-PP-1</v>
          </cell>
          <cell r="F57" t="str">
            <v>c.       No or unknown difficulty to expand or phase the project.</v>
          </cell>
          <cell r="G57">
            <v>3</v>
          </cell>
        </row>
        <row r="58">
          <cell r="E58" t="str">
            <v>SI-PP-1</v>
          </cell>
          <cell r="F58" t="str">
            <v>d.      Project easily modified to accommodate a subsequent phase or expansion.</v>
          </cell>
          <cell r="G58">
            <v>4</v>
          </cell>
        </row>
        <row r="59">
          <cell r="E59" t="str">
            <v>SI-PP-1</v>
          </cell>
          <cell r="F59" t="str">
            <v>e.      Project currently planned and designed to accommodate a subsequent phase or expansion.</v>
          </cell>
          <cell r="G59">
            <v>5</v>
          </cell>
        </row>
        <row r="60">
          <cell r="E60" t="str">
            <v>PC-CF-1</v>
          </cell>
          <cell r="F60" t="str">
            <v>a.      Highly complex and infeasible. Significant expertise, experience and collaboration among multiple partners or collaborators required in order for these types of projects to be successfully implemented. Projects regularly experience delays and/or must be altered due to project complexity, logistics, and/or competing interests.</v>
          </cell>
          <cell r="G60">
            <v>1</v>
          </cell>
        </row>
        <row r="61">
          <cell r="E61" t="str">
            <v>PC-CF-1</v>
          </cell>
          <cell r="F61" t="str">
            <v>b.      Moderately complex. Project implementation and/or approval requires multiple agencies/organizations to collaborate.</v>
          </cell>
          <cell r="G61">
            <v>2</v>
          </cell>
        </row>
        <row r="62">
          <cell r="E62" t="str">
            <v>PC-CF-1</v>
          </cell>
          <cell r="F62" t="str">
            <v>c.       Unknown complexity and/or feasibility</v>
          </cell>
          <cell r="G62">
            <v>3</v>
          </cell>
        </row>
        <row r="63">
          <cell r="E63" t="str">
            <v>PC-CF-1</v>
          </cell>
          <cell r="F63" t="str">
            <v>d.      Moderately simple. Projects within this Adaptation Concept are likely to experience a limited number of barriers to implementation. Achieving regulatory compliance is a routine procedure and is achievable. If multiple partners are involved, there are existing agreements in place to facilitate project approval and implementation.</v>
          </cell>
          <cell r="G63">
            <v>4</v>
          </cell>
        </row>
        <row r="64">
          <cell r="E64" t="str">
            <v>PC-CF-1</v>
          </cell>
          <cell r="F64" t="str">
            <v>e.      Simple. Projects are easily and regularly implemented with few barriers. Regulatory compliance is easily acquired and achieved.</v>
          </cell>
          <cell r="G64">
            <v>5</v>
          </cell>
        </row>
        <row r="65">
          <cell r="E65" t="str">
            <v>QR-GS-1</v>
          </cell>
          <cell r="F65" t="str">
            <v>a.      Direct or long-term reduction in amount or quality of green or open space</v>
          </cell>
          <cell r="G65">
            <v>1</v>
          </cell>
        </row>
        <row r="66">
          <cell r="E66" t="str">
            <v>QR-GS-1</v>
          </cell>
          <cell r="F66" t="str">
            <v>b.      Indirect, limited or temporary reduction in amount or quality of green or open space</v>
          </cell>
          <cell r="G66">
            <v>2</v>
          </cell>
        </row>
        <row r="67">
          <cell r="E67" t="str">
            <v>QR-GS-1</v>
          </cell>
          <cell r="F67" t="str">
            <v>c.       No or unknown impact on green or open space</v>
          </cell>
          <cell r="G67">
            <v>3</v>
          </cell>
        </row>
        <row r="68">
          <cell r="E68" t="str">
            <v>QR-GS-1</v>
          </cell>
          <cell r="F68" t="str">
            <v>d.      Indirect, limited or temporary increase in amount or quality green or open space</v>
          </cell>
          <cell r="G68">
            <v>4</v>
          </cell>
        </row>
        <row r="69">
          <cell r="E69" t="str">
            <v>QR-GS-1</v>
          </cell>
          <cell r="F69" t="str">
            <v>e.      Direct or long-term increase in amount or quality of green or open space</v>
          </cell>
          <cell r="G69">
            <v>5</v>
          </cell>
        </row>
        <row r="70">
          <cell r="E70" t="str">
            <v>QR-GS-12</v>
          </cell>
          <cell r="F70" t="str">
            <v>a.      Direct or long-term reduction in quality of life</v>
          </cell>
          <cell r="G70">
            <v>1</v>
          </cell>
        </row>
        <row r="71">
          <cell r="E71" t="str">
            <v>QR-GS-12</v>
          </cell>
          <cell r="F71" t="str">
            <v>b.      Indirect or limited or temporary reduction in quality of life</v>
          </cell>
          <cell r="G71">
            <v>2</v>
          </cell>
        </row>
        <row r="72">
          <cell r="E72" t="str">
            <v>QR-GS-12</v>
          </cell>
          <cell r="F72" t="str">
            <v>c.      No or unknown impact on quality of life</v>
          </cell>
          <cell r="G72">
            <v>3</v>
          </cell>
        </row>
        <row r="73">
          <cell r="E73" t="str">
            <v>QR-GS-12</v>
          </cell>
          <cell r="F73" t="str">
            <v>d.      Indirect, limited or temporary increase in quality of life</v>
          </cell>
          <cell r="G73">
            <v>4</v>
          </cell>
        </row>
        <row r="74">
          <cell r="E74" t="str">
            <v>QR-GS-12</v>
          </cell>
          <cell r="F74" t="str">
            <v>e.      Direct or long-term increase in quality of life</v>
          </cell>
          <cell r="G74">
            <v>5</v>
          </cell>
        </row>
        <row r="75">
          <cell r="E75" t="str">
            <v>QR-RO-1</v>
          </cell>
          <cell r="F75" t="str">
            <v>a.      Direct or long-term reduction in recreational opportunities</v>
          </cell>
          <cell r="G75">
            <v>1</v>
          </cell>
        </row>
        <row r="76">
          <cell r="E76" t="str">
            <v>QR-RO-1</v>
          </cell>
          <cell r="F76" t="str">
            <v>b.      Indirect, temporary or limited reduction in recreational opportunities</v>
          </cell>
          <cell r="G76">
            <v>2</v>
          </cell>
        </row>
        <row r="77">
          <cell r="E77" t="str">
            <v>QR-RO-1</v>
          </cell>
          <cell r="F77" t="str">
            <v>c.       No or unknown impact on recreational opportunities</v>
          </cell>
          <cell r="G77">
            <v>3</v>
          </cell>
        </row>
        <row r="78">
          <cell r="E78" t="str">
            <v>QR-RO-1</v>
          </cell>
          <cell r="F78" t="str">
            <v>d.      Indirect, temporary or limited increase in recreational opportunities</v>
          </cell>
          <cell r="G78">
            <v>4</v>
          </cell>
        </row>
        <row r="79">
          <cell r="E79" t="str">
            <v>QR-RO-1</v>
          </cell>
          <cell r="F79" t="str">
            <v>e.      Direct or long-term increase in recreational opportunities</v>
          </cell>
          <cell r="G79">
            <v>5</v>
          </cell>
        </row>
        <row r="80">
          <cell r="E80" t="str">
            <v>WQ-WW-1</v>
          </cell>
          <cell r="F80" t="str">
            <v>a.      Direct or long-term increase in the volume of or decrease in the ecological resilience to stormwater or wastewater discharged to receiving waters.</v>
          </cell>
          <cell r="G80">
            <v>1</v>
          </cell>
        </row>
        <row r="81">
          <cell r="E81" t="str">
            <v>WQ-WW-1</v>
          </cell>
          <cell r="F81" t="str">
            <v>b.      Indirect, limited or temporary increase the volume of or decrease in the ecological resilience to stormwater or wastewater discharged to receiving waters.</v>
          </cell>
          <cell r="G81">
            <v>2</v>
          </cell>
        </row>
        <row r="82">
          <cell r="E82" t="str">
            <v>WQ-WW-1</v>
          </cell>
          <cell r="F82" t="str">
            <v>c.      No or unknown effect on the volume of or ecological resilience to stormwater or wastewater discharged to receiving waters.</v>
          </cell>
          <cell r="G82">
            <v>3</v>
          </cell>
        </row>
        <row r="83">
          <cell r="E83" t="str">
            <v>WQ-WW-1</v>
          </cell>
          <cell r="F83" t="str">
            <v>d.      Indirect, limited, or temporary reduction in the volume of or increase in the ecological resilience to stormwater or wastewater discharged to receiving waters.</v>
          </cell>
          <cell r="G83">
            <v>4</v>
          </cell>
        </row>
        <row r="84">
          <cell r="E84" t="str">
            <v>WQ-WW-1</v>
          </cell>
          <cell r="F84" t="str">
            <v>e.      Direct or long-term reduction in the volume of or increase in the ecological resilience to stormwater or wastewater discharged to receiving waters.</v>
          </cell>
          <cell r="G84">
            <v>5</v>
          </cell>
        </row>
        <row r="85">
          <cell r="E85" t="str">
            <v>WQ-WW-2</v>
          </cell>
          <cell r="F85" t="str">
            <v>a.      Direct or long-term increase in the volume of or decrease in the ecological resilience to stormwater or wastewater discharged to receiving waters.</v>
          </cell>
          <cell r="G85">
            <v>1</v>
          </cell>
        </row>
        <row r="86">
          <cell r="E86" t="str">
            <v>WQ-WW-2</v>
          </cell>
          <cell r="F86" t="str">
            <v>b.      Indirect, limited or temporary increase the volume of or decrease in the ecological resilience to stormwater or wastewater discharged to receiving waters.</v>
          </cell>
          <cell r="G86">
            <v>2</v>
          </cell>
        </row>
        <row r="87">
          <cell r="E87" t="str">
            <v>WQ-WW-2</v>
          </cell>
          <cell r="F87" t="str">
            <v>c.      No or unknown effect on the volume of or ecological resilience to stormwater or wastewater discharged to receiving waters.</v>
          </cell>
          <cell r="G87">
            <v>3</v>
          </cell>
        </row>
        <row r="88">
          <cell r="E88" t="str">
            <v>WQ-WW-2</v>
          </cell>
          <cell r="F88" t="str">
            <v>d.      Indirect, limited, or temporary reduction in the volume of or increase in the ecological resilience to stormwater or wastewater discharged to receiving waters.</v>
          </cell>
          <cell r="G88">
            <v>4</v>
          </cell>
        </row>
        <row r="89">
          <cell r="E89" t="str">
            <v>WQ-WW-2</v>
          </cell>
          <cell r="F89" t="str">
            <v>e.      Direct or long-term reduction in the volume of or increase in the ecological resilience to stormwater or wastewater discharged to receiving waters.</v>
          </cell>
          <cell r="G89">
            <v>5</v>
          </cell>
        </row>
        <row r="90">
          <cell r="E90" t="str">
            <v>GHG-GM-1</v>
          </cell>
          <cell r="F90" t="str">
            <v>a.      GHG mitigations are eliminated through implementation of projects within this Adaptation Concept</v>
          </cell>
          <cell r="G90">
            <v>1</v>
          </cell>
        </row>
        <row r="91">
          <cell r="E91" t="str">
            <v>GHG-GM-1</v>
          </cell>
          <cell r="F91" t="str">
            <v>b.      GHG mitigations are decreased through the implementation of projects within this Adaptation Concept</v>
          </cell>
          <cell r="G91">
            <v>2</v>
          </cell>
        </row>
        <row r="92">
          <cell r="E92" t="str">
            <v>GHG-GM-1</v>
          </cell>
          <cell r="F92" t="str">
            <v>c.       No or unknown amount of GHG mitigation</v>
          </cell>
          <cell r="G92">
            <v>3</v>
          </cell>
        </row>
        <row r="93">
          <cell r="E93" t="str">
            <v>GHG-GM-1</v>
          </cell>
          <cell r="F93" t="str">
            <v>d.      Moderate amount of GHG mitigation is achieved by the implementation of projects within this Adaptation Concept. Mitigation cannot be directly quantified as “carbon credits” or “carbon dioxide equivalents.”</v>
          </cell>
          <cell r="G93">
            <v>4</v>
          </cell>
        </row>
        <row r="94">
          <cell r="E94" t="str">
            <v>GHG-GM-1</v>
          </cell>
          <cell r="F94" t="str">
            <v>e.      Substantial amount of GHG mitigation achieved by the implementation of projects within this Adaptation Concept. Mitigation can be quantified as “carbon credits” or “carbon dioxide equivalents.”</v>
          </cell>
          <cell r="G94">
            <v>5</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133" displayName="Table133" ref="A6:AG352" totalsRowShown="0" headerRowDxfId="35" dataDxfId="34" tableBorderDxfId="33">
  <autoFilter ref="A6:AG352" xr:uid="{00000000-0009-0000-0100-000002000000}"/>
  <tableColumns count="33">
    <tableColumn id="1" xr3:uid="{00000000-0010-0000-0200-000001000000}" name="Name" dataDxfId="32">
      <calculatedColumnFormula>'[2]Questionnaire Responses'!A8</calculatedColumnFormula>
    </tableColumn>
    <tableColumn id="5" xr3:uid="{00000000-0010-0000-0200-000005000000}" name="Concept" dataDxfId="31">
      <calculatedColumnFormula>'[2]Questionnaire Responses'!B8</calculatedColumnFormula>
    </tableColumn>
    <tableColumn id="12" xr3:uid="{00000000-0010-0000-0200-00000C000000}" name="Definition" dataDxfId="30">
      <calculatedColumnFormula>'[2]Questionnaire Responses'!C8</calculatedColumnFormula>
    </tableColumn>
    <tableColumn id="72" xr3:uid="{00000000-0010-0000-0200-000048000000}" name="Survey?" dataDxfId="29"/>
    <tableColumn id="71" xr3:uid="{00000000-0010-0000-0200-000047000000}" name="Column1" dataDxfId="28"/>
    <tableColumn id="32" xr3:uid="{00000000-0010-0000-0200-000020000000}" name="RR-V-1" dataDxfId="27">
      <calculatedColumnFormula array="1">IF(Table133[[#This Row],[Survey?]]="","",IFERROR(INDEX([2]Rubric!$G$3:$G$94,MATCH(1,([2]Rubric!$E$3:$E$94=F$2)*([2]Rubric!$F$3:$F$94='[2]Questionnaire Responses'!F8),0)),"MISSING"))</calculatedColumnFormula>
    </tableColumn>
    <tableColumn id="2" xr3:uid="{00000000-0010-0000-0200-000002000000}" name="RR-V-2" dataDxfId="26">
      <calculatedColumnFormula array="1">IF(Table133[[#This Row],[Survey?]]="","",IFERROR(INDEX([2]Rubric!$G$3:$G$94,MATCH(1,([2]Rubric!$E$3:$E$94=G$2)*([2]Rubric!$F$3:$F$94='[2]Questionnaire Responses'!G8),0)),"MISSING"))</calculatedColumnFormula>
    </tableColumn>
    <tableColumn id="3" xr3:uid="{00000000-0010-0000-0200-000003000000}" name="RR-V-3" dataDxfId="25">
      <calculatedColumnFormula array="1">IF(Table133[[#This Row],[Survey?]]="","",IFERROR(INDEX([2]Rubric!$G$3:$G$94,MATCH(1,([2]Rubric!$E$3:$E$94=H$2)*([2]Rubric!$F$3:$F$94='[2]Questionnaire Responses'!H8),0)),"MISSING"))</calculatedColumnFormula>
    </tableColumn>
    <tableColumn id="16" xr3:uid="{00000000-0010-0000-0200-000010000000}" name="RR-V-4" dataDxfId="24">
      <calculatedColumnFormula array="1">IF(Table133[[#This Row],[Survey?]]="","",IFERROR(INDEX([2]Rubric!$G$3:$G$94,MATCH(1,([2]Rubric!$E$3:$E$94=I$2)*([2]Rubric!$F$3:$F$94='[2]Questionnaire Responses'!I8),0)),"MISSING"))</calculatedColumnFormula>
    </tableColumn>
    <tableColumn id="17" xr3:uid="{00000000-0010-0000-0200-000011000000}" name="RR-CS-1" dataDxfId="23">
      <calculatedColumnFormula array="1">IF(Table133[[#This Row],[Survey?]]="","",IFERROR(INDEX([2]Rubric!$G$3:$G$94,MATCH(1,([2]Rubric!$E$3:$E$94=J$2)*([2]Rubric!$F$3:$F$94='[2]Questionnaire Responses'!J8),0)),"MISSING"))</calculatedColumnFormula>
    </tableColumn>
    <tableColumn id="24" xr3:uid="{00000000-0010-0000-0200-000018000000}" name="Column12" dataDxfId="22"/>
    <tableColumn id="18" xr3:uid="{00000000-0010-0000-0200-000012000000}" name="OLS-LS-1" dataDxfId="21">
      <calculatedColumnFormula array="1">IF(Table133[[#This Row],[Survey?]]="","",IFERROR(INDEX([2]Rubric!$G$3:$G$94,MATCH(1,([2]Rubric!$E$3:$E$94=L$2)*([2]Rubric!$F$3:$F$94='[2]Questionnaire Responses'!L8),0)),"MISSING"))</calculatedColumnFormula>
    </tableColumn>
    <tableColumn id="43" xr3:uid="{00000000-0010-0000-0200-00002B000000}" name="Column13" dataDxfId="20"/>
    <tableColumn id="19" xr3:uid="{00000000-0010-0000-0200-000013000000}" name="CE-CC-1" dataDxfId="19">
      <calculatedColumnFormula array="1">IF(Table133[[#This Row],[Survey?]]="","",IFERROR(INDEX([2]Rubric!$G$3:$G$94,MATCH(1,([2]Rubric!$E$3:$E$94=N$2)*([2]Rubric!$F$3:$F$94='[2]Questionnaire Responses'!N8),0)),"MISSING"))</calculatedColumnFormula>
    </tableColumn>
    <tableColumn id="22" xr3:uid="{00000000-0010-0000-0200-000016000000}" name="CE-OM-1" dataDxfId="18">
      <calculatedColumnFormula array="1">IF(Table133[[#This Row],[Survey?]]="","",IFERROR(INDEX([2]Rubric!$G$3:$G$94,MATCH(1,([2]Rubric!$E$3:$E$94=O$2)*([2]Rubric!$F$3:$F$94='[2]Questionnaire Responses'!O8),0)),"MISSING"))</calculatedColumnFormula>
    </tableColumn>
    <tableColumn id="44" xr3:uid="{00000000-0010-0000-0200-00002C000000}" name="Column14" dataDxfId="17"/>
    <tableColumn id="10" xr3:uid="{00000000-0010-0000-0200-00000A000000}" name="RI-C-1" dataDxfId="16">
      <calculatedColumnFormula array="1">IF(Table133[[#This Row],[Survey?]]="","",IFERROR(INDEX([2]Rubric!$G$3:$G$94,MATCH(1,([2]Rubric!$E$3:$E$94=Q$2)*([2]Rubric!$F$3:$F$94='[2]Questionnaire Responses'!Q8),0)),"MISSING"))</calculatedColumnFormula>
    </tableColumn>
    <tableColumn id="11" xr3:uid="{00000000-0010-0000-0200-00000B000000}" name="RI-C-2" dataDxfId="15">
      <calculatedColumnFormula array="1">IF(Table133[[#This Row],[Survey?]]="","",IFERROR(INDEX([2]Rubric!$G$3:$G$94,MATCH(1,([2]Rubric!$E$3:$E$94=R$2)*([2]Rubric!$F$3:$F$94='[2]Questionnaire Responses'!R8),0)),"MISSING"))</calculatedColumnFormula>
    </tableColumn>
    <tableColumn id="4" xr3:uid="{00000000-0010-0000-0200-000004000000}" name="RI-C-3" dataDxfId="14">
      <calculatedColumnFormula array="1">IF(Table133[[#This Row],[Survey?]]="","",IFERROR(INDEX([2]Rubric!$G$3:$G$94,MATCH(1,([2]Rubric!$E$3:$E$94=S$2)*([2]Rubric!$F$3:$F$94='[2]Questionnaire Responses'!S8),0)),"MISSING"))</calculatedColumnFormula>
    </tableColumn>
    <tableColumn id="33" xr3:uid="{00000000-0010-0000-0200-000021000000}" name="RI-EO-1" dataDxfId="13">
      <calculatedColumnFormula array="1">IF(Table133[[#This Row],[Survey?]]="","",IFERROR(INDEX([2]Rubric!$G$3:$G$94,MATCH(1,([2]Rubric!$E$3:$E$94=T$2)*([2]Rubric!$F$3:$F$94='[2]Questionnaire Responses'!T8),0)),"MISSING"))</calculatedColumnFormula>
    </tableColumn>
    <tableColumn id="45" xr3:uid="{00000000-0010-0000-0200-00002D000000}" name="Column15" dataDxfId="12"/>
    <tableColumn id="34" xr3:uid="{00000000-0010-0000-0200-000022000000}" name="SI-PP-1" dataDxfId="11">
      <calculatedColumnFormula array="1">IF(Table133[[#This Row],[Survey?]]="","",IFERROR(INDEX([2]Rubric!$G$3:$G$94,MATCH(1,([2]Rubric!$E$3:$E$94=V$2)*([2]Rubric!$F$3:$F$94='[2]Questionnaire Responses'!V8),0)),"MISSING"))</calculatedColumnFormula>
    </tableColumn>
    <tableColumn id="46" xr3:uid="{00000000-0010-0000-0200-00002E000000}" name="Column16" dataDxfId="10"/>
    <tableColumn id="35" xr3:uid="{00000000-0010-0000-0200-000023000000}" name="PC-CF-1" dataDxfId="9">
      <calculatedColumnFormula array="1">IF(Table133[[#This Row],[Survey?]]="","",IFERROR(INDEX([2]Rubric!$G$3:$G$94,MATCH(1,([2]Rubric!$E$3:$E$94=X$2)*([2]Rubric!$F$3:$F$94='[2]Questionnaire Responses'!X8),0)),"MISSING"))</calculatedColumnFormula>
    </tableColumn>
    <tableColumn id="47" xr3:uid="{00000000-0010-0000-0200-00002F000000}" name="Column17" dataDxfId="8"/>
    <tableColumn id="36" xr3:uid="{00000000-0010-0000-0200-000024000000}" name="QR-GS-1" dataDxfId="7">
      <calculatedColumnFormula array="1">IF(Table133[[#This Row],[Survey?]]="","",IFERROR(INDEX([2]Rubric!$G$3:$G$94,MATCH(1,([2]Rubric!$E$3:$E$94=Z$2)*([2]Rubric!$F$3:$F$94='[2]Questionnaire Responses'!Z8),0)),"MISSING"))</calculatedColumnFormula>
    </tableColumn>
    <tableColumn id="37" xr3:uid="{00000000-0010-0000-0200-000025000000}" name="QR-GS-12" dataDxfId="6">
      <calculatedColumnFormula array="1">IF(Table133[[#This Row],[Survey?]]="","",IFERROR(INDEX([2]Rubric!$G$3:$G$94,MATCH(1,([2]Rubric!$E$3:$E$94=AA$2)*([2]Rubric!$F$3:$F$94='[2]Questionnaire Responses'!AA8),0)),"MISSING"))</calculatedColumnFormula>
    </tableColumn>
    <tableColumn id="38" xr3:uid="{00000000-0010-0000-0200-000026000000}" name="QR-RO-1" dataDxfId="5">
      <calculatedColumnFormula array="1">IF(Table133[[#This Row],[Survey?]]="","",IFERROR(INDEX([2]Rubric!$G$3:$G$94,MATCH(1,([2]Rubric!$E$3:$E$94=AB$2)*([2]Rubric!$F$3:$F$94='[2]Questionnaire Responses'!AB8),0)),"MISSING"))</calculatedColumnFormula>
    </tableColumn>
    <tableColumn id="68" xr3:uid="{00000000-0010-0000-0200-000044000000}" name="Column18" dataDxfId="4"/>
    <tableColumn id="61" xr3:uid="{00000000-0010-0000-0200-00003D000000}" name="WQ-WW-1" dataDxfId="3">
      <calculatedColumnFormula array="1">IF(Table133[[#This Row],[Survey?]]="","",IFERROR(INDEX([2]Rubric!$G$3:$G$94,MATCH(1,([2]Rubric!$E$3:$E$94=AD$2)*([2]Rubric!$F$3:$F$94='[2]Questionnaire Responses'!AD8),0)),"MISSING"))</calculatedColumnFormula>
    </tableColumn>
    <tableColumn id="62" xr3:uid="{00000000-0010-0000-0200-00003E000000}" name="WQ-WW-2" dataDxfId="2">
      <calculatedColumnFormula array="1">IF(Table133[[#This Row],[Survey?]]="","",IFERROR(INDEX([2]Rubric!$G$3:$G$94,MATCH(1,([2]Rubric!$E$3:$E$94=AE$2)*([2]Rubric!$F$3:$F$94='[2]Questionnaire Responses'!AE8),0)),"MISSING"))</calculatedColumnFormula>
    </tableColumn>
    <tableColumn id="70" xr3:uid="{00000000-0010-0000-0200-000046000000}" name="Column19" dataDxfId="1"/>
    <tableColumn id="63" xr3:uid="{00000000-0010-0000-0200-00003F000000}" name="GHG-GM-1" dataDxfId="0">
      <calculatedColumnFormula array="1">IF(Table133[[#This Row],[Survey?]]="","",IFERROR(INDEX([2]Rubric!$G$3:$G$94,MATCH(1,([2]Rubric!$E$3:$E$94=AG$2)*([2]Rubric!$F$3:$F$94='[2]Questionnaire Responses'!AG8),0)),"MISSING"))</calculatedColumnFormula>
    </tableColumn>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B2:G12"/>
  <sheetViews>
    <sheetView workbookViewId="0">
      <selection activeCell="C32" sqref="C32"/>
    </sheetView>
  </sheetViews>
  <sheetFormatPr defaultRowHeight="15" x14ac:dyDescent="0.25"/>
  <cols>
    <col min="2" max="7" width="20.85546875" customWidth="1"/>
  </cols>
  <sheetData>
    <row r="2" spans="2:7" s="2" customFormat="1" ht="30" x14ac:dyDescent="0.25">
      <c r="B2" s="584" t="s">
        <v>127</v>
      </c>
      <c r="C2" s="584" t="s">
        <v>787</v>
      </c>
      <c r="D2" s="584" t="s">
        <v>283</v>
      </c>
      <c r="E2" s="584" t="s">
        <v>940</v>
      </c>
      <c r="F2" s="584" t="s">
        <v>242</v>
      </c>
      <c r="G2" s="584"/>
    </row>
    <row r="3" spans="2:7" x14ac:dyDescent="0.25">
      <c r="B3" s="583" t="s">
        <v>125</v>
      </c>
      <c r="C3" s="583" t="s">
        <v>788</v>
      </c>
      <c r="D3" s="583" t="s">
        <v>284</v>
      </c>
      <c r="E3" s="583">
        <v>1</v>
      </c>
      <c r="F3" s="583" t="s">
        <v>241</v>
      </c>
      <c r="G3" s="583"/>
    </row>
    <row r="4" spans="2:7" x14ac:dyDescent="0.25">
      <c r="B4" s="583" t="s">
        <v>126</v>
      </c>
      <c r="C4" s="583" t="s">
        <v>789</v>
      </c>
      <c r="D4" s="583" t="s">
        <v>26</v>
      </c>
      <c r="E4" s="583">
        <v>2</v>
      </c>
      <c r="F4" s="583" t="s">
        <v>23</v>
      </c>
      <c r="G4" s="583"/>
    </row>
    <row r="5" spans="2:7" x14ac:dyDescent="0.25">
      <c r="B5" s="583"/>
      <c r="C5" s="583"/>
      <c r="D5" s="583" t="s">
        <v>27</v>
      </c>
      <c r="E5" s="583">
        <v>3</v>
      </c>
      <c r="F5" s="583" t="s">
        <v>24</v>
      </c>
      <c r="G5" s="583"/>
    </row>
    <row r="6" spans="2:7" x14ac:dyDescent="0.25">
      <c r="B6" s="583"/>
      <c r="C6" s="583"/>
      <c r="D6" s="583"/>
      <c r="E6" s="583">
        <v>4</v>
      </c>
      <c r="F6" s="583"/>
      <c r="G6" s="583"/>
    </row>
    <row r="7" spans="2:7" x14ac:dyDescent="0.25">
      <c r="B7" s="583"/>
      <c r="C7" s="583"/>
      <c r="D7" s="583"/>
      <c r="E7" s="583">
        <v>5</v>
      </c>
      <c r="F7" s="583"/>
      <c r="G7" s="583"/>
    </row>
    <row r="8" spans="2:7" x14ac:dyDescent="0.25">
      <c r="B8" s="583"/>
      <c r="C8" s="583"/>
      <c r="D8" s="583"/>
      <c r="E8" s="583">
        <v>6</v>
      </c>
      <c r="F8" s="583"/>
      <c r="G8" s="583"/>
    </row>
    <row r="9" spans="2:7" x14ac:dyDescent="0.25">
      <c r="B9" s="583"/>
      <c r="C9" s="583"/>
      <c r="D9" s="583"/>
      <c r="E9" s="583">
        <v>7</v>
      </c>
      <c r="F9" s="583"/>
      <c r="G9" s="583"/>
    </row>
    <row r="10" spans="2:7" x14ac:dyDescent="0.25">
      <c r="B10" s="583"/>
      <c r="C10" s="583"/>
      <c r="D10" s="583"/>
      <c r="E10" s="583">
        <v>8</v>
      </c>
      <c r="F10" s="583"/>
      <c r="G10" s="583"/>
    </row>
    <row r="11" spans="2:7" x14ac:dyDescent="0.25">
      <c r="B11" s="583"/>
      <c r="C11" s="583"/>
      <c r="D11" s="583"/>
      <c r="E11" s="583">
        <v>9</v>
      </c>
      <c r="F11" s="583"/>
      <c r="G11" s="583"/>
    </row>
    <row r="12" spans="2:7" x14ac:dyDescent="0.25">
      <c r="B12" s="583"/>
      <c r="C12" s="583"/>
      <c r="D12" s="583"/>
      <c r="E12" s="583">
        <v>10</v>
      </c>
      <c r="F12" s="583"/>
      <c r="G12" s="583"/>
    </row>
  </sheetData>
  <sheetProtection algorithmName="SHA-512" hashValue="bOuvyzSOGNf9dimVJS/bQESq3SktDx/WvO75NKtbio8UA6gUPHJkUkXeFrf8xhgBrxucvQlwe3j4+Y8TGm6t3w==" saltValue="+L0ALNHF1y2WtqU6sS6MqQ=="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8"/>
    <pageSetUpPr fitToPage="1"/>
  </sheetPr>
  <dimension ref="A1:S423"/>
  <sheetViews>
    <sheetView showGridLines="0" topLeftCell="A25" zoomScale="80" zoomScaleNormal="80" workbookViewId="0">
      <selection activeCell="F25" sqref="F1:P1048576"/>
    </sheetView>
  </sheetViews>
  <sheetFormatPr defaultRowHeight="15" x14ac:dyDescent="0.25"/>
  <cols>
    <col min="1" max="1" width="5.7109375" customWidth="1"/>
    <col min="2" max="2" width="46" customWidth="1"/>
    <col min="3" max="5" width="20.85546875" customWidth="1"/>
    <col min="6" max="16" width="20.85546875" hidden="1" customWidth="1"/>
    <col min="18" max="18" width="2.5703125" style="49" customWidth="1"/>
    <col min="19" max="19" width="5.7109375" customWidth="1"/>
  </cols>
  <sheetData>
    <row r="1" spans="1:19" s="96" customFormat="1" ht="15.75" x14ac:dyDescent="0.25">
      <c r="A1" s="56" t="s">
        <v>243</v>
      </c>
    </row>
    <row r="2" spans="1:19" s="96" customFormat="1" ht="26.25" x14ac:dyDescent="0.4">
      <c r="A2" s="112" t="s">
        <v>118</v>
      </c>
    </row>
    <row r="3" spans="1:19" s="49" customFormat="1" ht="15" customHeight="1" x14ac:dyDescent="0.5">
      <c r="B3" s="53"/>
      <c r="C3" s="53"/>
      <c r="D3" s="53"/>
      <c r="E3" s="53"/>
    </row>
    <row r="4" spans="1:19" s="10" customFormat="1" ht="18" customHeight="1" x14ac:dyDescent="0.3">
      <c r="A4" s="47" t="s">
        <v>961</v>
      </c>
      <c r="C4" s="4"/>
      <c r="D4" s="46"/>
      <c r="E4" s="46"/>
      <c r="F4" s="46"/>
      <c r="G4" s="46"/>
      <c r="H4" s="46"/>
      <c r="I4" s="46"/>
      <c r="J4" s="46"/>
      <c r="K4" s="46"/>
      <c r="L4" s="46"/>
      <c r="M4" s="46"/>
      <c r="N4" s="46"/>
      <c r="O4" s="46"/>
      <c r="P4" s="46"/>
      <c r="Q4" s="46"/>
      <c r="R4" s="50"/>
      <c r="S4" s="45" t="s">
        <v>120</v>
      </c>
    </row>
    <row r="5" spans="1:19" s="10" customFormat="1" ht="15" customHeight="1" x14ac:dyDescent="0.3">
      <c r="B5" s="47"/>
      <c r="C5" s="4"/>
      <c r="D5" s="46"/>
      <c r="E5" s="46"/>
      <c r="F5" s="46"/>
      <c r="G5" s="46"/>
      <c r="H5" s="46"/>
      <c r="I5" s="46"/>
      <c r="J5" s="46"/>
      <c r="K5" s="46"/>
      <c r="L5" s="46"/>
      <c r="M5" s="46"/>
      <c r="N5" s="46"/>
      <c r="O5" s="46"/>
      <c r="P5" s="46"/>
      <c r="Q5" s="46"/>
      <c r="R5" s="50"/>
    </row>
    <row r="6" spans="1:19" s="10" customFormat="1" ht="15" customHeight="1" thickBot="1" x14ac:dyDescent="0.3">
      <c r="B6" s="46" t="s">
        <v>962</v>
      </c>
      <c r="C6" s="4"/>
      <c r="D6" s="46"/>
      <c r="E6" s="46"/>
      <c r="F6" s="46"/>
      <c r="G6" s="46"/>
      <c r="H6" s="46"/>
      <c r="I6" s="46"/>
      <c r="J6" s="46"/>
      <c r="K6" s="46"/>
      <c r="L6" s="46"/>
      <c r="M6" s="46"/>
      <c r="N6" s="46"/>
      <c r="O6" s="46"/>
      <c r="P6" s="46"/>
      <c r="Q6" s="46"/>
      <c r="R6" s="50"/>
    </row>
    <row r="7" spans="1:19" s="10" customFormat="1" ht="45" x14ac:dyDescent="0.25">
      <c r="B7" s="25" t="s">
        <v>6</v>
      </c>
      <c r="C7" s="297" t="s">
        <v>155</v>
      </c>
      <c r="I7" s="231"/>
      <c r="J7" s="231"/>
      <c r="K7" s="231"/>
      <c r="L7" s="231"/>
      <c r="M7" s="231"/>
      <c r="N7" s="231"/>
      <c r="O7" s="231"/>
      <c r="P7" s="231"/>
      <c r="Q7" s="14"/>
      <c r="R7" s="50"/>
    </row>
    <row r="8" spans="1:19" s="10" customFormat="1" x14ac:dyDescent="0.25">
      <c r="B8" s="19" t="s">
        <v>7</v>
      </c>
      <c r="C8" s="43">
        <f t="shared" ref="C8:C19" si="0">IF(OR(B8="Enhanced Conservation",B8="Imported Water Purchases", B8="Gray Water Use", B8="Seawater Desalination"),"NA",AVERAGEIFS($L$73:$L$192,$C$73:$C$192,"="&amp;B8))</f>
        <v>3</v>
      </c>
      <c r="I8" s="38"/>
      <c r="J8" s="38"/>
      <c r="K8" s="38"/>
      <c r="L8" s="38"/>
      <c r="M8" s="38"/>
      <c r="N8" s="38"/>
      <c r="O8" s="38"/>
      <c r="P8" s="38"/>
      <c r="Q8"/>
      <c r="R8" s="50"/>
      <c r="S8" s="9"/>
    </row>
    <row r="9" spans="1:19" s="10" customFormat="1" ht="18" customHeight="1" x14ac:dyDescent="0.25">
      <c r="B9" s="19" t="s">
        <v>34</v>
      </c>
      <c r="C9" s="43" t="str">
        <f t="shared" si="0"/>
        <v>NA</v>
      </c>
      <c r="I9" s="38"/>
      <c r="J9" s="38"/>
      <c r="K9" s="38"/>
      <c r="L9" s="38"/>
      <c r="M9" s="38"/>
      <c r="N9" s="38"/>
      <c r="O9" s="38"/>
      <c r="P9" s="38"/>
      <c r="Q9"/>
      <c r="R9" s="50"/>
    </row>
    <row r="10" spans="1:19" s="10" customFormat="1" ht="18" customHeight="1" x14ac:dyDescent="0.25">
      <c r="B10" s="19" t="s">
        <v>8</v>
      </c>
      <c r="C10" s="43" t="str">
        <f t="shared" si="0"/>
        <v>NA</v>
      </c>
      <c r="I10" s="38"/>
      <c r="J10" s="38"/>
      <c r="K10" s="38"/>
      <c r="L10" s="38"/>
      <c r="M10" s="38"/>
      <c r="N10" s="38"/>
      <c r="O10" s="38"/>
      <c r="P10" s="38"/>
      <c r="Q10"/>
      <c r="R10" s="50"/>
    </row>
    <row r="11" spans="1:19" s="10" customFormat="1" ht="18" customHeight="1" x14ac:dyDescent="0.25">
      <c r="B11" s="19" t="s">
        <v>9</v>
      </c>
      <c r="C11" s="43">
        <f t="shared" si="0"/>
        <v>3.1666666666666665</v>
      </c>
      <c r="I11" s="38"/>
      <c r="J11" s="38"/>
      <c r="K11" s="38"/>
      <c r="L11" s="38"/>
      <c r="M11" s="38"/>
      <c r="N11" s="38"/>
      <c r="O11" s="38"/>
      <c r="P11" s="38"/>
      <c r="Q11"/>
      <c r="R11" s="50"/>
    </row>
    <row r="12" spans="1:19" s="14" customFormat="1" x14ac:dyDescent="0.25">
      <c r="A12"/>
      <c r="B12" s="19" t="s">
        <v>10</v>
      </c>
      <c r="C12" s="43" t="str">
        <f t="shared" si="0"/>
        <v>NA</v>
      </c>
      <c r="I12" s="38"/>
      <c r="J12" s="38"/>
      <c r="K12" s="38"/>
      <c r="L12" s="38"/>
      <c r="M12" s="38"/>
      <c r="N12" s="38"/>
      <c r="O12" s="38"/>
      <c r="P12" s="38"/>
      <c r="Q12"/>
      <c r="R12" s="50"/>
    </row>
    <row r="13" spans="1:19" x14ac:dyDescent="0.25">
      <c r="A13" s="16"/>
      <c r="B13" s="19" t="s">
        <v>11</v>
      </c>
      <c r="C13" s="43">
        <f t="shared" si="0"/>
        <v>3.25</v>
      </c>
      <c r="I13" s="38"/>
      <c r="J13" s="38"/>
      <c r="K13" s="38"/>
      <c r="L13" s="38"/>
      <c r="M13" s="38"/>
      <c r="N13" s="38"/>
      <c r="O13" s="38"/>
      <c r="P13" s="38"/>
      <c r="R13" s="50"/>
    </row>
    <row r="14" spans="1:19" x14ac:dyDescent="0.25">
      <c r="B14" s="19" t="s">
        <v>12</v>
      </c>
      <c r="C14" s="43">
        <f t="shared" si="0"/>
        <v>3.09375</v>
      </c>
      <c r="I14" s="38"/>
      <c r="J14" s="38"/>
      <c r="K14" s="38"/>
      <c r="L14" s="38"/>
      <c r="M14" s="38"/>
      <c r="N14" s="38"/>
      <c r="O14" s="38"/>
      <c r="P14" s="38"/>
      <c r="R14" s="50"/>
    </row>
    <row r="15" spans="1:19" x14ac:dyDescent="0.25">
      <c r="B15" s="19" t="s">
        <v>13</v>
      </c>
      <c r="C15" s="43" t="str">
        <f t="shared" si="0"/>
        <v>NA</v>
      </c>
      <c r="I15" s="38"/>
      <c r="J15" s="38"/>
      <c r="K15" s="38"/>
      <c r="L15" s="38"/>
      <c r="M15" s="38"/>
      <c r="N15" s="38"/>
      <c r="O15" s="38"/>
      <c r="P15" s="38"/>
      <c r="R15" s="50"/>
    </row>
    <row r="16" spans="1:19" x14ac:dyDescent="0.25">
      <c r="B16" s="19" t="s">
        <v>14</v>
      </c>
      <c r="C16" s="43">
        <f t="shared" si="0"/>
        <v>3.4125000000000001</v>
      </c>
      <c r="I16" s="38"/>
      <c r="J16" s="38"/>
      <c r="K16" s="38"/>
      <c r="L16" s="38"/>
      <c r="M16" s="38"/>
      <c r="N16" s="38"/>
      <c r="O16" s="38"/>
      <c r="P16" s="38"/>
      <c r="R16" s="51"/>
    </row>
    <row r="17" spans="1:18" x14ac:dyDescent="0.25">
      <c r="B17" s="19" t="s">
        <v>15</v>
      </c>
      <c r="C17" s="43">
        <f t="shared" si="0"/>
        <v>3</v>
      </c>
      <c r="I17" s="38"/>
      <c r="J17" s="38"/>
      <c r="K17" s="38"/>
      <c r="L17" s="38"/>
      <c r="M17" s="38"/>
      <c r="N17" s="38"/>
      <c r="O17" s="38"/>
      <c r="P17" s="38"/>
    </row>
    <row r="18" spans="1:18" x14ac:dyDescent="0.25">
      <c r="B18" s="19" t="s">
        <v>16</v>
      </c>
      <c r="C18" s="43">
        <f t="shared" si="0"/>
        <v>3</v>
      </c>
      <c r="I18" s="38"/>
      <c r="J18" s="38"/>
      <c r="K18" s="38"/>
      <c r="L18" s="38"/>
      <c r="M18" s="38"/>
      <c r="N18" s="38"/>
      <c r="O18" s="38"/>
      <c r="P18" s="38"/>
      <c r="R18" s="52"/>
    </row>
    <row r="19" spans="1:18" ht="15.75" thickBot="1" x14ac:dyDescent="0.3">
      <c r="B19" s="20" t="s">
        <v>17</v>
      </c>
      <c r="C19" s="44">
        <f t="shared" si="0"/>
        <v>3.5833333333333335</v>
      </c>
      <c r="I19" s="38"/>
      <c r="J19" s="38"/>
      <c r="K19" s="38"/>
      <c r="L19" s="38"/>
      <c r="M19" s="38"/>
      <c r="N19" s="38"/>
      <c r="O19" s="38"/>
      <c r="P19" s="38"/>
    </row>
    <row r="20" spans="1:18" x14ac:dyDescent="0.25">
      <c r="B20" s="3"/>
    </row>
    <row r="21" spans="1:18" ht="15.75" thickBot="1" x14ac:dyDescent="0.3">
      <c r="B21" s="46" t="s">
        <v>963</v>
      </c>
      <c r="R21" s="52"/>
    </row>
    <row r="22" spans="1:18" ht="30" x14ac:dyDescent="0.25">
      <c r="B22" s="25" t="s">
        <v>6</v>
      </c>
      <c r="C22" s="34" t="s">
        <v>156</v>
      </c>
      <c r="F22" s="14"/>
      <c r="G22" s="14"/>
      <c r="H22" s="14"/>
      <c r="I22" s="14"/>
      <c r="J22" s="14"/>
      <c r="K22" s="14"/>
      <c r="L22" s="14"/>
      <c r="M22" s="14"/>
      <c r="N22" s="14"/>
      <c r="O22" s="14"/>
      <c r="P22" s="14"/>
      <c r="Q22" s="14"/>
    </row>
    <row r="23" spans="1:18" x14ac:dyDescent="0.25">
      <c r="B23" s="19" t="s">
        <v>7</v>
      </c>
      <c r="C23" s="43">
        <f t="shared" ref="C23:C34" si="1">IF(OR(B23="Enhanced Conservation",B23="Imported Water Purchases"),"NA",IFERROR(AVERAGEIFS($O$73:$O$192,$C$73:$C$192,"="&amp;B23),"NA"))</f>
        <v>3</v>
      </c>
      <c r="H23" s="7"/>
      <c r="I23" s="7"/>
      <c r="J23" s="7"/>
      <c r="K23" s="7"/>
      <c r="L23" s="7"/>
      <c r="M23" s="7"/>
      <c r="N23" s="7"/>
      <c r="O23" s="7"/>
      <c r="P23" s="7"/>
      <c r="R23" s="52"/>
    </row>
    <row r="24" spans="1:18" x14ac:dyDescent="0.25">
      <c r="B24" s="19" t="s">
        <v>34</v>
      </c>
      <c r="C24" s="43" t="str">
        <f t="shared" si="1"/>
        <v>NA</v>
      </c>
      <c r="H24" s="7"/>
      <c r="I24" s="7"/>
      <c r="J24" s="7"/>
      <c r="K24" s="7"/>
      <c r="L24" s="7"/>
      <c r="M24" s="7"/>
      <c r="N24" s="7"/>
      <c r="O24" s="7"/>
      <c r="P24" s="7"/>
      <c r="R24" s="52"/>
    </row>
    <row r="25" spans="1:18" x14ac:dyDescent="0.25">
      <c r="B25" s="19" t="s">
        <v>8</v>
      </c>
      <c r="C25" s="43" t="str">
        <f t="shared" si="1"/>
        <v>NA</v>
      </c>
      <c r="H25" s="7"/>
      <c r="I25" s="7"/>
      <c r="J25" s="7"/>
      <c r="K25" s="7"/>
      <c r="L25" s="7"/>
      <c r="M25" s="7"/>
      <c r="N25" s="7"/>
      <c r="O25" s="7"/>
      <c r="P25" s="7"/>
    </row>
    <row r="26" spans="1:18" x14ac:dyDescent="0.25">
      <c r="B26" s="19" t="s">
        <v>9</v>
      </c>
      <c r="C26" s="43">
        <f t="shared" si="1"/>
        <v>3</v>
      </c>
      <c r="H26" s="7"/>
      <c r="I26" s="7"/>
      <c r="J26" s="7"/>
      <c r="K26" s="7"/>
      <c r="L26" s="7"/>
      <c r="M26" s="7"/>
      <c r="N26" s="7"/>
      <c r="O26" s="7"/>
      <c r="P26" s="7"/>
    </row>
    <row r="27" spans="1:18" s="14" customFormat="1" x14ac:dyDescent="0.25">
      <c r="A27"/>
      <c r="B27" s="19" t="s">
        <v>10</v>
      </c>
      <c r="C27" s="43" t="str">
        <f t="shared" si="1"/>
        <v>NA</v>
      </c>
      <c r="F27"/>
      <c r="G27"/>
      <c r="H27" s="7"/>
      <c r="I27" s="7"/>
      <c r="J27" s="7"/>
      <c r="K27" s="7"/>
      <c r="L27" s="7"/>
      <c r="M27" s="7"/>
      <c r="N27" s="7"/>
      <c r="O27" s="7"/>
      <c r="P27" s="7"/>
      <c r="Q27"/>
      <c r="R27" s="49"/>
    </row>
    <row r="28" spans="1:18" x14ac:dyDescent="0.25">
      <c r="B28" s="19" t="s">
        <v>11</v>
      </c>
      <c r="C28" s="43">
        <f t="shared" si="1"/>
        <v>3</v>
      </c>
      <c r="H28" s="7"/>
      <c r="I28" s="7"/>
      <c r="J28" s="7"/>
      <c r="K28" s="7"/>
      <c r="L28" s="7"/>
      <c r="M28" s="7"/>
      <c r="N28" s="7"/>
      <c r="O28" s="7"/>
      <c r="P28" s="7"/>
    </row>
    <row r="29" spans="1:18" x14ac:dyDescent="0.25">
      <c r="B29" s="19" t="s">
        <v>12</v>
      </c>
      <c r="C29" s="43">
        <f t="shared" si="1"/>
        <v>3</v>
      </c>
      <c r="H29" s="7"/>
      <c r="I29" s="7"/>
      <c r="J29" s="7"/>
      <c r="K29" s="7"/>
      <c r="L29" s="7"/>
      <c r="M29" s="7"/>
      <c r="N29" s="7"/>
      <c r="O29" s="7"/>
      <c r="P29" s="7"/>
    </row>
    <row r="30" spans="1:18" x14ac:dyDescent="0.25">
      <c r="B30" s="19" t="s">
        <v>13</v>
      </c>
      <c r="C30" s="43">
        <f t="shared" si="1"/>
        <v>3</v>
      </c>
      <c r="H30" s="7"/>
      <c r="I30" s="7"/>
      <c r="J30" s="7"/>
      <c r="K30" s="7"/>
      <c r="L30" s="7"/>
      <c r="M30" s="7"/>
      <c r="N30" s="7"/>
      <c r="O30" s="7"/>
      <c r="P30" s="7"/>
    </row>
    <row r="31" spans="1:18" x14ac:dyDescent="0.25">
      <c r="B31" s="19" t="s">
        <v>14</v>
      </c>
      <c r="C31" s="43">
        <f t="shared" si="1"/>
        <v>3.1428571428571428</v>
      </c>
      <c r="H31" s="7"/>
      <c r="I31" s="7"/>
      <c r="J31" s="7"/>
      <c r="K31" s="7"/>
      <c r="L31" s="7"/>
      <c r="M31" s="7"/>
      <c r="N31" s="7"/>
      <c r="O31" s="7"/>
      <c r="P31" s="7"/>
    </row>
    <row r="32" spans="1:18" x14ac:dyDescent="0.25">
      <c r="B32" s="19" t="s">
        <v>15</v>
      </c>
      <c r="C32" s="43">
        <f t="shared" si="1"/>
        <v>3</v>
      </c>
      <c r="H32" s="7"/>
      <c r="I32" s="7"/>
      <c r="J32" s="7"/>
      <c r="K32" s="7"/>
      <c r="L32" s="7"/>
      <c r="M32" s="7"/>
      <c r="N32" s="7"/>
      <c r="O32" s="7"/>
      <c r="P32" s="7"/>
    </row>
    <row r="33" spans="1:18" x14ac:dyDescent="0.25">
      <c r="B33" s="19" t="s">
        <v>16</v>
      </c>
      <c r="C33" s="43">
        <f t="shared" si="1"/>
        <v>4</v>
      </c>
      <c r="H33" s="7"/>
      <c r="I33" s="7"/>
      <c r="J33" s="7"/>
      <c r="K33" s="7"/>
      <c r="L33" s="7"/>
      <c r="M33" s="7"/>
      <c r="N33" s="7"/>
      <c r="O33" s="7"/>
      <c r="P33" s="7"/>
    </row>
    <row r="34" spans="1:18" ht="15.75" thickBot="1" x14ac:dyDescent="0.3">
      <c r="B34" s="20" t="s">
        <v>17</v>
      </c>
      <c r="C34" s="44">
        <f t="shared" si="1"/>
        <v>4</v>
      </c>
      <c r="H34" s="7"/>
      <c r="I34" s="7"/>
      <c r="J34" s="7"/>
      <c r="K34" s="7"/>
      <c r="L34" s="7"/>
      <c r="M34" s="7"/>
      <c r="N34" s="7"/>
      <c r="O34" s="7"/>
      <c r="P34" s="7"/>
    </row>
    <row r="36" spans="1:18" ht="15.75" thickBot="1" x14ac:dyDescent="0.3">
      <c r="B36" s="46" t="s">
        <v>964</v>
      </c>
    </row>
    <row r="37" spans="1:18" ht="45" x14ac:dyDescent="0.25">
      <c r="B37" s="27" t="s">
        <v>6</v>
      </c>
      <c r="C37" s="33" t="s">
        <v>155</v>
      </c>
      <c r="D37" s="33" t="s">
        <v>156</v>
      </c>
      <c r="E37" s="34" t="s">
        <v>157</v>
      </c>
      <c r="F37" s="14"/>
      <c r="G37" s="14"/>
      <c r="H37" s="14"/>
      <c r="I37" s="14"/>
      <c r="J37" s="14"/>
      <c r="K37" s="14"/>
      <c r="L37" s="14"/>
      <c r="M37" s="14"/>
      <c r="N37" s="14"/>
      <c r="O37" s="14"/>
      <c r="P37" s="14"/>
      <c r="Q37" s="14"/>
    </row>
    <row r="38" spans="1:18" x14ac:dyDescent="0.25">
      <c r="B38" s="19" t="s">
        <v>7</v>
      </c>
      <c r="C38" s="38">
        <f t="shared" ref="C38:C49" si="2">C8</f>
        <v>3</v>
      </c>
      <c r="D38" s="38">
        <f t="shared" ref="D38:D49" si="3">C23</f>
        <v>3</v>
      </c>
      <c r="E38" s="43">
        <f t="shared" ref="E38:E49" si="4">IF(OR(C38="NA",D38="NA"), "NA",AVERAGE(C8,C23))</f>
        <v>3</v>
      </c>
    </row>
    <row r="39" spans="1:18" x14ac:dyDescent="0.25">
      <c r="B39" s="19" t="s">
        <v>34</v>
      </c>
      <c r="C39" s="38" t="str">
        <f t="shared" si="2"/>
        <v>NA</v>
      </c>
      <c r="D39" s="38" t="str">
        <f t="shared" si="3"/>
        <v>NA</v>
      </c>
      <c r="E39" s="43" t="str">
        <f t="shared" si="4"/>
        <v>NA</v>
      </c>
    </row>
    <row r="40" spans="1:18" x14ac:dyDescent="0.25">
      <c r="B40" s="19" t="s">
        <v>8</v>
      </c>
      <c r="C40" s="38" t="str">
        <f t="shared" si="2"/>
        <v>NA</v>
      </c>
      <c r="D40" s="38" t="str">
        <f t="shared" si="3"/>
        <v>NA</v>
      </c>
      <c r="E40" s="43" t="str">
        <f t="shared" si="4"/>
        <v>NA</v>
      </c>
    </row>
    <row r="41" spans="1:18" ht="15" customHeight="1" x14ac:dyDescent="0.25">
      <c r="B41" s="19" t="s">
        <v>9</v>
      </c>
      <c r="C41" s="38">
        <f t="shared" si="2"/>
        <v>3.1666666666666665</v>
      </c>
      <c r="D41" s="38">
        <f t="shared" si="3"/>
        <v>3</v>
      </c>
      <c r="E41" s="43">
        <f t="shared" si="4"/>
        <v>3.083333333333333</v>
      </c>
    </row>
    <row r="42" spans="1:18" s="14" customFormat="1" x14ac:dyDescent="0.25">
      <c r="A42"/>
      <c r="B42" s="19" t="s">
        <v>10</v>
      </c>
      <c r="C42" s="38" t="str">
        <f t="shared" si="2"/>
        <v>NA</v>
      </c>
      <c r="D42" s="38" t="str">
        <f t="shared" si="3"/>
        <v>NA</v>
      </c>
      <c r="E42" s="43" t="str">
        <f t="shared" si="4"/>
        <v>NA</v>
      </c>
      <c r="F42"/>
      <c r="G42"/>
      <c r="H42"/>
      <c r="I42"/>
      <c r="J42"/>
      <c r="K42"/>
      <c r="L42"/>
      <c r="M42"/>
      <c r="N42"/>
      <c r="O42"/>
      <c r="P42"/>
      <c r="Q42"/>
      <c r="R42" s="49"/>
    </row>
    <row r="43" spans="1:18" x14ac:dyDescent="0.25">
      <c r="B43" s="19" t="s">
        <v>11</v>
      </c>
      <c r="C43" s="38">
        <f t="shared" si="2"/>
        <v>3.25</v>
      </c>
      <c r="D43" s="38">
        <f t="shared" si="3"/>
        <v>3</v>
      </c>
      <c r="E43" s="43">
        <f t="shared" si="4"/>
        <v>3.125</v>
      </c>
    </row>
    <row r="44" spans="1:18" x14ac:dyDescent="0.25">
      <c r="B44" s="19" t="s">
        <v>12</v>
      </c>
      <c r="C44" s="38">
        <f t="shared" si="2"/>
        <v>3.09375</v>
      </c>
      <c r="D44" s="38">
        <f t="shared" si="3"/>
        <v>3</v>
      </c>
      <c r="E44" s="43">
        <f t="shared" si="4"/>
        <v>3.046875</v>
      </c>
    </row>
    <row r="45" spans="1:18" x14ac:dyDescent="0.25">
      <c r="B45" s="19" t="s">
        <v>13</v>
      </c>
      <c r="C45" s="38" t="str">
        <f t="shared" si="2"/>
        <v>NA</v>
      </c>
      <c r="D45" s="38">
        <f t="shared" si="3"/>
        <v>3</v>
      </c>
      <c r="E45" s="43" t="str">
        <f t="shared" si="4"/>
        <v>NA</v>
      </c>
    </row>
    <row r="46" spans="1:18" x14ac:dyDescent="0.25">
      <c r="B46" s="19" t="s">
        <v>14</v>
      </c>
      <c r="C46" s="38">
        <f t="shared" si="2"/>
        <v>3.4125000000000001</v>
      </c>
      <c r="D46" s="38">
        <f t="shared" si="3"/>
        <v>3.1428571428571428</v>
      </c>
      <c r="E46" s="43">
        <f t="shared" si="4"/>
        <v>3.2776785714285714</v>
      </c>
    </row>
    <row r="47" spans="1:18" x14ac:dyDescent="0.25">
      <c r="B47" s="19" t="s">
        <v>15</v>
      </c>
      <c r="C47" s="38">
        <f t="shared" si="2"/>
        <v>3</v>
      </c>
      <c r="D47" s="38">
        <f t="shared" si="3"/>
        <v>3</v>
      </c>
      <c r="E47" s="43">
        <f t="shared" si="4"/>
        <v>3</v>
      </c>
    </row>
    <row r="48" spans="1:18" x14ac:dyDescent="0.25">
      <c r="B48" s="19" t="s">
        <v>16</v>
      </c>
      <c r="C48" s="38">
        <f t="shared" si="2"/>
        <v>3</v>
      </c>
      <c r="D48" s="38">
        <f t="shared" si="3"/>
        <v>4</v>
      </c>
      <c r="E48" s="43">
        <f t="shared" si="4"/>
        <v>3.5</v>
      </c>
    </row>
    <row r="49" spans="2:5" ht="15.75" thickBot="1" x14ac:dyDescent="0.3">
      <c r="B49" s="20" t="s">
        <v>17</v>
      </c>
      <c r="C49" s="41">
        <f t="shared" si="2"/>
        <v>3.5833333333333335</v>
      </c>
      <c r="D49" s="41">
        <f t="shared" si="3"/>
        <v>4</v>
      </c>
      <c r="E49" s="44">
        <f t="shared" si="4"/>
        <v>3.791666666666667</v>
      </c>
    </row>
    <row r="51" spans="2:5" ht="15.75" hidden="1" thickBot="1" x14ac:dyDescent="0.3">
      <c r="B51" s="1" t="s">
        <v>846</v>
      </c>
    </row>
    <row r="52" spans="2:5" ht="45" hidden="1" x14ac:dyDescent="0.25">
      <c r="B52" s="25" t="s">
        <v>851</v>
      </c>
      <c r="C52" s="413" t="str">
        <f>C37</f>
        <v>Environmental 
Justice Performance Measure Scores</v>
      </c>
      <c r="D52" s="413" t="str">
        <f>D37</f>
        <v>DACs Performance Measure Scores</v>
      </c>
      <c r="E52" s="297" t="str">
        <f>E37</f>
        <v>Environmental Justice
Evaluation Objective Unweighted Scores</v>
      </c>
    </row>
    <row r="53" spans="2:5" hidden="1" x14ac:dyDescent="0.25">
      <c r="B53" s="463" t="s">
        <v>848</v>
      </c>
      <c r="C53" s="241">
        <f>MAX(C38:C49)</f>
        <v>3.5833333333333335</v>
      </c>
      <c r="D53" s="241">
        <f>MAX(D38:D49)</f>
        <v>4</v>
      </c>
      <c r="E53" s="464">
        <f>MAX(E38:E49)</f>
        <v>3.791666666666667</v>
      </c>
    </row>
    <row r="54" spans="2:5" ht="45" hidden="1" x14ac:dyDescent="0.25">
      <c r="B54" s="463" t="s">
        <v>849</v>
      </c>
      <c r="C54" s="461" t="str">
        <f>INDEX($B38:$B49,MATCH(C53,C38:C49,0))</f>
        <v>Watershed and Ecosystem Management</v>
      </c>
      <c r="D54" s="461" t="str">
        <f>INDEX($B38:$B49,MATCH(D53,D38:D49,0))</f>
        <v>Urban and Agricultural Water Use Efficiency</v>
      </c>
      <c r="E54" s="462" t="str">
        <f>INDEX($B38:$B49,MATCH(E53,E38:E49,0))</f>
        <v>Watershed and Ecosystem Management</v>
      </c>
    </row>
    <row r="55" spans="2:5" hidden="1" x14ac:dyDescent="0.25">
      <c r="B55" s="504" t="s">
        <v>861</v>
      </c>
      <c r="C55" s="497">
        <f>LARGE(C38:C49,2)</f>
        <v>3.4125000000000001</v>
      </c>
      <c r="D55" s="497">
        <f>LARGE(D38:D49,2)</f>
        <v>4</v>
      </c>
      <c r="E55" s="498">
        <f>LARGE(E38:E49,2)</f>
        <v>3.5</v>
      </c>
    </row>
    <row r="56" spans="2:5" ht="45" hidden="1" x14ac:dyDescent="0.25">
      <c r="B56" s="505" t="s">
        <v>862</v>
      </c>
      <c r="C56" s="499" t="str">
        <f>INDEX($B38:$B49,MATCH(C55,C38:C49,0))</f>
        <v>Stormwater BMPs</v>
      </c>
      <c r="D56" s="499" t="str">
        <f>INDEX($B38:$B49,MATCH(D55,D38:D49,0))</f>
        <v>Urban and Agricultural Water Use Efficiency</v>
      </c>
      <c r="E56" s="500" t="str">
        <f>INDEX($B38:$B49,MATCH(E55,E38:E49,0))</f>
        <v>Urban and Agricultural Water Use Efficiency</v>
      </c>
    </row>
    <row r="57" spans="2:5" hidden="1" x14ac:dyDescent="0.25">
      <c r="B57" s="463" t="s">
        <v>847</v>
      </c>
      <c r="C57" s="241">
        <f>MIN(C38:C49)</f>
        <v>3</v>
      </c>
      <c r="D57" s="241">
        <f>MIN(D38:D49)</f>
        <v>3</v>
      </c>
      <c r="E57" s="464">
        <f>MIN(E38:E49)</f>
        <v>3</v>
      </c>
    </row>
    <row r="58" spans="2:5" ht="30" hidden="1" x14ac:dyDescent="0.25">
      <c r="B58" s="505" t="s">
        <v>850</v>
      </c>
      <c r="C58" s="499" t="str">
        <f>INDEX($B38:$B49,MATCH(C57,C38:C49,0))</f>
        <v>Conveyance Improvement</v>
      </c>
      <c r="D58" s="499" t="str">
        <f>INDEX($B38:$B49,MATCH(D57,D38:D49,0))</f>
        <v>Conveyance Improvement</v>
      </c>
      <c r="E58" s="500" t="str">
        <f>INDEX($B38:$B49,MATCH(E57,E38:E49,0))</f>
        <v>Conveyance Improvement</v>
      </c>
    </row>
    <row r="59" spans="2:5" hidden="1" x14ac:dyDescent="0.25">
      <c r="B59" s="504" t="s">
        <v>864</v>
      </c>
      <c r="C59" s="497">
        <f>SMALL(C38:C49,2)</f>
        <v>3</v>
      </c>
      <c r="D59" s="497">
        <f>SMALL(D38:D49,2)</f>
        <v>3</v>
      </c>
      <c r="E59" s="498">
        <f>SMALL(E38:E49,2)</f>
        <v>3</v>
      </c>
    </row>
    <row r="60" spans="2:5" ht="30" hidden="1" x14ac:dyDescent="0.25">
      <c r="B60" s="505" t="s">
        <v>863</v>
      </c>
      <c r="C60" s="499" t="str">
        <f>INDEX($B38:$B49,MATCH(C59,C38:C49,0))</f>
        <v>Conveyance Improvement</v>
      </c>
      <c r="D60" s="499" t="str">
        <f>INDEX($B38:$B49,MATCH(D59,D38:D49,0))</f>
        <v>Conveyance Improvement</v>
      </c>
      <c r="E60" s="500" t="str">
        <f>INDEX($B38:$B49,MATCH(E59,E38:E49,0))</f>
        <v>Conveyance Improvement</v>
      </c>
    </row>
    <row r="61" spans="2:5" hidden="1" x14ac:dyDescent="0.25">
      <c r="B61" s="506" t="s">
        <v>844</v>
      </c>
      <c r="C61" s="502">
        <f>C53-C57</f>
        <v>0.58333333333333348</v>
      </c>
      <c r="D61" s="502">
        <f>D53-D57</f>
        <v>1</v>
      </c>
      <c r="E61" s="503">
        <f>E53-E57</f>
        <v>0.79166666666666696</v>
      </c>
    </row>
    <row r="62" spans="2:5" ht="15.75" hidden="1" thickBot="1" x14ac:dyDescent="0.3">
      <c r="B62" s="507" t="s">
        <v>865</v>
      </c>
      <c r="C62" s="41">
        <f>AVERAGE(C38:C49)</f>
        <v>3.1882812499999997</v>
      </c>
      <c r="D62" s="41">
        <f>AVERAGE(D38:D49)</f>
        <v>3.2380952380952381</v>
      </c>
      <c r="E62" s="44">
        <f>AVERAGE(E38:E49)</f>
        <v>3.2280691964285713</v>
      </c>
    </row>
    <row r="63" spans="2:5" hidden="1" x14ac:dyDescent="0.25"/>
    <row r="64" spans="2:5" ht="15.75" hidden="1" thickBot="1" x14ac:dyDescent="0.3">
      <c r="B64" s="1" t="s">
        <v>752</v>
      </c>
    </row>
    <row r="65" spans="2:15" ht="15.75" hidden="1" thickBot="1" x14ac:dyDescent="0.3">
      <c r="B65" s="628"/>
      <c r="C65" s="629"/>
      <c r="D65" s="807" t="s">
        <v>960</v>
      </c>
      <c r="E65" s="808"/>
      <c r="F65" s="808"/>
      <c r="G65" s="808"/>
      <c r="H65" s="808"/>
      <c r="I65" s="808"/>
      <c r="J65" s="808"/>
      <c r="K65" s="808"/>
      <c r="L65" s="809"/>
      <c r="M65" s="807" t="s">
        <v>959</v>
      </c>
      <c r="N65" s="808"/>
      <c r="O65" s="809"/>
    </row>
    <row r="66" spans="2:15" ht="66.75" hidden="1" customHeight="1" x14ac:dyDescent="0.25">
      <c r="B66" s="630"/>
      <c r="C66" s="631"/>
      <c r="D66" s="608" t="s">
        <v>952</v>
      </c>
      <c r="E66" s="632"/>
      <c r="F66" s="609" t="s">
        <v>953</v>
      </c>
      <c r="G66" s="633"/>
      <c r="H66" s="634"/>
      <c r="I66" s="339" t="s">
        <v>954</v>
      </c>
      <c r="J66" s="609" t="s">
        <v>951</v>
      </c>
      <c r="K66" s="635"/>
      <c r="L66" s="636"/>
      <c r="M66" s="339" t="s">
        <v>956</v>
      </c>
      <c r="N66" s="609" t="s">
        <v>955</v>
      </c>
      <c r="O66" s="634"/>
    </row>
    <row r="67" spans="2:15" ht="20.25" hidden="1" customHeight="1" x14ac:dyDescent="0.25">
      <c r="B67" s="637"/>
      <c r="C67" s="638"/>
      <c r="D67" s="639">
        <f>_xlfn.PERCENTILE.INC($D$73:$D$192,0.2)</f>
        <v>11</v>
      </c>
      <c r="E67" s="640" t="s">
        <v>799</v>
      </c>
      <c r="F67" s="641">
        <f>_xlfn.PERCENTILE.INC($F$73:$F$192,0.2)</f>
        <v>25</v>
      </c>
      <c r="G67" s="642"/>
      <c r="H67" s="643"/>
      <c r="I67" s="810" t="s">
        <v>804</v>
      </c>
      <c r="J67" s="813" t="s">
        <v>773</v>
      </c>
      <c r="K67" s="644"/>
      <c r="L67" s="645"/>
      <c r="M67" s="810" t="s">
        <v>957</v>
      </c>
      <c r="N67" s="813" t="s">
        <v>958</v>
      </c>
      <c r="O67" s="638"/>
    </row>
    <row r="68" spans="2:15" ht="20.25" hidden="1" customHeight="1" x14ac:dyDescent="0.25">
      <c r="B68" s="637"/>
      <c r="C68" s="638"/>
      <c r="D68" s="639">
        <f>_xlfn.PERCENTILE.INC($D$73:$D$192,0.4)</f>
        <v>18</v>
      </c>
      <c r="E68" s="640" t="s">
        <v>800</v>
      </c>
      <c r="F68" s="641">
        <f>_xlfn.PERCENTILE.INC($F$73:$F$192,0.4)</f>
        <v>32</v>
      </c>
      <c r="G68" s="642"/>
      <c r="H68" s="643"/>
      <c r="I68" s="811"/>
      <c r="J68" s="814"/>
      <c r="K68" s="646"/>
      <c r="L68" s="645"/>
      <c r="M68" s="811"/>
      <c r="N68" s="814"/>
      <c r="O68" s="643"/>
    </row>
    <row r="69" spans="2:15" ht="20.25" hidden="1" customHeight="1" x14ac:dyDescent="0.25">
      <c r="B69" s="637"/>
      <c r="C69" s="638"/>
      <c r="D69" s="639">
        <f>_xlfn.PERCENTILE.INC($D$73:$D$192,0.6)</f>
        <v>30</v>
      </c>
      <c r="E69" s="640" t="s">
        <v>801</v>
      </c>
      <c r="F69" s="641">
        <f>_xlfn.PERCENTILE.INC($F$73:$F$192,0.6)</f>
        <v>49</v>
      </c>
      <c r="G69" s="642"/>
      <c r="H69" s="643"/>
      <c r="I69" s="811"/>
      <c r="J69" s="814"/>
      <c r="K69" s="646"/>
      <c r="L69" s="645"/>
      <c r="M69" s="811"/>
      <c r="N69" s="814"/>
      <c r="O69" s="643"/>
    </row>
    <row r="70" spans="2:15" ht="20.25" hidden="1" customHeight="1" x14ac:dyDescent="0.25">
      <c r="B70" s="637"/>
      <c r="C70" s="638"/>
      <c r="D70" s="639">
        <f>_xlfn.PERCENTILE.INC($D$73:$D$192,0.8)</f>
        <v>58</v>
      </c>
      <c r="E70" s="640" t="s">
        <v>802</v>
      </c>
      <c r="F70" s="641">
        <f>_xlfn.PERCENTILE.INC($F$73:$F$192,0.8)</f>
        <v>78</v>
      </c>
      <c r="G70" s="642"/>
      <c r="H70" s="643"/>
      <c r="I70" s="811"/>
      <c r="J70" s="814"/>
      <c r="K70" s="646"/>
      <c r="L70" s="645"/>
      <c r="M70" s="811"/>
      <c r="N70" s="814"/>
      <c r="O70" s="643"/>
    </row>
    <row r="71" spans="2:15" ht="20.25" hidden="1" customHeight="1" x14ac:dyDescent="0.25">
      <c r="B71" s="637"/>
      <c r="C71" s="638"/>
      <c r="D71" s="639">
        <f>_xlfn.PERCENTILE.INC($D$73:$D$192,1)</f>
        <v>81</v>
      </c>
      <c r="E71" s="640" t="s">
        <v>803</v>
      </c>
      <c r="F71" s="641">
        <f>_xlfn.PERCENTILE.INC($F$73:$F$192,1)</f>
        <v>95</v>
      </c>
      <c r="G71" s="647"/>
      <c r="H71" s="648"/>
      <c r="I71" s="812"/>
      <c r="J71" s="815"/>
      <c r="K71" s="649"/>
      <c r="L71" s="650"/>
      <c r="M71" s="812"/>
      <c r="N71" s="815"/>
      <c r="O71" s="648"/>
    </row>
    <row r="72" spans="2:15" ht="75.75" hidden="1" thickBot="1" x14ac:dyDescent="0.3">
      <c r="B72" s="651" t="s">
        <v>273</v>
      </c>
      <c r="C72" s="652" t="s">
        <v>6</v>
      </c>
      <c r="D72" s="653" t="s">
        <v>812</v>
      </c>
      <c r="E72" s="654" t="s">
        <v>797</v>
      </c>
      <c r="F72" s="654" t="s">
        <v>796</v>
      </c>
      <c r="G72" s="654" t="s">
        <v>798</v>
      </c>
      <c r="H72" s="655" t="s">
        <v>813</v>
      </c>
      <c r="I72" s="656" t="s">
        <v>809</v>
      </c>
      <c r="J72" s="657" t="s">
        <v>805</v>
      </c>
      <c r="K72" s="657" t="s">
        <v>814</v>
      </c>
      <c r="L72" s="658" t="s">
        <v>810</v>
      </c>
      <c r="M72" s="656" t="s">
        <v>807</v>
      </c>
      <c r="N72" s="657" t="s">
        <v>772</v>
      </c>
      <c r="O72" s="359" t="s">
        <v>806</v>
      </c>
    </row>
    <row r="73" spans="2:15" ht="25.5" hidden="1" x14ac:dyDescent="0.25">
      <c r="B73" s="227" t="str">
        <f>'Project-Level Data'!B22</f>
        <v>Dulzura Conduit Refurbishment</v>
      </c>
      <c r="C73" s="606" t="str">
        <f>'Project-Level Data'!C22</f>
        <v>Conveyance Improvement</v>
      </c>
      <c r="D73" s="603">
        <f>'Project-Level Data'!G22</f>
        <v>18</v>
      </c>
      <c r="E73" s="223">
        <f t="shared" ref="E73:E104" si="5">IF(D73&lt;=D$67,5,IF(D73&lt;=D$68,4, IF(D73&lt;=D$69,3, IF(D73&lt;=D$70,2, IF(D73&lt;=D$71,1, "NA")))))</f>
        <v>4</v>
      </c>
      <c r="F73" s="411">
        <f>'Project-Level Data'!F22</f>
        <v>41</v>
      </c>
      <c r="G73" s="223">
        <f t="shared" ref="G73:G104" si="6">IF(F73&lt;=F$67,1,IF(F73&lt;=F$68,2, IF(F73&lt;=F$69,3, IF(F73&lt;=F$70,2, IF(F73&lt;=F$71,1, "NA")))))</f>
        <v>3</v>
      </c>
      <c r="H73" s="599">
        <f t="shared" ref="H73:H104" si="7">IF(E73="NA","NA",IF(AND(E73=1,G73=1),1,IF(AND(E73=1,G73=2),1.5,IF(AND(E73=1,G73=3),2,IF(AND(E73=2,G73=1),1.5,IF(AND(E73=2,G73=2),2,IF(AND(E73=2,G73=3),2.5,IF(AND(E73=3,G73=1),2,IF(AND(E73=3,G73=2),2.5,IF(AND(E73=3,G73=3),3,IF(AND(E73=4,G73=1),2.5,IF(AND(E73=4,G73=2),3,IF(AND(E73=4,G73=3),3,IF(E73=5,3))))))))))))))</f>
        <v>3</v>
      </c>
      <c r="I73" s="378">
        <f>'Project-Level Data'!AT22</f>
        <v>1</v>
      </c>
      <c r="J73" s="379">
        <f>'Project-Level Data'!AU22</f>
        <v>3</v>
      </c>
      <c r="K73" s="420">
        <f t="shared" ref="K73:K104" si="8">IF(AND(I73=1,J73=5),1,IF(AND(I73=1,J73=4),1,IF(AND(I73=1,J73=3),2,IF(AND(I73=1,J73=2),2,IF(AND(I73=1,J73=1),2,IF(AND(I73=5,J73=1),4,IF(AND(I73=5,J73=2),4,IF(AND(I73=5,J73=3),4,IF(AND(I73=5,J73=4),5,IF(AND(I73=5,J73=5),5,IF(I73=3,3,"NA")))))))))))</f>
        <v>2</v>
      </c>
      <c r="L73" s="224">
        <f t="shared" ref="L73:L104" si="9">IF(OR(K73="NA", H73="NA"), "NA",IF(AND(K73=1,H73=1),1,IF(AND(K73=1,H73=1.5),1.5,IF(AND(K73=1,H73=2),2,IF(AND(K73=1,H73=2.5),2.5,IF(AND(K73=1,H73=3),3,IF(AND(K73=2,H73=1),2,IF(AND(K73=2,H73=1.5),2.25,IF(AND(K73=2,H73=2),2.5,IF(AND(K73=2,H73=2.5),2.75,IF(AND(K73=2,H73=3),3,IF(AND(K73=3),3,IF(AND(K73=4,H73=1),4,IF(AND(K73=4,H73=1.5),3.75,IF(AND(K73=4,H73=2),3.5,IF(AND(K73=4,H73=2.5),3.25,IF(AND(K73=4,H73=3),3,IF(AND(K73=5,H73=1),5,IF(AND(K73=5,H73=1.5),4.5,IF(AND(K73=5,H73=2),4,IF(AND(K73=5,H73=2.5),3.5,IF(AND(K73=5,H73=3),3))))))))))))))))))))))</f>
        <v>3</v>
      </c>
      <c r="M73" s="597">
        <f>'Project-Level Data'!AW22</f>
        <v>3</v>
      </c>
      <c r="N73" s="393">
        <f>'Project-Level Data'!M22</f>
        <v>3</v>
      </c>
      <c r="O73" s="224">
        <f t="shared" ref="O73:O104" si="10">IF(AND(M73=1,N73=1), 1, IF(AND(M73=1,N73=2),2, IF(M73=3,3,IF(AND(M73=5,N73=2),4, IF(AND(M73=5,N73=1),5, "NA")))))</f>
        <v>3</v>
      </c>
    </row>
    <row r="74" spans="2:15" ht="25.5" hidden="1" x14ac:dyDescent="0.25">
      <c r="B74" s="227" t="str">
        <f>'Project-Level Data'!B53</f>
        <v>Mission Trails Projects Alternative 1</v>
      </c>
      <c r="C74" s="606" t="str">
        <f>'Project-Level Data'!C53</f>
        <v>Conveyance Improvement</v>
      </c>
      <c r="D74" s="603">
        <f>'Project-Level Data'!G53</f>
        <v>8</v>
      </c>
      <c r="E74" s="223">
        <f t="shared" si="5"/>
        <v>5</v>
      </c>
      <c r="F74" s="411">
        <f>'Project-Level Data'!F53</f>
        <v>40</v>
      </c>
      <c r="G74" s="223">
        <f t="shared" si="6"/>
        <v>3</v>
      </c>
      <c r="H74" s="599">
        <f t="shared" si="7"/>
        <v>3</v>
      </c>
      <c r="I74" s="378">
        <f>'Project-Level Data'!AT53</f>
        <v>3</v>
      </c>
      <c r="J74" s="379">
        <f>'Project-Level Data'!AU53</f>
        <v>1</v>
      </c>
      <c r="K74" s="420">
        <f t="shared" si="8"/>
        <v>3</v>
      </c>
      <c r="L74" s="224">
        <f t="shared" si="9"/>
        <v>3</v>
      </c>
      <c r="M74" s="597">
        <f>'Project-Level Data'!AW53</f>
        <v>3</v>
      </c>
      <c r="N74" s="393">
        <f>'Project-Level Data'!M53</f>
        <v>3</v>
      </c>
      <c r="O74" s="224">
        <f t="shared" si="10"/>
        <v>3</v>
      </c>
    </row>
    <row r="75" spans="2:15" ht="25.5" hidden="1" x14ac:dyDescent="0.25">
      <c r="B75" s="227" t="str">
        <f>'Project-Level Data'!B72</f>
        <v>Pipeline 3/Pipeline 4 Conversion</v>
      </c>
      <c r="C75" s="606" t="str">
        <f>'Project-Level Data'!C72</f>
        <v>Conveyance Improvement</v>
      </c>
      <c r="D75" s="603" t="str">
        <f>'Project-Level Data'!G72</f>
        <v>NOT MAPPED</v>
      </c>
      <c r="E75" s="223" t="str">
        <f t="shared" si="5"/>
        <v>NA</v>
      </c>
      <c r="F75" s="411" t="str">
        <f>'Project-Level Data'!F72</f>
        <v>NOT MAPPED</v>
      </c>
      <c r="G75" s="223" t="str">
        <f t="shared" si="6"/>
        <v>NA</v>
      </c>
      <c r="H75" s="599" t="str">
        <f t="shared" si="7"/>
        <v>NA</v>
      </c>
      <c r="I75" s="378">
        <f>'Project-Level Data'!AT72</f>
        <v>3</v>
      </c>
      <c r="J75" s="379">
        <f>'Project-Level Data'!AU72</f>
        <v>3</v>
      </c>
      <c r="K75" s="420">
        <f t="shared" si="8"/>
        <v>3</v>
      </c>
      <c r="L75" s="224" t="str">
        <f t="shared" si="9"/>
        <v>NA</v>
      </c>
      <c r="M75" s="597">
        <f>'Project-Level Data'!AW72</f>
        <v>3</v>
      </c>
      <c r="N75" s="393" t="str">
        <f>'Project-Level Data'!M72</f>
        <v>NOT MAPPED</v>
      </c>
      <c r="O75" s="224">
        <f t="shared" si="10"/>
        <v>3</v>
      </c>
    </row>
    <row r="76" spans="2:15" ht="25.5" hidden="1" x14ac:dyDescent="0.25">
      <c r="B76" s="227" t="str">
        <f>'Project-Level Data'!B89</f>
        <v>San Diego County Reservoir Intertie</v>
      </c>
      <c r="C76" s="606" t="str">
        <f>'Project-Level Data'!C89</f>
        <v>Conveyance Improvement</v>
      </c>
      <c r="D76" s="603">
        <f>'Project-Level Data'!G89</f>
        <v>61</v>
      </c>
      <c r="E76" s="223">
        <f t="shared" si="5"/>
        <v>1</v>
      </c>
      <c r="F76" s="411">
        <f>'Project-Level Data'!F89</f>
        <v>33</v>
      </c>
      <c r="G76" s="223">
        <f t="shared" si="6"/>
        <v>3</v>
      </c>
      <c r="H76" s="599">
        <f t="shared" si="7"/>
        <v>2</v>
      </c>
      <c r="I76" s="378">
        <f>'Project-Level Data'!AT89</f>
        <v>3</v>
      </c>
      <c r="J76" s="379">
        <f>'Project-Level Data'!AU89</f>
        <v>1</v>
      </c>
      <c r="K76" s="420">
        <f t="shared" si="8"/>
        <v>3</v>
      </c>
      <c r="L76" s="224">
        <f t="shared" si="9"/>
        <v>3</v>
      </c>
      <c r="M76" s="597">
        <f>'Project-Level Data'!AW89</f>
        <v>3</v>
      </c>
      <c r="N76" s="393">
        <f>'Project-Level Data'!M89</f>
        <v>3</v>
      </c>
      <c r="O76" s="224">
        <f t="shared" si="10"/>
        <v>3</v>
      </c>
    </row>
    <row r="77" spans="2:15" ht="25.5" hidden="1" x14ac:dyDescent="0.25">
      <c r="B77" s="227" t="str">
        <f>'Project-Level Data'!B100</f>
        <v>San Vicente 3rd Pump Drive and Power</v>
      </c>
      <c r="C77" s="606" t="str">
        <f>'Project-Level Data'!C100</f>
        <v>Conveyance Improvement</v>
      </c>
      <c r="D77" s="603">
        <f>'Project-Level Data'!G100</f>
        <v>23</v>
      </c>
      <c r="E77" s="223">
        <f t="shared" si="5"/>
        <v>3</v>
      </c>
      <c r="F77" s="411">
        <f>'Project-Level Data'!F100</f>
        <v>56</v>
      </c>
      <c r="G77" s="223">
        <f t="shared" si="6"/>
        <v>2</v>
      </c>
      <c r="H77" s="599">
        <f t="shared" si="7"/>
        <v>2.5</v>
      </c>
      <c r="I77" s="378">
        <f>'Project-Level Data'!AT100</f>
        <v>3</v>
      </c>
      <c r="J77" s="379">
        <f>'Project-Level Data'!AU100</f>
        <v>3</v>
      </c>
      <c r="K77" s="420">
        <f t="shared" si="8"/>
        <v>3</v>
      </c>
      <c r="L77" s="224">
        <f t="shared" si="9"/>
        <v>3</v>
      </c>
      <c r="M77" s="597">
        <f>'Project-Level Data'!AW100</f>
        <v>3</v>
      </c>
      <c r="N77" s="393">
        <f>'Project-Level Data'!M100</f>
        <v>3</v>
      </c>
      <c r="O77" s="224">
        <f t="shared" si="10"/>
        <v>3</v>
      </c>
    </row>
    <row r="78" spans="2:15" ht="25.5" hidden="1" x14ac:dyDescent="0.25">
      <c r="B78" s="227" t="str">
        <f>'Project-Level Data'!B103</f>
        <v>Second Crossover Pipeline</v>
      </c>
      <c r="C78" s="606" t="str">
        <f>'Project-Level Data'!C103</f>
        <v>Conveyance Improvement</v>
      </c>
      <c r="D78" s="603">
        <f>'Project-Level Data'!G103</f>
        <v>47</v>
      </c>
      <c r="E78" s="223">
        <f t="shared" si="5"/>
        <v>2</v>
      </c>
      <c r="F78" s="411">
        <f>'Project-Level Data'!F103</f>
        <v>31</v>
      </c>
      <c r="G78" s="223">
        <f t="shared" si="6"/>
        <v>2</v>
      </c>
      <c r="H78" s="599">
        <f t="shared" si="7"/>
        <v>2</v>
      </c>
      <c r="I78" s="378">
        <f>'Project-Level Data'!AT103</f>
        <v>3</v>
      </c>
      <c r="J78" s="379">
        <f>'Project-Level Data'!AU103</f>
        <v>3</v>
      </c>
      <c r="K78" s="420">
        <f t="shared" si="8"/>
        <v>3</v>
      </c>
      <c r="L78" s="224">
        <f t="shared" si="9"/>
        <v>3</v>
      </c>
      <c r="M78" s="597">
        <f>'Project-Level Data'!AW103</f>
        <v>3</v>
      </c>
      <c r="N78" s="393">
        <f>'Project-Level Data'!M103</f>
        <v>2</v>
      </c>
      <c r="O78" s="224">
        <f t="shared" si="10"/>
        <v>3</v>
      </c>
    </row>
    <row r="79" spans="2:15" hidden="1" x14ac:dyDescent="0.25">
      <c r="B79" s="227" t="str">
        <f>'Project-Level Data'!B27</f>
        <v xml:space="preserve">Enhanced Conservation </v>
      </c>
      <c r="C79" s="606" t="str">
        <f>'Project-Level Data'!C27</f>
        <v>Enhanced Conservation</v>
      </c>
      <c r="D79" s="603" t="str">
        <f>'Project-Level Data'!G27</f>
        <v>NOT MAPPED</v>
      </c>
      <c r="E79" s="223" t="str">
        <f t="shared" si="5"/>
        <v>NA</v>
      </c>
      <c r="F79" s="411" t="str">
        <f>'Project-Level Data'!F27</f>
        <v>NOT MAPPED</v>
      </c>
      <c r="G79" s="223" t="str">
        <f t="shared" si="6"/>
        <v>NA</v>
      </c>
      <c r="H79" s="599" t="str">
        <f t="shared" si="7"/>
        <v>NA</v>
      </c>
      <c r="I79" s="378" t="str">
        <f>'Project-Level Data'!AT27</f>
        <v>REMOVED</v>
      </c>
      <c r="J79" s="379" t="str">
        <f>'Project-Level Data'!AU27</f>
        <v>REMOVED</v>
      </c>
      <c r="K79" s="420" t="str">
        <f t="shared" si="8"/>
        <v>NA</v>
      </c>
      <c r="L79" s="224" t="str">
        <f t="shared" si="9"/>
        <v>NA</v>
      </c>
      <c r="M79" s="597" t="str">
        <f>'Project-Level Data'!AW27</f>
        <v>REMOVED</v>
      </c>
      <c r="N79" s="393" t="str">
        <f>'Project-Level Data'!M27</f>
        <v>NOT MAPPED</v>
      </c>
      <c r="O79" s="224" t="str">
        <f t="shared" si="10"/>
        <v>NA</v>
      </c>
    </row>
    <row r="80" spans="2:15" ht="25.5" hidden="1" x14ac:dyDescent="0.25">
      <c r="B80" s="227" t="str">
        <f>'Project-Level Data'!B21</f>
        <v>Conservation Home Makeover in the Chollas Creek Watershed</v>
      </c>
      <c r="C80" s="606" t="str">
        <f>'Project-Level Data'!C21</f>
        <v>Gray Water Use</v>
      </c>
      <c r="D80" s="603">
        <f>'Project-Level Data'!G21</f>
        <v>81</v>
      </c>
      <c r="E80" s="223">
        <f t="shared" si="5"/>
        <v>1</v>
      </c>
      <c r="F80" s="411">
        <f>'Project-Level Data'!F21</f>
        <v>61</v>
      </c>
      <c r="G80" s="223">
        <f t="shared" si="6"/>
        <v>2</v>
      </c>
      <c r="H80" s="599">
        <f t="shared" si="7"/>
        <v>1.5</v>
      </c>
      <c r="I80" s="378" t="str">
        <f>'Project-Level Data'!AT21</f>
        <v>No Response</v>
      </c>
      <c r="J80" s="379" t="str">
        <f>'Project-Level Data'!AU21</f>
        <v>No Response</v>
      </c>
      <c r="K80" s="420" t="str">
        <f t="shared" si="8"/>
        <v>NA</v>
      </c>
      <c r="L80" s="224" t="str">
        <f t="shared" si="9"/>
        <v>NA</v>
      </c>
      <c r="M80" s="597" t="str">
        <f>'Project-Level Data'!AW21</f>
        <v>No Response</v>
      </c>
      <c r="N80" s="393">
        <f>'Project-Level Data'!M21</f>
        <v>2</v>
      </c>
      <c r="O80" s="224" t="str">
        <f t="shared" si="10"/>
        <v>NA</v>
      </c>
    </row>
    <row r="81" spans="2:15" hidden="1" x14ac:dyDescent="0.25">
      <c r="B81" s="227" t="str">
        <f>'Project-Level Data'!B33</f>
        <v>Graywater pilot project</v>
      </c>
      <c r="C81" s="606" t="str">
        <f>'Project-Level Data'!C33</f>
        <v>Gray Water Use</v>
      </c>
      <c r="D81" s="603" t="str">
        <f>'Project-Level Data'!G33</f>
        <v>NOT MAPPED</v>
      </c>
      <c r="E81" s="223" t="str">
        <f t="shared" si="5"/>
        <v>NA</v>
      </c>
      <c r="F81" s="411" t="str">
        <f>'Project-Level Data'!F33</f>
        <v>NOT MAPPED</v>
      </c>
      <c r="G81" s="223" t="str">
        <f t="shared" si="6"/>
        <v>NA</v>
      </c>
      <c r="H81" s="599" t="str">
        <f t="shared" si="7"/>
        <v>NA</v>
      </c>
      <c r="I81" s="378">
        <f>'Project-Level Data'!AT33</f>
        <v>3</v>
      </c>
      <c r="J81" s="379">
        <f>'Project-Level Data'!AU33</f>
        <v>3</v>
      </c>
      <c r="K81" s="420">
        <f t="shared" si="8"/>
        <v>3</v>
      </c>
      <c r="L81" s="224" t="str">
        <f t="shared" si="9"/>
        <v>NA</v>
      </c>
      <c r="M81" s="597">
        <f>'Project-Level Data'!AW33</f>
        <v>5</v>
      </c>
      <c r="N81" s="393" t="str">
        <f>'Project-Level Data'!M33</f>
        <v>NOT MAPPED</v>
      </c>
      <c r="O81" s="224" t="str">
        <f t="shared" si="10"/>
        <v>NA</v>
      </c>
    </row>
    <row r="82" spans="2:15" hidden="1" x14ac:dyDescent="0.25">
      <c r="B82" s="227" t="str">
        <f>'Project-Level Data'!B34</f>
        <v>Groundwater Extraction Santee/El Monte</v>
      </c>
      <c r="C82" s="606" t="str">
        <f>'Project-Level Data'!C34</f>
        <v>Groundwater</v>
      </c>
      <c r="D82" s="603">
        <f>'Project-Level Data'!G34</f>
        <v>34</v>
      </c>
      <c r="E82" s="223">
        <f t="shared" si="5"/>
        <v>2</v>
      </c>
      <c r="F82" s="411">
        <f>'Project-Level Data'!F34</f>
        <v>51</v>
      </c>
      <c r="G82" s="223">
        <f t="shared" si="6"/>
        <v>2</v>
      </c>
      <c r="H82" s="599">
        <f t="shared" si="7"/>
        <v>2</v>
      </c>
      <c r="I82" s="378">
        <f>'Project-Level Data'!AT34</f>
        <v>3</v>
      </c>
      <c r="J82" s="379">
        <f>'Project-Level Data'!AU34</f>
        <v>3</v>
      </c>
      <c r="K82" s="420">
        <f t="shared" si="8"/>
        <v>3</v>
      </c>
      <c r="L82" s="224">
        <f t="shared" si="9"/>
        <v>3</v>
      </c>
      <c r="M82" s="597">
        <f>'Project-Level Data'!AW34</f>
        <v>3</v>
      </c>
      <c r="N82" s="393">
        <f>'Project-Level Data'!M34</f>
        <v>3</v>
      </c>
      <c r="O82" s="224">
        <f t="shared" si="10"/>
        <v>3</v>
      </c>
    </row>
    <row r="83" spans="2:15" ht="25.5" hidden="1" x14ac:dyDescent="0.25">
      <c r="B83" s="227" t="str">
        <f>'Project-Level Data'!B52</f>
        <v>Middle Sweetwater River Basin Groundwater Well System</v>
      </c>
      <c r="C83" s="606" t="str">
        <f>'Project-Level Data'!C52</f>
        <v>Groundwater</v>
      </c>
      <c r="D83" s="603">
        <f>'Project-Level Data'!G52</f>
        <v>26</v>
      </c>
      <c r="E83" s="223">
        <f t="shared" si="5"/>
        <v>3</v>
      </c>
      <c r="F83" s="411">
        <f>'Project-Level Data'!F52</f>
        <v>21</v>
      </c>
      <c r="G83" s="223">
        <f t="shared" si="6"/>
        <v>1</v>
      </c>
      <c r="H83" s="599">
        <f t="shared" si="7"/>
        <v>2</v>
      </c>
      <c r="I83" s="378">
        <f>'Project-Level Data'!AT52</f>
        <v>3</v>
      </c>
      <c r="J83" s="379">
        <f>'Project-Level Data'!AU52</f>
        <v>2</v>
      </c>
      <c r="K83" s="420">
        <f t="shared" si="8"/>
        <v>3</v>
      </c>
      <c r="L83" s="224">
        <f t="shared" si="9"/>
        <v>3</v>
      </c>
      <c r="M83" s="597">
        <f>'Project-Level Data'!AW52</f>
        <v>3</v>
      </c>
      <c r="N83" s="393">
        <f>'Project-Level Data'!M52</f>
        <v>3</v>
      </c>
      <c r="O83" s="224">
        <f t="shared" si="10"/>
        <v>3</v>
      </c>
    </row>
    <row r="84" spans="2:15" hidden="1" x14ac:dyDescent="0.25">
      <c r="B84" s="227" t="str">
        <f>'Project-Level Data'!B54</f>
        <v>Mission Valley Brackish Groundwater Recovery Project</v>
      </c>
      <c r="C84" s="606" t="str">
        <f>'Project-Level Data'!C54</f>
        <v>Groundwater</v>
      </c>
      <c r="D84" s="603">
        <f>'Project-Level Data'!G54</f>
        <v>46</v>
      </c>
      <c r="E84" s="223">
        <f t="shared" si="5"/>
        <v>2</v>
      </c>
      <c r="F84" s="411">
        <f>'Project-Level Data'!F54</f>
        <v>71</v>
      </c>
      <c r="G84" s="223">
        <f t="shared" si="6"/>
        <v>2</v>
      </c>
      <c r="H84" s="599">
        <f t="shared" si="7"/>
        <v>2</v>
      </c>
      <c r="I84" s="378">
        <f>'Project-Level Data'!AT54</f>
        <v>5</v>
      </c>
      <c r="J84" s="379">
        <f>'Project-Level Data'!AU54</f>
        <v>5</v>
      </c>
      <c r="K84" s="420">
        <f t="shared" si="8"/>
        <v>5</v>
      </c>
      <c r="L84" s="224">
        <f t="shared" si="9"/>
        <v>4</v>
      </c>
      <c r="M84" s="597">
        <f>'Project-Level Data'!AW54</f>
        <v>3</v>
      </c>
      <c r="N84" s="393">
        <f>'Project-Level Data'!M54</f>
        <v>3</v>
      </c>
      <c r="O84" s="224">
        <f t="shared" si="10"/>
        <v>3</v>
      </c>
    </row>
    <row r="85" spans="2:15" hidden="1" x14ac:dyDescent="0.25">
      <c r="B85" s="227" t="str">
        <f>'Project-Level Data'!B67</f>
        <v>Otay Mesa Lot 7 Groundwater Well System (capacity)</v>
      </c>
      <c r="C85" s="606" t="str">
        <f>'Project-Level Data'!C67</f>
        <v>Groundwater</v>
      </c>
      <c r="D85" s="603">
        <f>'Project-Level Data'!G67</f>
        <v>36</v>
      </c>
      <c r="E85" s="223">
        <f t="shared" si="5"/>
        <v>2</v>
      </c>
      <c r="F85" s="411">
        <f>'Project-Level Data'!F67</f>
        <v>86</v>
      </c>
      <c r="G85" s="223">
        <f t="shared" si="6"/>
        <v>1</v>
      </c>
      <c r="H85" s="599">
        <f t="shared" si="7"/>
        <v>1.5</v>
      </c>
      <c r="I85" s="378">
        <f>'Project-Level Data'!AT67</f>
        <v>3</v>
      </c>
      <c r="J85" s="379">
        <f>'Project-Level Data'!AU67</f>
        <v>3</v>
      </c>
      <c r="K85" s="420">
        <f t="shared" si="8"/>
        <v>3</v>
      </c>
      <c r="L85" s="224">
        <f t="shared" si="9"/>
        <v>3</v>
      </c>
      <c r="M85" s="597">
        <f>'Project-Level Data'!AW67</f>
        <v>3</v>
      </c>
      <c r="N85" s="393">
        <f>'Project-Level Data'!M67</f>
        <v>3</v>
      </c>
      <c r="O85" s="224">
        <f t="shared" si="10"/>
        <v>3</v>
      </c>
    </row>
    <row r="86" spans="2:15" ht="25.5" hidden="1" x14ac:dyDescent="0.25">
      <c r="B86" s="227" t="str">
        <f>'Project-Level Data'!B68</f>
        <v>Otay River Valley GW Aquifer Studies &amp; Field Investigations</v>
      </c>
      <c r="C86" s="606" t="str">
        <f>'Project-Level Data'!C68</f>
        <v>Groundwater</v>
      </c>
      <c r="D86" s="603">
        <f>'Project-Level Data'!G68</f>
        <v>25</v>
      </c>
      <c r="E86" s="223">
        <f t="shared" si="5"/>
        <v>3</v>
      </c>
      <c r="F86" s="411">
        <f>'Project-Level Data'!F68</f>
        <v>30</v>
      </c>
      <c r="G86" s="223">
        <f t="shared" si="6"/>
        <v>2</v>
      </c>
      <c r="H86" s="599">
        <f t="shared" si="7"/>
        <v>2.5</v>
      </c>
      <c r="I86" s="378">
        <f>'Project-Level Data'!AT68</f>
        <v>3</v>
      </c>
      <c r="J86" s="379">
        <f>'Project-Level Data'!AU68</f>
        <v>1</v>
      </c>
      <c r="K86" s="420">
        <f t="shared" si="8"/>
        <v>3</v>
      </c>
      <c r="L86" s="224">
        <f t="shared" si="9"/>
        <v>3</v>
      </c>
      <c r="M86" s="597">
        <f>'Project-Level Data'!AW68</f>
        <v>3</v>
      </c>
      <c r="N86" s="393">
        <f>'Project-Level Data'!M68</f>
        <v>3</v>
      </c>
      <c r="O86" s="224">
        <f t="shared" si="10"/>
        <v>3</v>
      </c>
    </row>
    <row r="87" spans="2:15" ht="25.5" hidden="1" x14ac:dyDescent="0.25">
      <c r="B87" s="227" t="str">
        <f>'Project-Level Data'!B79</f>
        <v>Rancho del Rey Groundwater Well Development (capacity)</v>
      </c>
      <c r="C87" s="606" t="str">
        <f>'Project-Level Data'!C79</f>
        <v>Groundwater</v>
      </c>
      <c r="D87" s="603">
        <f>'Project-Level Data'!G79</f>
        <v>34</v>
      </c>
      <c r="E87" s="223">
        <f t="shared" si="5"/>
        <v>2</v>
      </c>
      <c r="F87" s="411">
        <f>'Project-Level Data'!F79</f>
        <v>12</v>
      </c>
      <c r="G87" s="223">
        <f t="shared" si="6"/>
        <v>1</v>
      </c>
      <c r="H87" s="599">
        <f t="shared" si="7"/>
        <v>1.5</v>
      </c>
      <c r="I87" s="378">
        <f>'Project-Level Data'!AT79</f>
        <v>3</v>
      </c>
      <c r="J87" s="379">
        <f>'Project-Level Data'!AU79</f>
        <v>2</v>
      </c>
      <c r="K87" s="420">
        <f t="shared" si="8"/>
        <v>3</v>
      </c>
      <c r="L87" s="224">
        <f t="shared" si="9"/>
        <v>3</v>
      </c>
      <c r="M87" s="597">
        <f>'Project-Level Data'!AW79</f>
        <v>3</v>
      </c>
      <c r="N87" s="393">
        <f>'Project-Level Data'!M79</f>
        <v>3</v>
      </c>
      <c r="O87" s="224">
        <f t="shared" si="10"/>
        <v>3</v>
      </c>
    </row>
    <row r="88" spans="2:15" ht="25.5" hidden="1" x14ac:dyDescent="0.25">
      <c r="B88" s="227" t="str">
        <f>'Project-Level Data'!B90</f>
        <v>San Diego Formation - Southeaster San Diego, including Mt Hope</v>
      </c>
      <c r="C88" s="606" t="str">
        <f>'Project-Level Data'!C90</f>
        <v>Groundwater</v>
      </c>
      <c r="D88" s="603">
        <f>'Project-Level Data'!G90</f>
        <v>81</v>
      </c>
      <c r="E88" s="223">
        <f t="shared" si="5"/>
        <v>1</v>
      </c>
      <c r="F88" s="411">
        <f>'Project-Level Data'!F90</f>
        <v>50</v>
      </c>
      <c r="G88" s="223">
        <f t="shared" si="6"/>
        <v>2</v>
      </c>
      <c r="H88" s="599">
        <f t="shared" si="7"/>
        <v>1.5</v>
      </c>
      <c r="I88" s="378">
        <f>'Project-Level Data'!AT90</f>
        <v>3</v>
      </c>
      <c r="J88" s="379">
        <f>'Project-Level Data'!AU90</f>
        <v>3</v>
      </c>
      <c r="K88" s="420">
        <f t="shared" si="8"/>
        <v>3</v>
      </c>
      <c r="L88" s="224">
        <f t="shared" si="9"/>
        <v>3</v>
      </c>
      <c r="M88" s="597">
        <f>'Project-Level Data'!AW90</f>
        <v>3</v>
      </c>
      <c r="N88" s="393">
        <f>'Project-Level Data'!M90</f>
        <v>3</v>
      </c>
      <c r="O88" s="224">
        <f t="shared" si="10"/>
        <v>3</v>
      </c>
    </row>
    <row r="89" spans="2:15" ht="25.5" hidden="1" x14ac:dyDescent="0.25">
      <c r="B89" s="227" t="str">
        <f>'Project-Level Data'!B94</f>
        <v>San Dieguito River Basin Brackish GW Recovery and Treatment</v>
      </c>
      <c r="C89" s="606" t="str">
        <f>'Project-Level Data'!C94</f>
        <v>Groundwater</v>
      </c>
      <c r="D89" s="603">
        <f>'Project-Level Data'!G94</f>
        <v>3</v>
      </c>
      <c r="E89" s="223">
        <f t="shared" si="5"/>
        <v>5</v>
      </c>
      <c r="F89" s="411">
        <f>'Project-Level Data'!F94</f>
        <v>32</v>
      </c>
      <c r="G89" s="223">
        <f t="shared" si="6"/>
        <v>2</v>
      </c>
      <c r="H89" s="599">
        <f t="shared" si="7"/>
        <v>3</v>
      </c>
      <c r="I89" s="378">
        <f>'Project-Level Data'!AT94</f>
        <v>3</v>
      </c>
      <c r="J89" s="379" t="str">
        <f>'Project-Level Data'!AU94</f>
        <v>MISSING</v>
      </c>
      <c r="K89" s="420">
        <f t="shared" si="8"/>
        <v>3</v>
      </c>
      <c r="L89" s="224">
        <f t="shared" si="9"/>
        <v>3</v>
      </c>
      <c r="M89" s="597">
        <f>'Project-Level Data'!AW94</f>
        <v>3</v>
      </c>
      <c r="N89" s="393">
        <f>'Project-Level Data'!M94</f>
        <v>3</v>
      </c>
      <c r="O89" s="224">
        <f t="shared" si="10"/>
        <v>3</v>
      </c>
    </row>
    <row r="90" spans="2:15" hidden="1" x14ac:dyDescent="0.25">
      <c r="B90" s="227" t="str">
        <f>'Project-Level Data'!B95</f>
        <v>San Luis Rey Groundwater Study</v>
      </c>
      <c r="C90" s="606" t="str">
        <f>'Project-Level Data'!C95</f>
        <v>Groundwater</v>
      </c>
      <c r="D90" s="603">
        <f>'Project-Level Data'!G95</f>
        <v>41</v>
      </c>
      <c r="E90" s="223">
        <f t="shared" si="5"/>
        <v>2</v>
      </c>
      <c r="F90" s="411">
        <f>'Project-Level Data'!F95</f>
        <v>9</v>
      </c>
      <c r="G90" s="223">
        <f t="shared" si="6"/>
        <v>1</v>
      </c>
      <c r="H90" s="599">
        <f t="shared" si="7"/>
        <v>1.5</v>
      </c>
      <c r="I90" s="378" t="str">
        <f>'Project-Level Data'!AT95</f>
        <v>No Response</v>
      </c>
      <c r="J90" s="379" t="str">
        <f>'Project-Level Data'!AU95</f>
        <v>No Response</v>
      </c>
      <c r="K90" s="420" t="str">
        <f t="shared" si="8"/>
        <v>NA</v>
      </c>
      <c r="L90" s="224" t="str">
        <f t="shared" si="9"/>
        <v>NA</v>
      </c>
      <c r="M90" s="597" t="str">
        <f>'Project-Level Data'!AW95</f>
        <v>No Response</v>
      </c>
      <c r="N90" s="393">
        <f>'Project-Level Data'!M95</f>
        <v>3</v>
      </c>
      <c r="O90" s="224" t="str">
        <f t="shared" si="10"/>
        <v>NA</v>
      </c>
    </row>
    <row r="91" spans="2:15" hidden="1" x14ac:dyDescent="0.25">
      <c r="B91" s="227" t="str">
        <f>'Project-Level Data'!B99</f>
        <v>San Pasqual Brackish Groundwater Recovery Project</v>
      </c>
      <c r="C91" s="606" t="str">
        <f>'Project-Level Data'!C99</f>
        <v>Groundwater</v>
      </c>
      <c r="D91" s="603">
        <f>'Project-Level Data'!G99</f>
        <v>21</v>
      </c>
      <c r="E91" s="223">
        <f t="shared" si="5"/>
        <v>3</v>
      </c>
      <c r="F91" s="411">
        <f>'Project-Level Data'!F99</f>
        <v>57</v>
      </c>
      <c r="G91" s="223">
        <f t="shared" si="6"/>
        <v>2</v>
      </c>
      <c r="H91" s="599">
        <f t="shared" si="7"/>
        <v>2.5</v>
      </c>
      <c r="I91" s="378">
        <f>'Project-Level Data'!AT99</f>
        <v>5</v>
      </c>
      <c r="J91" s="379">
        <f>'Project-Level Data'!AU99</f>
        <v>4</v>
      </c>
      <c r="K91" s="420">
        <f t="shared" si="8"/>
        <v>5</v>
      </c>
      <c r="L91" s="224">
        <f t="shared" si="9"/>
        <v>3.5</v>
      </c>
      <c r="M91" s="597">
        <f>'Project-Level Data'!AW99</f>
        <v>3</v>
      </c>
      <c r="N91" s="393">
        <f>'Project-Level Data'!M99</f>
        <v>3</v>
      </c>
      <c r="O91" s="224">
        <f t="shared" si="10"/>
        <v>3</v>
      </c>
    </row>
    <row r="92" spans="2:15" ht="38.25" hidden="1" x14ac:dyDescent="0.25">
      <c r="B92" s="227" t="str">
        <f>'Project-Level Data'!B101</f>
        <v>Santa Margarita Conjunctive-Use Project - Local surface water recharge and expansion of Camp Pendleton groundwater recovery program</v>
      </c>
      <c r="C92" s="606" t="str">
        <f>'Project-Level Data'!C101</f>
        <v>Groundwater</v>
      </c>
      <c r="D92" s="603">
        <f>'Project-Level Data'!G101</f>
        <v>24</v>
      </c>
      <c r="E92" s="223">
        <f t="shared" si="5"/>
        <v>3</v>
      </c>
      <c r="F92" s="411">
        <f>'Project-Level Data'!F101</f>
        <v>93</v>
      </c>
      <c r="G92" s="223">
        <f t="shared" si="6"/>
        <v>1</v>
      </c>
      <c r="H92" s="599">
        <f t="shared" si="7"/>
        <v>2</v>
      </c>
      <c r="I92" s="378" t="str">
        <f>'Project-Level Data'!AT101</f>
        <v>No Response</v>
      </c>
      <c r="J92" s="379" t="str">
        <f>'Project-Level Data'!AU101</f>
        <v>No Response</v>
      </c>
      <c r="K92" s="420" t="str">
        <f t="shared" si="8"/>
        <v>NA</v>
      </c>
      <c r="L92" s="224" t="str">
        <f t="shared" si="9"/>
        <v>NA</v>
      </c>
      <c r="M92" s="597" t="str">
        <f>'Project-Level Data'!AW101</f>
        <v>No Response</v>
      </c>
      <c r="N92" s="393">
        <f>'Project-Level Data'!M101</f>
        <v>3</v>
      </c>
      <c r="O92" s="224" t="str">
        <f t="shared" si="10"/>
        <v>NA</v>
      </c>
    </row>
    <row r="93" spans="2:15" ht="25.5" hidden="1" x14ac:dyDescent="0.25">
      <c r="B93" s="227" t="str">
        <f>'Project-Level Data'!B14</f>
        <v>Cadiz additional imported supplies</v>
      </c>
      <c r="C93" s="606" t="str">
        <f>'Project-Level Data'!C14</f>
        <v>Imported Water Purchases</v>
      </c>
      <c r="D93" s="603" t="str">
        <f>'Project-Level Data'!G14</f>
        <v>NOT MAPPED</v>
      </c>
      <c r="E93" s="223" t="str">
        <f t="shared" si="5"/>
        <v>NA</v>
      </c>
      <c r="F93" s="411" t="str">
        <f>'Project-Level Data'!F14</f>
        <v>NOT MAPPED</v>
      </c>
      <c r="G93" s="223" t="str">
        <f t="shared" si="6"/>
        <v>NA</v>
      </c>
      <c r="H93" s="599" t="str">
        <f t="shared" si="7"/>
        <v>NA</v>
      </c>
      <c r="I93" s="378">
        <f>'Project-Level Data'!AT14</f>
        <v>3</v>
      </c>
      <c r="J93" s="379">
        <f>'Project-Level Data'!AU14</f>
        <v>3</v>
      </c>
      <c r="K93" s="420">
        <f t="shared" si="8"/>
        <v>3</v>
      </c>
      <c r="L93" s="224" t="str">
        <f t="shared" si="9"/>
        <v>NA</v>
      </c>
      <c r="M93" s="597">
        <f>'Project-Level Data'!AW14</f>
        <v>3</v>
      </c>
      <c r="N93" s="393" t="str">
        <f>'Project-Level Data'!M14</f>
        <v>NOT MAPPED</v>
      </c>
      <c r="O93" s="224">
        <f t="shared" si="10"/>
        <v>3</v>
      </c>
    </row>
    <row r="94" spans="2:15" ht="25.5" hidden="1" x14ac:dyDescent="0.25">
      <c r="B94" s="227" t="str">
        <f>'Project-Level Data'!B23</f>
        <v>East County Advanced Water Purification Program Phase 1</v>
      </c>
      <c r="C94" s="606" t="str">
        <f>'Project-Level Data'!C23</f>
        <v>Potable Reuse</v>
      </c>
      <c r="D94" s="603">
        <f>'Project-Level Data'!G23</f>
        <v>17</v>
      </c>
      <c r="E94" s="223">
        <f t="shared" si="5"/>
        <v>4</v>
      </c>
      <c r="F94" s="411">
        <f>'Project-Level Data'!F23</f>
        <v>22</v>
      </c>
      <c r="G94" s="223">
        <f t="shared" si="6"/>
        <v>1</v>
      </c>
      <c r="H94" s="599">
        <f t="shared" si="7"/>
        <v>2.5</v>
      </c>
      <c r="I94" s="378">
        <f>'Project-Level Data'!AT23</f>
        <v>3</v>
      </c>
      <c r="J94" s="379">
        <f>'Project-Level Data'!AU23</f>
        <v>3</v>
      </c>
      <c r="K94" s="420">
        <f t="shared" si="8"/>
        <v>3</v>
      </c>
      <c r="L94" s="224">
        <f t="shared" si="9"/>
        <v>3</v>
      </c>
      <c r="M94" s="597">
        <f>'Project-Level Data'!AW23</f>
        <v>5</v>
      </c>
      <c r="N94" s="393">
        <f>'Project-Level Data'!M23</f>
        <v>3</v>
      </c>
      <c r="O94" s="224" t="str">
        <f t="shared" si="10"/>
        <v>NA</v>
      </c>
    </row>
    <row r="95" spans="2:15" ht="25.5" hidden="1" x14ac:dyDescent="0.25">
      <c r="B95" s="227" t="str">
        <f>'Project-Level Data'!B24</f>
        <v>East County Advanced Water Purification Program Phase 2</v>
      </c>
      <c r="C95" s="606" t="str">
        <f>'Project-Level Data'!C24</f>
        <v>Potable Reuse</v>
      </c>
      <c r="D95" s="603">
        <f>'Project-Level Data'!G24</f>
        <v>17</v>
      </c>
      <c r="E95" s="223">
        <f t="shared" si="5"/>
        <v>4</v>
      </c>
      <c r="F95" s="411">
        <f>'Project-Level Data'!F24</f>
        <v>22</v>
      </c>
      <c r="G95" s="223">
        <f t="shared" si="6"/>
        <v>1</v>
      </c>
      <c r="H95" s="599">
        <f t="shared" si="7"/>
        <v>2.5</v>
      </c>
      <c r="I95" s="378">
        <f>'Project-Level Data'!AT24</f>
        <v>3</v>
      </c>
      <c r="J95" s="379">
        <f>'Project-Level Data'!AU24</f>
        <v>3</v>
      </c>
      <c r="K95" s="420">
        <f t="shared" si="8"/>
        <v>3</v>
      </c>
      <c r="L95" s="224">
        <f t="shared" si="9"/>
        <v>3</v>
      </c>
      <c r="M95" s="597">
        <f>'Project-Level Data'!AW24</f>
        <v>5</v>
      </c>
      <c r="N95" s="393">
        <f>'Project-Level Data'!M24</f>
        <v>3</v>
      </c>
      <c r="O95" s="224" t="str">
        <f t="shared" si="10"/>
        <v>NA</v>
      </c>
    </row>
    <row r="96" spans="2:15" ht="25.5" hidden="1" x14ac:dyDescent="0.25">
      <c r="B96" s="227" t="str">
        <f>'Project-Level Data'!B25</f>
        <v>East County Advanced Water Purification Program Phase 3</v>
      </c>
      <c r="C96" s="606" t="str">
        <f>'Project-Level Data'!C25</f>
        <v>Potable Reuse</v>
      </c>
      <c r="D96" s="603">
        <f>'Project-Level Data'!G25</f>
        <v>17</v>
      </c>
      <c r="E96" s="223">
        <f t="shared" si="5"/>
        <v>4</v>
      </c>
      <c r="F96" s="411">
        <f>'Project-Level Data'!F25</f>
        <v>22</v>
      </c>
      <c r="G96" s="223">
        <f t="shared" si="6"/>
        <v>1</v>
      </c>
      <c r="H96" s="599">
        <f t="shared" si="7"/>
        <v>2.5</v>
      </c>
      <c r="I96" s="378">
        <f>'Project-Level Data'!AT25</f>
        <v>3</v>
      </c>
      <c r="J96" s="379">
        <f>'Project-Level Data'!AU25</f>
        <v>3</v>
      </c>
      <c r="K96" s="420">
        <f t="shared" si="8"/>
        <v>3</v>
      </c>
      <c r="L96" s="224">
        <f t="shared" si="9"/>
        <v>3</v>
      </c>
      <c r="M96" s="597">
        <f>'Project-Level Data'!AW25</f>
        <v>5</v>
      </c>
      <c r="N96" s="393">
        <f>'Project-Level Data'!M25</f>
        <v>3</v>
      </c>
      <c r="O96" s="224" t="str">
        <f t="shared" si="10"/>
        <v>NA</v>
      </c>
    </row>
    <row r="97" spans="1:15" hidden="1" x14ac:dyDescent="0.25">
      <c r="B97" s="227" t="str">
        <f>'Project-Level Data'!B26</f>
        <v>Encina Wastewater Water Reuse Project</v>
      </c>
      <c r="C97" s="606" t="str">
        <f>'Project-Level Data'!C26</f>
        <v>Potable Reuse</v>
      </c>
      <c r="D97" s="603">
        <f>'Project-Level Data'!G26</f>
        <v>4</v>
      </c>
      <c r="E97" s="223">
        <f t="shared" si="5"/>
        <v>5</v>
      </c>
      <c r="F97" s="411">
        <f>'Project-Level Data'!F26</f>
        <v>82</v>
      </c>
      <c r="G97" s="223">
        <f t="shared" si="6"/>
        <v>1</v>
      </c>
      <c r="H97" s="599">
        <f t="shared" si="7"/>
        <v>3</v>
      </c>
      <c r="I97" s="378">
        <f>'Project-Level Data'!AT26</f>
        <v>5</v>
      </c>
      <c r="J97" s="379">
        <f>'Project-Level Data'!AU26</f>
        <v>4</v>
      </c>
      <c r="K97" s="420">
        <f t="shared" si="8"/>
        <v>5</v>
      </c>
      <c r="L97" s="224">
        <f t="shared" si="9"/>
        <v>3</v>
      </c>
      <c r="M97" s="597">
        <f>'Project-Level Data'!AW26</f>
        <v>3</v>
      </c>
      <c r="N97" s="393">
        <f>'Project-Level Data'!M26</f>
        <v>3</v>
      </c>
      <c r="O97" s="224">
        <f t="shared" si="10"/>
        <v>3</v>
      </c>
    </row>
    <row r="98" spans="1:15" ht="25.5" hidden="1" x14ac:dyDescent="0.25">
      <c r="B98" s="227" t="str">
        <f>'Project-Level Data'!B59</f>
        <v>New Local Supply Rincon del Diablo - Hale Avenue RRF/ City of Escondido/WRFs</v>
      </c>
      <c r="C98" s="606" t="str">
        <f>'Project-Level Data'!C59</f>
        <v>Potable Reuse</v>
      </c>
      <c r="D98" s="603">
        <f>'Project-Level Data'!G59</f>
        <v>14</v>
      </c>
      <c r="E98" s="223">
        <f t="shared" si="5"/>
        <v>4</v>
      </c>
      <c r="F98" s="411">
        <f>'Project-Level Data'!F59</f>
        <v>92</v>
      </c>
      <c r="G98" s="223">
        <f t="shared" si="6"/>
        <v>1</v>
      </c>
      <c r="H98" s="599">
        <f t="shared" si="7"/>
        <v>2.5</v>
      </c>
      <c r="I98" s="378" t="str">
        <f>'Project-Level Data'!AT59</f>
        <v>No Response</v>
      </c>
      <c r="J98" s="379" t="str">
        <f>'Project-Level Data'!AU59</f>
        <v>No Response</v>
      </c>
      <c r="K98" s="420" t="str">
        <f t="shared" si="8"/>
        <v>NA</v>
      </c>
      <c r="L98" s="224" t="str">
        <f t="shared" si="9"/>
        <v>NA</v>
      </c>
      <c r="M98" s="597" t="str">
        <f>'Project-Level Data'!AW59</f>
        <v>No Response</v>
      </c>
      <c r="N98" s="393">
        <f>'Project-Level Data'!M59</f>
        <v>3</v>
      </c>
      <c r="O98" s="224" t="str">
        <f t="shared" si="10"/>
        <v>NA</v>
      </c>
    </row>
    <row r="99" spans="1:15" ht="25.5" hidden="1" x14ac:dyDescent="0.25">
      <c r="B99" s="227" t="str">
        <f>'Project-Level Data'!B73</f>
        <v xml:space="preserve">Potable Reuse/Hale Avenue Resource Recovery Facility (HARRF) </v>
      </c>
      <c r="C99" s="606" t="str">
        <f>'Project-Level Data'!C73</f>
        <v>Potable Reuse</v>
      </c>
      <c r="D99" s="603">
        <f>'Project-Level Data'!G73</f>
        <v>14</v>
      </c>
      <c r="E99" s="223">
        <f t="shared" si="5"/>
        <v>4</v>
      </c>
      <c r="F99" s="411">
        <f>'Project-Level Data'!F73</f>
        <v>92</v>
      </c>
      <c r="G99" s="223">
        <f t="shared" si="6"/>
        <v>1</v>
      </c>
      <c r="H99" s="599">
        <f t="shared" si="7"/>
        <v>2.5</v>
      </c>
      <c r="I99" s="378" t="str">
        <f>'Project-Level Data'!AT73</f>
        <v>No Response</v>
      </c>
      <c r="J99" s="379" t="str">
        <f>'Project-Level Data'!AU73</f>
        <v>No Response</v>
      </c>
      <c r="K99" s="420" t="str">
        <f t="shared" si="8"/>
        <v>NA</v>
      </c>
      <c r="L99" s="224" t="str">
        <f t="shared" si="9"/>
        <v>NA</v>
      </c>
      <c r="M99" s="597" t="str">
        <f>'Project-Level Data'!AW73</f>
        <v>No Response</v>
      </c>
      <c r="N99" s="393">
        <f>'Project-Level Data'!M73</f>
        <v>3</v>
      </c>
      <c r="O99" s="224" t="str">
        <f t="shared" si="10"/>
        <v>NA</v>
      </c>
    </row>
    <row r="100" spans="1:15" hidden="1" x14ac:dyDescent="0.25">
      <c r="B100" s="227" t="str">
        <f>'Project-Level Data'!B75</f>
        <v xml:space="preserve">Pure Water San Diego Phase 1 - North City </v>
      </c>
      <c r="C100" s="606" t="str">
        <f>'Project-Level Data'!C75</f>
        <v>Potable Reuse</v>
      </c>
      <c r="D100" s="603">
        <f>'Project-Level Data'!G75</f>
        <v>19</v>
      </c>
      <c r="E100" s="223">
        <f t="shared" si="5"/>
        <v>3</v>
      </c>
      <c r="F100" s="411">
        <f>'Project-Level Data'!F75</f>
        <v>79</v>
      </c>
      <c r="G100" s="223">
        <f t="shared" si="6"/>
        <v>1</v>
      </c>
      <c r="H100" s="599">
        <f t="shared" si="7"/>
        <v>2</v>
      </c>
      <c r="I100" s="378">
        <f>'Project-Level Data'!AT75</f>
        <v>3</v>
      </c>
      <c r="J100" s="379">
        <f>'Project-Level Data'!AU75</f>
        <v>3</v>
      </c>
      <c r="K100" s="420">
        <f t="shared" si="8"/>
        <v>3</v>
      </c>
      <c r="L100" s="224">
        <f t="shared" si="9"/>
        <v>3</v>
      </c>
      <c r="M100" s="597">
        <f>'Project-Level Data'!AW75</f>
        <v>3</v>
      </c>
      <c r="N100" s="393">
        <f>'Project-Level Data'!M75</f>
        <v>3</v>
      </c>
      <c r="O100" s="224">
        <f t="shared" si="10"/>
        <v>3</v>
      </c>
    </row>
    <row r="101" spans="1:15" hidden="1" x14ac:dyDescent="0.25">
      <c r="B101" s="227" t="str">
        <f>'Project-Level Data'!B76</f>
        <v>Pure Water San Diego Phase 2 - Central</v>
      </c>
      <c r="C101" s="606" t="str">
        <f>'Project-Level Data'!C76</f>
        <v>Potable Reuse</v>
      </c>
      <c r="D101" s="603">
        <f>'Project-Level Data'!G76</f>
        <v>17</v>
      </c>
      <c r="E101" s="223">
        <f t="shared" si="5"/>
        <v>4</v>
      </c>
      <c r="F101" s="411">
        <f>'Project-Level Data'!F76</f>
        <v>37</v>
      </c>
      <c r="G101" s="223">
        <f t="shared" si="6"/>
        <v>3</v>
      </c>
      <c r="H101" s="599">
        <f t="shared" si="7"/>
        <v>3</v>
      </c>
      <c r="I101" s="378">
        <f>'Project-Level Data'!AT76</f>
        <v>3</v>
      </c>
      <c r="J101" s="379">
        <f>'Project-Level Data'!AU76</f>
        <v>3</v>
      </c>
      <c r="K101" s="420">
        <f t="shared" si="8"/>
        <v>3</v>
      </c>
      <c r="L101" s="224">
        <f t="shared" si="9"/>
        <v>3</v>
      </c>
      <c r="M101" s="597">
        <f>'Project-Level Data'!AW76</f>
        <v>3</v>
      </c>
      <c r="N101" s="393">
        <f>'Project-Level Data'!M76</f>
        <v>3</v>
      </c>
      <c r="O101" s="224">
        <f t="shared" si="10"/>
        <v>3</v>
      </c>
    </row>
    <row r="102" spans="1:15" hidden="1" x14ac:dyDescent="0.25">
      <c r="B102" s="227" t="str">
        <f>'Project-Level Data'!B104</f>
        <v>SFID/SDWD/SEJPA Potable Reuse Project</v>
      </c>
      <c r="C102" s="606" t="str">
        <f>'Project-Level Data'!C104</f>
        <v>Potable Reuse</v>
      </c>
      <c r="D102" s="603">
        <f>'Project-Level Data'!G104</f>
        <v>8</v>
      </c>
      <c r="E102" s="223">
        <f t="shared" si="5"/>
        <v>5</v>
      </c>
      <c r="F102" s="411">
        <f>'Project-Level Data'!F104</f>
        <v>31</v>
      </c>
      <c r="G102" s="223">
        <f t="shared" si="6"/>
        <v>2</v>
      </c>
      <c r="H102" s="599">
        <f t="shared" si="7"/>
        <v>3</v>
      </c>
      <c r="I102" s="378">
        <f>'Project-Level Data'!AT104</f>
        <v>3</v>
      </c>
      <c r="J102" s="379" t="str">
        <f>'Project-Level Data'!AU104</f>
        <v>MISSING</v>
      </c>
      <c r="K102" s="420">
        <f t="shared" si="8"/>
        <v>3</v>
      </c>
      <c r="L102" s="224">
        <f t="shared" si="9"/>
        <v>3</v>
      </c>
      <c r="M102" s="597">
        <f>'Project-Level Data'!AW104</f>
        <v>3</v>
      </c>
      <c r="N102" s="393">
        <f>'Project-Level Data'!M104</f>
        <v>3</v>
      </c>
      <c r="O102" s="224">
        <f t="shared" si="10"/>
        <v>3</v>
      </c>
    </row>
    <row r="103" spans="1:15" hidden="1" x14ac:dyDescent="0.25">
      <c r="B103" s="227" t="str">
        <f>'Project-Level Data'!B108</f>
        <v>South WWTP - Indirect Potable Recharge</v>
      </c>
      <c r="C103" s="606" t="str">
        <f>'Project-Level Data'!C108</f>
        <v>Potable Reuse</v>
      </c>
      <c r="D103" s="603">
        <f>'Project-Level Data'!G108</f>
        <v>24</v>
      </c>
      <c r="E103" s="223">
        <f t="shared" si="5"/>
        <v>3</v>
      </c>
      <c r="F103" s="411">
        <f>'Project-Level Data'!F108</f>
        <v>93</v>
      </c>
      <c r="G103" s="223">
        <f t="shared" si="6"/>
        <v>1</v>
      </c>
      <c r="H103" s="599">
        <f t="shared" si="7"/>
        <v>2</v>
      </c>
      <c r="I103" s="378">
        <f>'Project-Level Data'!AT108</f>
        <v>5</v>
      </c>
      <c r="J103" s="379">
        <f>'Project-Level Data'!AU108</f>
        <v>5</v>
      </c>
      <c r="K103" s="420">
        <f t="shared" si="8"/>
        <v>5</v>
      </c>
      <c r="L103" s="224">
        <f t="shared" si="9"/>
        <v>4</v>
      </c>
      <c r="M103" s="597">
        <f>'Project-Level Data'!AW108</f>
        <v>3</v>
      </c>
      <c r="N103" s="393">
        <f>'Project-Level Data'!M108</f>
        <v>3</v>
      </c>
      <c r="O103" s="224">
        <f t="shared" si="10"/>
        <v>3</v>
      </c>
    </row>
    <row r="104" spans="1:15" hidden="1" x14ac:dyDescent="0.25">
      <c r="B104" s="227" t="str">
        <f>'Project-Level Data'!B109</f>
        <v>South WWTP - Injection to Las Flores Basin</v>
      </c>
      <c r="C104" s="606" t="str">
        <f>'Project-Level Data'!C109</f>
        <v>Potable Reuse</v>
      </c>
      <c r="D104" s="603">
        <f>'Project-Level Data'!G109</f>
        <v>24</v>
      </c>
      <c r="E104" s="223">
        <f t="shared" si="5"/>
        <v>3</v>
      </c>
      <c r="F104" s="411">
        <f>'Project-Level Data'!F109</f>
        <v>93</v>
      </c>
      <c r="G104" s="223">
        <f t="shared" si="6"/>
        <v>1</v>
      </c>
      <c r="H104" s="599">
        <f t="shared" si="7"/>
        <v>2</v>
      </c>
      <c r="I104" s="378">
        <f>'Project-Level Data'!AT109</f>
        <v>5</v>
      </c>
      <c r="J104" s="379">
        <f>'Project-Level Data'!AU109</f>
        <v>1</v>
      </c>
      <c r="K104" s="420">
        <f t="shared" si="8"/>
        <v>4</v>
      </c>
      <c r="L104" s="224">
        <f t="shared" si="9"/>
        <v>3.5</v>
      </c>
      <c r="M104" s="597">
        <f>'Project-Level Data'!AW109</f>
        <v>3</v>
      </c>
      <c r="N104" s="393">
        <f>'Project-Level Data'!M109</f>
        <v>3</v>
      </c>
      <c r="O104" s="224">
        <f t="shared" si="10"/>
        <v>3</v>
      </c>
    </row>
    <row r="105" spans="1:15" hidden="1" x14ac:dyDescent="0.25">
      <c r="B105" s="227" t="str">
        <f>'Project-Level Data'!B110</f>
        <v>South WWTP - Injection to Santa Margarita Basin</v>
      </c>
      <c r="C105" s="606" t="str">
        <f>'Project-Level Data'!C110</f>
        <v>Potable Reuse</v>
      </c>
      <c r="D105" s="603">
        <f>'Project-Level Data'!G110</f>
        <v>24</v>
      </c>
      <c r="E105" s="223">
        <f t="shared" ref="E105:E136" si="11">IF(D105&lt;=D$67,5,IF(D105&lt;=D$68,4, IF(D105&lt;=D$69,3, IF(D105&lt;=D$70,2, IF(D105&lt;=D$71,1, "NA")))))</f>
        <v>3</v>
      </c>
      <c r="F105" s="411">
        <f>'Project-Level Data'!F110</f>
        <v>93</v>
      </c>
      <c r="G105" s="223">
        <f t="shared" ref="G105:G136" si="12">IF(F105&lt;=F$67,1,IF(F105&lt;=F$68,2, IF(F105&lt;=F$69,3, IF(F105&lt;=F$70,2, IF(F105&lt;=F$71,1, "NA")))))</f>
        <v>1</v>
      </c>
      <c r="H105" s="599">
        <f t="shared" ref="H105:H136" si="13">IF(E105="NA","NA",IF(AND(E105=1,G105=1),1,IF(AND(E105=1,G105=2),1.5,IF(AND(E105=1,G105=3),2,IF(AND(E105=2,G105=1),1.5,IF(AND(E105=2,G105=2),2,IF(AND(E105=2,G105=3),2.5,IF(AND(E105=3,G105=1),2,IF(AND(E105=3,G105=2),2.5,IF(AND(E105=3,G105=3),3,IF(AND(E105=4,G105=1),2.5,IF(AND(E105=4,G105=2),3,IF(AND(E105=4,G105=3),3,IF(E105=5,3))))))))))))))</f>
        <v>2</v>
      </c>
      <c r="I105" s="378">
        <f>'Project-Level Data'!AT110</f>
        <v>5</v>
      </c>
      <c r="J105" s="379">
        <f>'Project-Level Data'!AU110</f>
        <v>4</v>
      </c>
      <c r="K105" s="420">
        <f t="shared" ref="K105:K136" si="14">IF(AND(I105=1,J105=5),1,IF(AND(I105=1,J105=4),1,IF(AND(I105=1,J105=3),2,IF(AND(I105=1,J105=2),2,IF(AND(I105=1,J105=1),2,IF(AND(I105=5,J105=1),4,IF(AND(I105=5,J105=2),4,IF(AND(I105=5,J105=3),4,IF(AND(I105=5,J105=4),5,IF(AND(I105=5,J105=5),5,IF(I105=3,3,"NA")))))))))))</f>
        <v>5</v>
      </c>
      <c r="L105" s="224">
        <f t="shared" ref="L105:L136" si="15">IF(OR(K105="NA", H105="NA"), "NA",IF(AND(K105=1,H105=1),1,IF(AND(K105=1,H105=1.5),1.5,IF(AND(K105=1,H105=2),2,IF(AND(K105=1,H105=2.5),2.5,IF(AND(K105=1,H105=3),3,IF(AND(K105=2,H105=1),2,IF(AND(K105=2,H105=1.5),2.25,IF(AND(K105=2,H105=2),2.5,IF(AND(K105=2,H105=2.5),2.75,IF(AND(K105=2,H105=3),3,IF(AND(K105=3),3,IF(AND(K105=4,H105=1),4,IF(AND(K105=4,H105=1.5),3.75,IF(AND(K105=4,H105=2),3.5,IF(AND(K105=4,H105=2.5),3.25,IF(AND(K105=4,H105=3),3,IF(AND(K105=5,H105=1),5,IF(AND(K105=5,H105=1.5),4.5,IF(AND(K105=5,H105=2),4,IF(AND(K105=5,H105=2.5),3.5,IF(AND(K105=5,H105=3),3))))))))))))))))))))))</f>
        <v>4</v>
      </c>
      <c r="M105" s="597">
        <f>'Project-Level Data'!AW110</f>
        <v>3</v>
      </c>
      <c r="N105" s="393">
        <f>'Project-Level Data'!M110</f>
        <v>3</v>
      </c>
      <c r="O105" s="224">
        <f t="shared" ref="O105:O136" si="16">IF(AND(M105=1,N105=1), 1, IF(AND(M105=1,N105=2),2, IF(M105=3,3,IF(AND(M105=5,N105=2),4, IF(AND(M105=5,N105=1),5, "NA")))))</f>
        <v>3</v>
      </c>
    </row>
    <row r="106" spans="1:15" hidden="1" x14ac:dyDescent="0.25">
      <c r="B106" s="227" t="str">
        <f>'Project-Level Data'!B17</f>
        <v>Carlsbad WRF - Landscape, Agriculture 2025</v>
      </c>
      <c r="C106" s="606" t="str">
        <f>'Project-Level Data'!C17</f>
        <v>Recycled Water</v>
      </c>
      <c r="D106" s="603">
        <f>'Project-Level Data'!G17</f>
        <v>4</v>
      </c>
      <c r="E106" s="223">
        <f t="shared" si="11"/>
        <v>5</v>
      </c>
      <c r="F106" s="411">
        <f>'Project-Level Data'!F17</f>
        <v>82</v>
      </c>
      <c r="G106" s="223">
        <f t="shared" si="12"/>
        <v>1</v>
      </c>
      <c r="H106" s="599">
        <f t="shared" si="13"/>
        <v>3</v>
      </c>
      <c r="I106" s="378">
        <f>'Project-Level Data'!AT17</f>
        <v>3</v>
      </c>
      <c r="J106" s="379">
        <f>'Project-Level Data'!AU17</f>
        <v>3</v>
      </c>
      <c r="K106" s="420">
        <f t="shared" si="14"/>
        <v>3</v>
      </c>
      <c r="L106" s="224">
        <f t="shared" si="15"/>
        <v>3</v>
      </c>
      <c r="M106" s="597">
        <f>'Project-Level Data'!AW17</f>
        <v>3</v>
      </c>
      <c r="N106" s="393">
        <f>'Project-Level Data'!M17</f>
        <v>3</v>
      </c>
      <c r="O106" s="224">
        <f t="shared" si="16"/>
        <v>3</v>
      </c>
    </row>
    <row r="107" spans="1:15" hidden="1" x14ac:dyDescent="0.25">
      <c r="A107" s="16"/>
      <c r="B107" s="227" t="str">
        <f>'Project-Level Data'!B18</f>
        <v>Carlsbad WRF - Landscape, Agriculture 2050</v>
      </c>
      <c r="C107" s="606" t="str">
        <f>'Project-Level Data'!C18</f>
        <v>Recycled Water</v>
      </c>
      <c r="D107" s="603">
        <f>'Project-Level Data'!G18</f>
        <v>4</v>
      </c>
      <c r="E107" s="223">
        <f t="shared" si="11"/>
        <v>5</v>
      </c>
      <c r="F107" s="411">
        <f>'Project-Level Data'!F18</f>
        <v>82</v>
      </c>
      <c r="G107" s="223">
        <f t="shared" si="12"/>
        <v>1</v>
      </c>
      <c r="H107" s="599">
        <f t="shared" si="13"/>
        <v>3</v>
      </c>
      <c r="I107" s="378">
        <f>'Project-Level Data'!AT18</f>
        <v>3</v>
      </c>
      <c r="J107" s="379">
        <f>'Project-Level Data'!AU18</f>
        <v>3</v>
      </c>
      <c r="K107" s="420">
        <f t="shared" si="14"/>
        <v>3</v>
      </c>
      <c r="L107" s="224">
        <f t="shared" si="15"/>
        <v>3</v>
      </c>
      <c r="M107" s="597">
        <f>'Project-Level Data'!AW18</f>
        <v>3</v>
      </c>
      <c r="N107" s="393">
        <f>'Project-Level Data'!M18</f>
        <v>3</v>
      </c>
      <c r="O107" s="224">
        <f t="shared" si="16"/>
        <v>3</v>
      </c>
    </row>
    <row r="108" spans="1:15" hidden="1" x14ac:dyDescent="0.25">
      <c r="B108" s="227" t="str">
        <f>'Project-Level Data'!B28</f>
        <v>Extension 153 Phase I</v>
      </c>
      <c r="C108" s="606" t="str">
        <f>'Project-Level Data'!C28</f>
        <v>Recycled Water</v>
      </c>
      <c r="D108" s="603">
        <f>'Project-Level Data'!G28</f>
        <v>3</v>
      </c>
      <c r="E108" s="223">
        <f t="shared" si="11"/>
        <v>5</v>
      </c>
      <c r="F108" s="411">
        <f>'Project-Level Data'!F28</f>
        <v>13</v>
      </c>
      <c r="G108" s="223">
        <f t="shared" si="12"/>
        <v>1</v>
      </c>
      <c r="H108" s="599">
        <f t="shared" si="13"/>
        <v>3</v>
      </c>
      <c r="I108" s="378">
        <f>'Project-Level Data'!AT28</f>
        <v>3</v>
      </c>
      <c r="J108" s="379" t="str">
        <f>'Project-Level Data'!AU28</f>
        <v>MISSING</v>
      </c>
      <c r="K108" s="420">
        <f t="shared" si="14"/>
        <v>3</v>
      </c>
      <c r="L108" s="224">
        <f t="shared" si="15"/>
        <v>3</v>
      </c>
      <c r="M108" s="597">
        <f>'Project-Level Data'!AW28</f>
        <v>3</v>
      </c>
      <c r="N108" s="393">
        <f>'Project-Level Data'!M28</f>
        <v>3</v>
      </c>
      <c r="O108" s="224">
        <f t="shared" si="16"/>
        <v>3</v>
      </c>
    </row>
    <row r="109" spans="1:15" hidden="1" x14ac:dyDescent="0.25">
      <c r="B109" s="227" t="str">
        <f>'Project-Level Data'!B29</f>
        <v>Extension 153 Phase II</v>
      </c>
      <c r="C109" s="606" t="str">
        <f>'Project-Level Data'!C29</f>
        <v>Recycled Water</v>
      </c>
      <c r="D109" s="603">
        <f>'Project-Level Data'!G29</f>
        <v>3</v>
      </c>
      <c r="E109" s="223">
        <f t="shared" si="11"/>
        <v>5</v>
      </c>
      <c r="F109" s="411">
        <f>'Project-Level Data'!F29</f>
        <v>13</v>
      </c>
      <c r="G109" s="223">
        <f t="shared" si="12"/>
        <v>1</v>
      </c>
      <c r="H109" s="599">
        <f t="shared" si="13"/>
        <v>3</v>
      </c>
      <c r="I109" s="378">
        <f>'Project-Level Data'!AT29</f>
        <v>3</v>
      </c>
      <c r="J109" s="379" t="str">
        <f>'Project-Level Data'!AU29</f>
        <v>MISSING</v>
      </c>
      <c r="K109" s="420">
        <f t="shared" si="14"/>
        <v>3</v>
      </c>
      <c r="L109" s="224">
        <f t="shared" si="15"/>
        <v>3</v>
      </c>
      <c r="M109" s="597">
        <f>'Project-Level Data'!AW29</f>
        <v>3</v>
      </c>
      <c r="N109" s="393">
        <f>'Project-Level Data'!M29</f>
        <v>3</v>
      </c>
      <c r="O109" s="224">
        <f t="shared" si="16"/>
        <v>3</v>
      </c>
    </row>
    <row r="110" spans="1:15" ht="25.5" hidden="1" x14ac:dyDescent="0.25">
      <c r="B110" s="227" t="str">
        <f>'Project-Level Data'!B35</f>
        <v>Hale Avenue Resource Recovery Facility (HARRF) - Landscape, Agriculture, Industrial, PR</v>
      </c>
      <c r="C110" s="606" t="str">
        <f>'Project-Level Data'!C35</f>
        <v>Recycled Water</v>
      </c>
      <c r="D110" s="603">
        <f>'Project-Level Data'!G35</f>
        <v>14</v>
      </c>
      <c r="E110" s="223">
        <f t="shared" si="11"/>
        <v>4</v>
      </c>
      <c r="F110" s="411">
        <f>'Project-Level Data'!F35</f>
        <v>92</v>
      </c>
      <c r="G110" s="223">
        <f t="shared" si="12"/>
        <v>1</v>
      </c>
      <c r="H110" s="599">
        <f t="shared" si="13"/>
        <v>2.5</v>
      </c>
      <c r="I110" s="378" t="str">
        <f>'Project-Level Data'!AT35</f>
        <v>No Response</v>
      </c>
      <c r="J110" s="379" t="str">
        <f>'Project-Level Data'!AU35</f>
        <v>No Response</v>
      </c>
      <c r="K110" s="420" t="str">
        <f t="shared" si="14"/>
        <v>NA</v>
      </c>
      <c r="L110" s="224" t="str">
        <f t="shared" si="15"/>
        <v>NA</v>
      </c>
      <c r="M110" s="597" t="str">
        <f>'Project-Level Data'!AW35</f>
        <v>No Response</v>
      </c>
      <c r="N110" s="393">
        <f>'Project-Level Data'!M35</f>
        <v>3</v>
      </c>
      <c r="O110" s="224" t="str">
        <f t="shared" si="16"/>
        <v>NA</v>
      </c>
    </row>
    <row r="111" spans="1:15" ht="25.5" hidden="1" x14ac:dyDescent="0.25">
      <c r="B111" s="227" t="str">
        <f>'Project-Level Data'!B36</f>
        <v>Integrated Water Resource Solutions for the Carlsbad Watershed</v>
      </c>
      <c r="C111" s="606" t="str">
        <f>'Project-Level Data'!C36</f>
        <v>Recycled Water</v>
      </c>
      <c r="D111" s="603">
        <f>'Project-Level Data'!G36</f>
        <v>11</v>
      </c>
      <c r="E111" s="223">
        <f t="shared" si="11"/>
        <v>5</v>
      </c>
      <c r="F111" s="411">
        <f>'Project-Level Data'!F36</f>
        <v>59</v>
      </c>
      <c r="G111" s="223">
        <f t="shared" si="12"/>
        <v>2</v>
      </c>
      <c r="H111" s="599">
        <f t="shared" si="13"/>
        <v>3</v>
      </c>
      <c r="I111" s="378">
        <f>'Project-Level Data'!AT36</f>
        <v>3</v>
      </c>
      <c r="J111" s="379" t="str">
        <f>'Project-Level Data'!AU36</f>
        <v>MISSING</v>
      </c>
      <c r="K111" s="420">
        <f t="shared" si="14"/>
        <v>3</v>
      </c>
      <c r="L111" s="224">
        <f t="shared" si="15"/>
        <v>3</v>
      </c>
      <c r="M111" s="597">
        <f>'Project-Level Data'!AW36</f>
        <v>3</v>
      </c>
      <c r="N111" s="393">
        <f>'Project-Level Data'!M36</f>
        <v>3</v>
      </c>
      <c r="O111" s="224">
        <f t="shared" si="16"/>
        <v>3</v>
      </c>
    </row>
    <row r="112" spans="1:15" ht="25.5" hidden="1" x14ac:dyDescent="0.25">
      <c r="B112" s="227" t="str">
        <f>'Project-Level Data'!B37</f>
        <v>Intergrated Water Resource Solutions for the Carlsbad Watershed</v>
      </c>
      <c r="C112" s="606" t="str">
        <f>'Project-Level Data'!C37</f>
        <v>Recycled Water</v>
      </c>
      <c r="D112" s="603">
        <f>'Project-Level Data'!G37</f>
        <v>11</v>
      </c>
      <c r="E112" s="223">
        <f t="shared" si="11"/>
        <v>5</v>
      </c>
      <c r="F112" s="411">
        <f>'Project-Level Data'!F37</f>
        <v>59</v>
      </c>
      <c r="G112" s="223">
        <f t="shared" si="12"/>
        <v>2</v>
      </c>
      <c r="H112" s="599">
        <f t="shared" si="13"/>
        <v>3</v>
      </c>
      <c r="I112" s="378">
        <f>'Project-Level Data'!AT37</f>
        <v>3</v>
      </c>
      <c r="J112" s="379" t="str">
        <f>'Project-Level Data'!AU37</f>
        <v>MISSING</v>
      </c>
      <c r="K112" s="420">
        <f t="shared" si="14"/>
        <v>3</v>
      </c>
      <c r="L112" s="224">
        <f t="shared" si="15"/>
        <v>3</v>
      </c>
      <c r="M112" s="597">
        <f>'Project-Level Data'!AW37</f>
        <v>3</v>
      </c>
      <c r="N112" s="393">
        <f>'Project-Level Data'!M37</f>
        <v>3</v>
      </c>
      <c r="O112" s="224">
        <f t="shared" si="16"/>
        <v>3</v>
      </c>
    </row>
    <row r="113" spans="2:15" hidden="1" x14ac:dyDescent="0.25">
      <c r="B113" s="227" t="str">
        <f>'Project-Level Data'!B38</f>
        <v>Joint RW Transmission Project with SFID and OMWD</v>
      </c>
      <c r="C113" s="606" t="str">
        <f>'Project-Level Data'!C38</f>
        <v>Recycled Water</v>
      </c>
      <c r="D113" s="603">
        <f>'Project-Level Data'!G38</f>
        <v>6</v>
      </c>
      <c r="E113" s="223">
        <f t="shared" si="11"/>
        <v>5</v>
      </c>
      <c r="F113" s="411">
        <f>'Project-Level Data'!F38</f>
        <v>36</v>
      </c>
      <c r="G113" s="223">
        <f t="shared" si="12"/>
        <v>3</v>
      </c>
      <c r="H113" s="599">
        <f t="shared" si="13"/>
        <v>3</v>
      </c>
      <c r="I113" s="378">
        <f>'Project-Level Data'!AT38</f>
        <v>3</v>
      </c>
      <c r="J113" s="379" t="str">
        <f>'Project-Level Data'!AU38</f>
        <v>MISSING</v>
      </c>
      <c r="K113" s="420">
        <f t="shared" si="14"/>
        <v>3</v>
      </c>
      <c r="L113" s="224">
        <f t="shared" si="15"/>
        <v>3</v>
      </c>
      <c r="M113" s="597">
        <f>'Project-Level Data'!AW38</f>
        <v>3</v>
      </c>
      <c r="N113" s="393">
        <f>'Project-Level Data'!M38</f>
        <v>3</v>
      </c>
      <c r="O113" s="224">
        <f t="shared" si="16"/>
        <v>3</v>
      </c>
    </row>
    <row r="114" spans="2:15" hidden="1" x14ac:dyDescent="0.25">
      <c r="B114" s="227" t="str">
        <f>'Project-Level Data'!B42</f>
        <v>Lilac Hills Ranch WRF</v>
      </c>
      <c r="C114" s="606" t="str">
        <f>'Project-Level Data'!C42</f>
        <v>Recycled Water</v>
      </c>
      <c r="D114" s="603">
        <f>'Project-Level Data'!G42</f>
        <v>7</v>
      </c>
      <c r="E114" s="223">
        <f t="shared" si="11"/>
        <v>5</v>
      </c>
      <c r="F114" s="411">
        <f>'Project-Level Data'!F42</f>
        <v>7</v>
      </c>
      <c r="G114" s="223">
        <f t="shared" si="12"/>
        <v>1</v>
      </c>
      <c r="H114" s="599">
        <f t="shared" si="13"/>
        <v>3</v>
      </c>
      <c r="I114" s="378" t="str">
        <f>'Project-Level Data'!AT42</f>
        <v>No Response</v>
      </c>
      <c r="J114" s="379" t="str">
        <f>'Project-Level Data'!AU42</f>
        <v>No Response</v>
      </c>
      <c r="K114" s="420" t="str">
        <f t="shared" si="14"/>
        <v>NA</v>
      </c>
      <c r="L114" s="224" t="str">
        <f t="shared" si="15"/>
        <v>NA</v>
      </c>
      <c r="M114" s="597" t="str">
        <f>'Project-Level Data'!AW42</f>
        <v>No Response</v>
      </c>
      <c r="N114" s="393">
        <f>'Project-Level Data'!M42</f>
        <v>3</v>
      </c>
      <c r="O114" s="224" t="str">
        <f t="shared" si="16"/>
        <v>NA</v>
      </c>
    </row>
    <row r="115" spans="2:15" hidden="1" x14ac:dyDescent="0.25">
      <c r="B115" s="227" t="str">
        <f>'Project-Level Data'!B45</f>
        <v>Lower Moosa Canyon WRF</v>
      </c>
      <c r="C115" s="606" t="str">
        <f>'Project-Level Data'!C45</f>
        <v>Recycled Water</v>
      </c>
      <c r="D115" s="603">
        <f>'Project-Level Data'!G45</f>
        <v>7</v>
      </c>
      <c r="E115" s="223">
        <f t="shared" si="11"/>
        <v>5</v>
      </c>
      <c r="F115" s="411">
        <f>'Project-Level Data'!F45</f>
        <v>7</v>
      </c>
      <c r="G115" s="223">
        <f t="shared" si="12"/>
        <v>1</v>
      </c>
      <c r="H115" s="599">
        <f t="shared" si="13"/>
        <v>3</v>
      </c>
      <c r="I115" s="378" t="str">
        <f>'Project-Level Data'!AT45</f>
        <v>No Response</v>
      </c>
      <c r="J115" s="379" t="str">
        <f>'Project-Level Data'!AU45</f>
        <v>No Response</v>
      </c>
      <c r="K115" s="420" t="str">
        <f t="shared" si="14"/>
        <v>NA</v>
      </c>
      <c r="L115" s="224" t="str">
        <f t="shared" si="15"/>
        <v>NA</v>
      </c>
      <c r="M115" s="597" t="str">
        <f>'Project-Level Data'!AW45</f>
        <v>No Response</v>
      </c>
      <c r="N115" s="393">
        <f>'Project-Level Data'!M45</f>
        <v>3</v>
      </c>
      <c r="O115" s="224" t="str">
        <f t="shared" si="16"/>
        <v>NA</v>
      </c>
    </row>
    <row r="116" spans="2:15" hidden="1" x14ac:dyDescent="0.25">
      <c r="B116" s="227" t="str">
        <f>'Project-Level Data'!B50</f>
        <v>Meadowlark WRF</v>
      </c>
      <c r="C116" s="606" t="str">
        <f>'Project-Level Data'!C50</f>
        <v>Recycled Water</v>
      </c>
      <c r="D116" s="603">
        <f>'Project-Level Data'!G50</f>
        <v>6</v>
      </c>
      <c r="E116" s="223">
        <f t="shared" si="11"/>
        <v>5</v>
      </c>
      <c r="F116" s="411">
        <f>'Project-Level Data'!F50</f>
        <v>29</v>
      </c>
      <c r="G116" s="223">
        <f t="shared" si="12"/>
        <v>2</v>
      </c>
      <c r="H116" s="599">
        <f t="shared" si="13"/>
        <v>3</v>
      </c>
      <c r="I116" s="378" t="str">
        <f>'Project-Level Data'!AT50</f>
        <v>No Response</v>
      </c>
      <c r="J116" s="379" t="str">
        <f>'Project-Level Data'!AU50</f>
        <v>No Response</v>
      </c>
      <c r="K116" s="420" t="str">
        <f t="shared" si="14"/>
        <v>NA</v>
      </c>
      <c r="L116" s="224" t="str">
        <f t="shared" si="15"/>
        <v>NA</v>
      </c>
      <c r="M116" s="597" t="str">
        <f>'Project-Level Data'!AW50</f>
        <v>No Response</v>
      </c>
      <c r="N116" s="393">
        <f>'Project-Level Data'!M50</f>
        <v>3</v>
      </c>
      <c r="O116" s="224" t="str">
        <f t="shared" si="16"/>
        <v>NA</v>
      </c>
    </row>
    <row r="117" spans="2:15" hidden="1" x14ac:dyDescent="0.25">
      <c r="B117" s="227" t="str">
        <f>'Project-Level Data'!B51</f>
        <v>Meadowood WRF</v>
      </c>
      <c r="C117" s="606" t="str">
        <f>'Project-Level Data'!C51</f>
        <v>Recycled Water</v>
      </c>
      <c r="D117" s="603">
        <f>'Project-Level Data'!G51</f>
        <v>39</v>
      </c>
      <c r="E117" s="223">
        <f t="shared" si="11"/>
        <v>2</v>
      </c>
      <c r="F117" s="411">
        <f>'Project-Level Data'!F51</f>
        <v>55</v>
      </c>
      <c r="G117" s="223">
        <f t="shared" si="12"/>
        <v>2</v>
      </c>
      <c r="H117" s="599">
        <f t="shared" si="13"/>
        <v>2</v>
      </c>
      <c r="I117" s="378" t="str">
        <f>'Project-Level Data'!AT51</f>
        <v>No Response</v>
      </c>
      <c r="J117" s="379" t="str">
        <f>'Project-Level Data'!AU51</f>
        <v>No Response</v>
      </c>
      <c r="K117" s="420" t="str">
        <f t="shared" si="14"/>
        <v>NA</v>
      </c>
      <c r="L117" s="224" t="str">
        <f t="shared" si="15"/>
        <v>NA</v>
      </c>
      <c r="M117" s="597" t="str">
        <f>'Project-Level Data'!AW51</f>
        <v>No Response</v>
      </c>
      <c r="N117" s="393">
        <f>'Project-Level Data'!M51</f>
        <v>3</v>
      </c>
      <c r="O117" s="224" t="str">
        <f t="shared" si="16"/>
        <v>NA</v>
      </c>
    </row>
    <row r="118" spans="2:15" hidden="1" x14ac:dyDescent="0.25">
      <c r="B118" s="227" t="str">
        <f>'Project-Level Data'!B61</f>
        <v>North City WRP - Project 1</v>
      </c>
      <c r="C118" s="606" t="str">
        <f>'Project-Level Data'!C61</f>
        <v>Recycled Water</v>
      </c>
      <c r="D118" s="603">
        <f>'Project-Level Data'!G61</f>
        <v>19</v>
      </c>
      <c r="E118" s="223">
        <f t="shared" si="11"/>
        <v>3</v>
      </c>
      <c r="F118" s="411">
        <f>'Project-Level Data'!F61</f>
        <v>79</v>
      </c>
      <c r="G118" s="223">
        <f t="shared" si="12"/>
        <v>1</v>
      </c>
      <c r="H118" s="599">
        <f t="shared" si="13"/>
        <v>2</v>
      </c>
      <c r="I118" s="378">
        <f>'Project-Level Data'!AT61</f>
        <v>5</v>
      </c>
      <c r="J118" s="379">
        <f>'Project-Level Data'!AU61</f>
        <v>1</v>
      </c>
      <c r="K118" s="420">
        <f t="shared" si="14"/>
        <v>4</v>
      </c>
      <c r="L118" s="224">
        <f t="shared" si="15"/>
        <v>3.5</v>
      </c>
      <c r="M118" s="597">
        <f>'Project-Level Data'!AW61</f>
        <v>3</v>
      </c>
      <c r="N118" s="393">
        <f>'Project-Level Data'!M61</f>
        <v>3</v>
      </c>
      <c r="O118" s="224">
        <f t="shared" si="16"/>
        <v>3</v>
      </c>
    </row>
    <row r="119" spans="2:15" hidden="1" x14ac:dyDescent="0.25">
      <c r="B119" s="227" t="str">
        <f>'Project-Level Data'!B62</f>
        <v>North City WRP - Project 2</v>
      </c>
      <c r="C119" s="606" t="str">
        <f>'Project-Level Data'!C62</f>
        <v>Recycled Water</v>
      </c>
      <c r="D119" s="603">
        <f>'Project-Level Data'!G62</f>
        <v>19</v>
      </c>
      <c r="E119" s="223">
        <f t="shared" si="11"/>
        <v>3</v>
      </c>
      <c r="F119" s="411">
        <f>'Project-Level Data'!F62</f>
        <v>79</v>
      </c>
      <c r="G119" s="223">
        <f t="shared" si="12"/>
        <v>1</v>
      </c>
      <c r="H119" s="599">
        <f t="shared" si="13"/>
        <v>2</v>
      </c>
      <c r="I119" s="378">
        <f>'Project-Level Data'!AT62</f>
        <v>5</v>
      </c>
      <c r="J119" s="379">
        <f>'Project-Level Data'!AU62</f>
        <v>1</v>
      </c>
      <c r="K119" s="420">
        <f t="shared" si="14"/>
        <v>4</v>
      </c>
      <c r="L119" s="224">
        <f t="shared" si="15"/>
        <v>3.5</v>
      </c>
      <c r="M119" s="597">
        <f>'Project-Level Data'!AW62</f>
        <v>3</v>
      </c>
      <c r="N119" s="393">
        <f>'Project-Level Data'!M62</f>
        <v>3</v>
      </c>
      <c r="O119" s="224">
        <f t="shared" si="16"/>
        <v>3</v>
      </c>
    </row>
    <row r="120" spans="2:15" hidden="1" x14ac:dyDescent="0.25">
      <c r="B120" s="227" t="str">
        <f>'Project-Level Data'!B63</f>
        <v>North District Recycled System/RW Chapman WRF</v>
      </c>
      <c r="C120" s="606" t="str">
        <f>'Project-Level Data'!C63</f>
        <v>Recycled Water</v>
      </c>
      <c r="D120" s="603">
        <f>'Project-Level Data'!G63</f>
        <v>26</v>
      </c>
      <c r="E120" s="223">
        <f t="shared" si="11"/>
        <v>3</v>
      </c>
      <c r="F120" s="411">
        <f>'Project-Level Data'!F63</f>
        <v>21</v>
      </c>
      <c r="G120" s="223">
        <f t="shared" si="12"/>
        <v>1</v>
      </c>
      <c r="H120" s="599">
        <f t="shared" si="13"/>
        <v>2</v>
      </c>
      <c r="I120" s="378">
        <f>'Project-Level Data'!AT63</f>
        <v>3</v>
      </c>
      <c r="J120" s="379">
        <f>'Project-Level Data'!AU63</f>
        <v>3</v>
      </c>
      <c r="K120" s="420">
        <f t="shared" si="14"/>
        <v>3</v>
      </c>
      <c r="L120" s="224">
        <f t="shared" si="15"/>
        <v>3</v>
      </c>
      <c r="M120" s="597">
        <f>'Project-Level Data'!AW63</f>
        <v>3</v>
      </c>
      <c r="N120" s="393">
        <f>'Project-Level Data'!M63</f>
        <v>3</v>
      </c>
      <c r="O120" s="224">
        <f t="shared" si="16"/>
        <v>3</v>
      </c>
    </row>
    <row r="121" spans="2:15" ht="25.5" hidden="1" x14ac:dyDescent="0.25">
      <c r="B121" s="227" t="str">
        <f>'Project-Level Data'!B64</f>
        <v>North San Diego County Regional Recycled Water Project-Phase ll</v>
      </c>
      <c r="C121" s="606" t="str">
        <f>'Project-Level Data'!C64</f>
        <v>Recycled Water</v>
      </c>
      <c r="D121" s="603">
        <f>'Project-Level Data'!G64</f>
        <v>45</v>
      </c>
      <c r="E121" s="223">
        <f t="shared" si="11"/>
        <v>2</v>
      </c>
      <c r="F121" s="411">
        <f>'Project-Level Data'!F64</f>
        <v>86</v>
      </c>
      <c r="G121" s="223">
        <f t="shared" si="12"/>
        <v>1</v>
      </c>
      <c r="H121" s="599">
        <f t="shared" si="13"/>
        <v>1.5</v>
      </c>
      <c r="I121" s="378">
        <f>'Project-Level Data'!AT64</f>
        <v>3</v>
      </c>
      <c r="J121" s="379" t="str">
        <f>'Project-Level Data'!AU64</f>
        <v>MISSING</v>
      </c>
      <c r="K121" s="420">
        <f t="shared" si="14"/>
        <v>3</v>
      </c>
      <c r="L121" s="224">
        <f t="shared" si="15"/>
        <v>3</v>
      </c>
      <c r="M121" s="597">
        <f>'Project-Level Data'!AW64</f>
        <v>3</v>
      </c>
      <c r="N121" s="393">
        <f>'Project-Level Data'!M64</f>
        <v>3</v>
      </c>
      <c r="O121" s="224">
        <f t="shared" si="16"/>
        <v>3</v>
      </c>
    </row>
    <row r="122" spans="2:15" hidden="1" x14ac:dyDescent="0.25">
      <c r="B122" s="227" t="str">
        <f>'Project-Level Data'!B65</f>
        <v>North Village WRF</v>
      </c>
      <c r="C122" s="606" t="str">
        <f>'Project-Level Data'!C65</f>
        <v>Recycled Water</v>
      </c>
      <c r="D122" s="603">
        <f>'Project-Level Data'!G65</f>
        <v>28</v>
      </c>
      <c r="E122" s="223">
        <f t="shared" si="11"/>
        <v>3</v>
      </c>
      <c r="F122" s="411">
        <f>'Project-Level Data'!F65</f>
        <v>25</v>
      </c>
      <c r="G122" s="223">
        <f t="shared" si="12"/>
        <v>1</v>
      </c>
      <c r="H122" s="599">
        <f t="shared" si="13"/>
        <v>2</v>
      </c>
      <c r="I122" s="378" t="str">
        <f>'Project-Level Data'!AT65</f>
        <v>No Response</v>
      </c>
      <c r="J122" s="379" t="str">
        <f>'Project-Level Data'!AU65</f>
        <v>No Response</v>
      </c>
      <c r="K122" s="420" t="str">
        <f t="shared" si="14"/>
        <v>NA</v>
      </c>
      <c r="L122" s="224" t="str">
        <f t="shared" si="15"/>
        <v>NA</v>
      </c>
      <c r="M122" s="597" t="str">
        <f>'Project-Level Data'!AW65</f>
        <v>No Response</v>
      </c>
      <c r="N122" s="393">
        <f>'Project-Level Data'!M65</f>
        <v>3</v>
      </c>
      <c r="O122" s="224" t="str">
        <f t="shared" si="16"/>
        <v>NA</v>
      </c>
    </row>
    <row r="123" spans="2:15" hidden="1" x14ac:dyDescent="0.25">
      <c r="B123" s="227" t="str">
        <f>'Project-Level Data'!B66</f>
        <v>North WWTP Landscape Application</v>
      </c>
      <c r="C123" s="606" t="str">
        <f>'Project-Level Data'!C66</f>
        <v>Recycled Water</v>
      </c>
      <c r="D123" s="603">
        <f>'Project-Level Data'!G66</f>
        <v>24</v>
      </c>
      <c r="E123" s="223">
        <f t="shared" si="11"/>
        <v>3</v>
      </c>
      <c r="F123" s="411">
        <f>'Project-Level Data'!F66</f>
        <v>93</v>
      </c>
      <c r="G123" s="223">
        <f t="shared" si="12"/>
        <v>1</v>
      </c>
      <c r="H123" s="599">
        <f t="shared" si="13"/>
        <v>2</v>
      </c>
      <c r="I123" s="378">
        <f>'Project-Level Data'!AT66</f>
        <v>5</v>
      </c>
      <c r="J123" s="379">
        <f>'Project-Level Data'!AU66</f>
        <v>3</v>
      </c>
      <c r="K123" s="420">
        <f t="shared" si="14"/>
        <v>4</v>
      </c>
      <c r="L123" s="224">
        <f t="shared" si="15"/>
        <v>3.5</v>
      </c>
      <c r="M123" s="597">
        <f>'Project-Level Data'!AW66</f>
        <v>3</v>
      </c>
      <c r="N123" s="393">
        <f>'Project-Level Data'!M66</f>
        <v>3</v>
      </c>
      <c r="O123" s="224">
        <f t="shared" si="16"/>
        <v>3</v>
      </c>
    </row>
    <row r="124" spans="2:15" hidden="1" x14ac:dyDescent="0.25">
      <c r="B124" s="227" t="str">
        <f>'Project-Level Data'!B78</f>
        <v>Rancho Cielo</v>
      </c>
      <c r="C124" s="606" t="str">
        <f>'Project-Level Data'!C78</f>
        <v>Recycled Water</v>
      </c>
      <c r="D124" s="603">
        <f>'Project-Level Data'!G78</f>
        <v>6</v>
      </c>
      <c r="E124" s="223">
        <f t="shared" si="11"/>
        <v>5</v>
      </c>
      <c r="F124" s="411">
        <f>'Project-Level Data'!F78</f>
        <v>47</v>
      </c>
      <c r="G124" s="223">
        <f t="shared" si="12"/>
        <v>3</v>
      </c>
      <c r="H124" s="599">
        <f t="shared" si="13"/>
        <v>3</v>
      </c>
      <c r="I124" s="378">
        <f>'Project-Level Data'!AT78</f>
        <v>3</v>
      </c>
      <c r="J124" s="379" t="str">
        <f>'Project-Level Data'!AU78</f>
        <v>MISSING</v>
      </c>
      <c r="K124" s="420">
        <f t="shared" si="14"/>
        <v>3</v>
      </c>
      <c r="L124" s="224">
        <f t="shared" si="15"/>
        <v>3</v>
      </c>
      <c r="M124" s="597">
        <f>'Project-Level Data'!AW78</f>
        <v>3</v>
      </c>
      <c r="N124" s="393">
        <f>'Project-Level Data'!M78</f>
        <v>3</v>
      </c>
      <c r="O124" s="224">
        <f t="shared" si="16"/>
        <v>3</v>
      </c>
    </row>
    <row r="125" spans="2:15" hidden="1" x14ac:dyDescent="0.25">
      <c r="B125" s="227" t="str">
        <f>'Project-Level Data'!B80</f>
        <v>Ray Stoyer WRF - Landscape, Irrigation, Dust Control</v>
      </c>
      <c r="C125" s="606" t="str">
        <f>'Project-Level Data'!C80</f>
        <v>Recycled Water</v>
      </c>
      <c r="D125" s="603">
        <f>'Project-Level Data'!G80</f>
        <v>17</v>
      </c>
      <c r="E125" s="223">
        <f t="shared" si="11"/>
        <v>4</v>
      </c>
      <c r="F125" s="411">
        <f>'Project-Level Data'!F80</f>
        <v>22</v>
      </c>
      <c r="G125" s="223">
        <f t="shared" si="12"/>
        <v>1</v>
      </c>
      <c r="H125" s="599">
        <f t="shared" si="13"/>
        <v>2.5</v>
      </c>
      <c r="I125" s="378">
        <f>'Project-Level Data'!AT80</f>
        <v>3</v>
      </c>
      <c r="J125" s="379">
        <f>'Project-Level Data'!AU80</f>
        <v>3</v>
      </c>
      <c r="K125" s="420">
        <f t="shared" si="14"/>
        <v>3</v>
      </c>
      <c r="L125" s="224">
        <f t="shared" si="15"/>
        <v>3</v>
      </c>
      <c r="M125" s="597">
        <f>'Project-Level Data'!AW80</f>
        <v>5</v>
      </c>
      <c r="N125" s="393">
        <f>'Project-Level Data'!M80</f>
        <v>3</v>
      </c>
      <c r="O125" s="224" t="str">
        <f t="shared" si="16"/>
        <v>NA</v>
      </c>
    </row>
    <row r="126" spans="2:15" hidden="1" x14ac:dyDescent="0.25">
      <c r="B126" s="227" t="str">
        <f>'Project-Level Data'!B86</f>
        <v>Safari Drought Response and Outreach</v>
      </c>
      <c r="C126" s="606" t="str">
        <f>'Project-Level Data'!C86</f>
        <v>Recycled Water</v>
      </c>
      <c r="D126" s="603">
        <f>'Project-Level Data'!G86</f>
        <v>17</v>
      </c>
      <c r="E126" s="223">
        <f t="shared" si="11"/>
        <v>4</v>
      </c>
      <c r="F126" s="411">
        <f>'Project-Level Data'!F86</f>
        <v>49</v>
      </c>
      <c r="G126" s="223">
        <f t="shared" si="12"/>
        <v>3</v>
      </c>
      <c r="H126" s="599">
        <f t="shared" si="13"/>
        <v>3</v>
      </c>
      <c r="I126" s="378" t="str">
        <f>'Project-Level Data'!AT86</f>
        <v>No Response</v>
      </c>
      <c r="J126" s="379" t="str">
        <f>'Project-Level Data'!AU86</f>
        <v>No Response</v>
      </c>
      <c r="K126" s="420" t="str">
        <f t="shared" si="14"/>
        <v>NA</v>
      </c>
      <c r="L126" s="224" t="str">
        <f t="shared" si="15"/>
        <v>NA</v>
      </c>
      <c r="M126" s="597" t="str">
        <f>'Project-Level Data'!AW86</f>
        <v>No Response</v>
      </c>
      <c r="N126" s="393">
        <f>'Project-Level Data'!M86</f>
        <v>3</v>
      </c>
      <c r="O126" s="224" t="str">
        <f t="shared" si="16"/>
        <v>NA</v>
      </c>
    </row>
    <row r="127" spans="2:15" hidden="1" x14ac:dyDescent="0.25">
      <c r="B127" s="227" t="str">
        <f>'Project-Level Data'!B102</f>
        <v>Santa Maria WRP</v>
      </c>
      <c r="C127" s="606" t="str">
        <f>'Project-Level Data'!C102</f>
        <v>Recycled Water</v>
      </c>
      <c r="D127" s="603">
        <f>'Project-Level Data'!G102</f>
        <v>38</v>
      </c>
      <c r="E127" s="223">
        <f t="shared" si="11"/>
        <v>2</v>
      </c>
      <c r="F127" s="411">
        <f>'Project-Level Data'!F102</f>
        <v>11</v>
      </c>
      <c r="G127" s="223">
        <f t="shared" si="12"/>
        <v>1</v>
      </c>
      <c r="H127" s="599">
        <f t="shared" si="13"/>
        <v>1.5</v>
      </c>
      <c r="I127" s="378" t="str">
        <f>'Project-Level Data'!AT102</f>
        <v>No Response</v>
      </c>
      <c r="J127" s="379" t="str">
        <f>'Project-Level Data'!AU102</f>
        <v>No Response</v>
      </c>
      <c r="K127" s="420" t="str">
        <f t="shared" si="14"/>
        <v>NA</v>
      </c>
      <c r="L127" s="224" t="str">
        <f t="shared" si="15"/>
        <v>NA</v>
      </c>
      <c r="M127" s="597" t="str">
        <f>'Project-Level Data'!AW102</f>
        <v>No Response</v>
      </c>
      <c r="N127" s="393">
        <f>'Project-Level Data'!M102</f>
        <v>3</v>
      </c>
      <c r="O127" s="224" t="str">
        <f t="shared" si="16"/>
        <v>NA</v>
      </c>
    </row>
    <row r="128" spans="2:15" hidden="1" x14ac:dyDescent="0.25">
      <c r="B128" s="227" t="str">
        <f>'Project-Level Data'!B105</f>
        <v>Shadowridge WRP</v>
      </c>
      <c r="C128" s="606" t="str">
        <f>'Project-Level Data'!C105</f>
        <v>Recycled Water</v>
      </c>
      <c r="D128" s="603">
        <f>'Project-Level Data'!G105</f>
        <v>30</v>
      </c>
      <c r="E128" s="223">
        <f t="shared" si="11"/>
        <v>3</v>
      </c>
      <c r="F128" s="411">
        <f>'Project-Level Data'!F105</f>
        <v>42</v>
      </c>
      <c r="G128" s="223">
        <f t="shared" si="12"/>
        <v>3</v>
      </c>
      <c r="H128" s="599">
        <f t="shared" si="13"/>
        <v>3</v>
      </c>
      <c r="I128" s="378" t="str">
        <f>'Project-Level Data'!AT105</f>
        <v>No Response</v>
      </c>
      <c r="J128" s="379" t="str">
        <f>'Project-Level Data'!AU105</f>
        <v>No Response</v>
      </c>
      <c r="K128" s="420" t="str">
        <f t="shared" si="14"/>
        <v>NA</v>
      </c>
      <c r="L128" s="224" t="str">
        <f t="shared" si="15"/>
        <v>NA</v>
      </c>
      <c r="M128" s="597" t="str">
        <f>'Project-Level Data'!AW105</f>
        <v>No Response</v>
      </c>
      <c r="N128" s="393">
        <f>'Project-Level Data'!M105</f>
        <v>3</v>
      </c>
      <c r="O128" s="224" t="str">
        <f t="shared" si="16"/>
        <v>NA</v>
      </c>
    </row>
    <row r="129" spans="1:15" ht="25.5" hidden="1" x14ac:dyDescent="0.25">
      <c r="B129" s="227" t="str">
        <f>'Project-Level Data'!B118</f>
        <v>TBD - Evaluation Multiple Options/TBD - Supply/ Source Treatment Plant/Agency for recycled water</v>
      </c>
      <c r="C129" s="606" t="str">
        <f>'Project-Level Data'!C118</f>
        <v>Recycled Water</v>
      </c>
      <c r="D129" s="603">
        <f>'Project-Level Data'!G118</f>
        <v>8</v>
      </c>
      <c r="E129" s="223">
        <f t="shared" si="11"/>
        <v>5</v>
      </c>
      <c r="F129" s="411">
        <f>'Project-Level Data'!F118</f>
        <v>31</v>
      </c>
      <c r="G129" s="223">
        <f t="shared" si="12"/>
        <v>2</v>
      </c>
      <c r="H129" s="599">
        <f t="shared" si="13"/>
        <v>3</v>
      </c>
      <c r="I129" s="378">
        <f>'Project-Level Data'!AT118</f>
        <v>3</v>
      </c>
      <c r="J129" s="379" t="str">
        <f>'Project-Level Data'!AU118</f>
        <v>MISSING</v>
      </c>
      <c r="K129" s="420">
        <f t="shared" si="14"/>
        <v>3</v>
      </c>
      <c r="L129" s="224">
        <f t="shared" si="15"/>
        <v>3</v>
      </c>
      <c r="M129" s="597">
        <f>'Project-Level Data'!AW118</f>
        <v>3</v>
      </c>
      <c r="N129" s="393">
        <f>'Project-Level Data'!M118</f>
        <v>3</v>
      </c>
      <c r="O129" s="224">
        <f t="shared" si="16"/>
        <v>3</v>
      </c>
    </row>
    <row r="130" spans="1:15" hidden="1" x14ac:dyDescent="0.25">
      <c r="B130" s="227" t="str">
        <f>'Project-Level Data'!B122</f>
        <v>Village Park Recycled Water Expansion Project</v>
      </c>
      <c r="C130" s="606" t="str">
        <f>'Project-Level Data'!C122</f>
        <v>Recycled Water</v>
      </c>
      <c r="D130" s="603">
        <f>'Project-Level Data'!G122</f>
        <v>2</v>
      </c>
      <c r="E130" s="223">
        <f t="shared" si="11"/>
        <v>5</v>
      </c>
      <c r="F130" s="411">
        <f>'Project-Level Data'!F122</f>
        <v>7</v>
      </c>
      <c r="G130" s="223">
        <f t="shared" si="12"/>
        <v>1</v>
      </c>
      <c r="H130" s="599">
        <f t="shared" si="13"/>
        <v>3</v>
      </c>
      <c r="I130" s="378">
        <f>'Project-Level Data'!AT122</f>
        <v>3</v>
      </c>
      <c r="J130" s="379" t="str">
        <f>'Project-Level Data'!AU122</f>
        <v>MISSING</v>
      </c>
      <c r="K130" s="420">
        <f t="shared" si="14"/>
        <v>3</v>
      </c>
      <c r="L130" s="224">
        <f t="shared" si="15"/>
        <v>3</v>
      </c>
      <c r="M130" s="597">
        <f>'Project-Level Data'!AW122</f>
        <v>3</v>
      </c>
      <c r="N130" s="393">
        <f>'Project-Level Data'!M122</f>
        <v>3</v>
      </c>
      <c r="O130" s="224">
        <f t="shared" si="16"/>
        <v>3</v>
      </c>
    </row>
    <row r="131" spans="1:15" hidden="1" x14ac:dyDescent="0.25">
      <c r="B131" s="227" t="str">
        <f>'Project-Level Data'!B123</f>
        <v>W+157:181RP/Recycled Water Distribution System</v>
      </c>
      <c r="C131" s="606" t="str">
        <f>'Project-Level Data'!C123</f>
        <v>Recycled Water</v>
      </c>
      <c r="D131" s="603">
        <f>'Project-Level Data'!G123</f>
        <v>25</v>
      </c>
      <c r="E131" s="223">
        <f t="shared" si="11"/>
        <v>3</v>
      </c>
      <c r="F131" s="411">
        <f>'Project-Level Data'!F123</f>
        <v>32</v>
      </c>
      <c r="G131" s="223">
        <f t="shared" si="12"/>
        <v>2</v>
      </c>
      <c r="H131" s="599">
        <f t="shared" si="13"/>
        <v>2.5</v>
      </c>
      <c r="I131" s="378" t="str">
        <f>'Project-Level Data'!AT123</f>
        <v>No Response</v>
      </c>
      <c r="J131" s="379" t="str">
        <f>'Project-Level Data'!AU123</f>
        <v>No Response</v>
      </c>
      <c r="K131" s="420" t="str">
        <f t="shared" si="14"/>
        <v>NA</v>
      </c>
      <c r="L131" s="224" t="str">
        <f t="shared" si="15"/>
        <v>NA</v>
      </c>
      <c r="M131" s="597" t="str">
        <f>'Project-Level Data'!AW123</f>
        <v>No Response</v>
      </c>
      <c r="N131" s="393">
        <f>'Project-Level Data'!M123</f>
        <v>3</v>
      </c>
      <c r="O131" s="224" t="str">
        <f t="shared" si="16"/>
        <v>NA</v>
      </c>
    </row>
    <row r="132" spans="1:15" hidden="1" x14ac:dyDescent="0.25">
      <c r="B132" s="227" t="str">
        <f>'Project-Level Data'!B124</f>
        <v>Welk WRF</v>
      </c>
      <c r="C132" s="606" t="str">
        <f>'Project-Level Data'!C124</f>
        <v>Recycled Water</v>
      </c>
      <c r="D132" s="603">
        <f>'Project-Level Data'!G124</f>
        <v>15</v>
      </c>
      <c r="E132" s="223">
        <f t="shared" si="11"/>
        <v>4</v>
      </c>
      <c r="F132" s="411">
        <f>'Project-Level Data'!F124</f>
        <v>17</v>
      </c>
      <c r="G132" s="223">
        <f t="shared" si="12"/>
        <v>1</v>
      </c>
      <c r="H132" s="599">
        <f t="shared" si="13"/>
        <v>2.5</v>
      </c>
      <c r="I132" s="378" t="str">
        <f>'Project-Level Data'!AT124</f>
        <v>No Response</v>
      </c>
      <c r="J132" s="379" t="str">
        <f>'Project-Level Data'!AU124</f>
        <v>No Response</v>
      </c>
      <c r="K132" s="420" t="str">
        <f t="shared" si="14"/>
        <v>NA</v>
      </c>
      <c r="L132" s="224" t="str">
        <f t="shared" si="15"/>
        <v>NA</v>
      </c>
      <c r="M132" s="597" t="str">
        <f>'Project-Level Data'!AW124</f>
        <v>No Response</v>
      </c>
      <c r="N132" s="393">
        <f>'Project-Level Data'!M124</f>
        <v>3</v>
      </c>
      <c r="O132" s="224" t="str">
        <f t="shared" si="16"/>
        <v>NA</v>
      </c>
    </row>
    <row r="133" spans="1:15" hidden="1" x14ac:dyDescent="0.25">
      <c r="B133" s="227" t="str">
        <f>'Project-Level Data'!B125</f>
        <v>Woods Valley Ranch WRF Phase 3</v>
      </c>
      <c r="C133" s="606" t="str">
        <f>'Project-Level Data'!C125</f>
        <v>Recycled Water</v>
      </c>
      <c r="D133" s="603">
        <f>'Project-Level Data'!G125</f>
        <v>28</v>
      </c>
      <c r="E133" s="223">
        <f t="shared" si="11"/>
        <v>3</v>
      </c>
      <c r="F133" s="411">
        <f>'Project-Level Data'!F125</f>
        <v>25</v>
      </c>
      <c r="G133" s="223">
        <f t="shared" si="12"/>
        <v>1</v>
      </c>
      <c r="H133" s="599">
        <f t="shared" si="13"/>
        <v>2</v>
      </c>
      <c r="I133" s="378" t="str">
        <f>'Project-Level Data'!AT125</f>
        <v>No Response</v>
      </c>
      <c r="J133" s="379" t="str">
        <f>'Project-Level Data'!AU125</f>
        <v>No Response</v>
      </c>
      <c r="K133" s="420" t="str">
        <f t="shared" si="14"/>
        <v>NA</v>
      </c>
      <c r="L133" s="224" t="str">
        <f t="shared" si="15"/>
        <v>NA</v>
      </c>
      <c r="M133" s="597" t="str">
        <f>'Project-Level Data'!AW125</f>
        <v>No Response</v>
      </c>
      <c r="N133" s="393">
        <f>'Project-Level Data'!M125</f>
        <v>3</v>
      </c>
      <c r="O133" s="224" t="str">
        <f t="shared" si="16"/>
        <v>NA</v>
      </c>
    </row>
    <row r="134" spans="1:15" hidden="1" x14ac:dyDescent="0.25">
      <c r="B134" s="227" t="str">
        <f>'Project-Level Data'!B15</f>
        <v>Camp Pendleton Desalination Facility</v>
      </c>
      <c r="C134" s="606" t="str">
        <f>'Project-Level Data'!C15</f>
        <v>Seawater Desalination</v>
      </c>
      <c r="D134" s="603">
        <f>'Project-Level Data'!G15</f>
        <v>24</v>
      </c>
      <c r="E134" s="223">
        <f t="shared" si="11"/>
        <v>3</v>
      </c>
      <c r="F134" s="411">
        <f>'Project-Level Data'!F15</f>
        <v>93</v>
      </c>
      <c r="G134" s="223">
        <f t="shared" si="12"/>
        <v>1</v>
      </c>
      <c r="H134" s="599">
        <f t="shared" si="13"/>
        <v>2</v>
      </c>
      <c r="I134" s="378" t="str">
        <f>'Project-Level Data'!AT15</f>
        <v>MISSING</v>
      </c>
      <c r="J134" s="379">
        <f>'Project-Level Data'!AU15</f>
        <v>2</v>
      </c>
      <c r="K134" s="420" t="str">
        <f t="shared" si="14"/>
        <v>NA</v>
      </c>
      <c r="L134" s="224" t="str">
        <f t="shared" si="15"/>
        <v>NA</v>
      </c>
      <c r="M134" s="597">
        <f>'Project-Level Data'!AW15</f>
        <v>3</v>
      </c>
      <c r="N134" s="393">
        <f>'Project-Level Data'!M15</f>
        <v>3</v>
      </c>
      <c r="O134" s="224">
        <f t="shared" si="16"/>
        <v>3</v>
      </c>
    </row>
    <row r="135" spans="1:15" hidden="1" x14ac:dyDescent="0.25">
      <c r="B135" s="227" t="str">
        <f>'Project-Level Data'!B83</f>
        <v>Re-rating of Carlsbad Desalination for higher flow</v>
      </c>
      <c r="C135" s="606" t="str">
        <f>'Project-Level Data'!C83</f>
        <v>Seawater Desalination</v>
      </c>
      <c r="D135" s="603">
        <f>'Project-Level Data'!G83</f>
        <v>4</v>
      </c>
      <c r="E135" s="223">
        <f t="shared" si="11"/>
        <v>5</v>
      </c>
      <c r="F135" s="411">
        <f>'Project-Level Data'!F83</f>
        <v>82</v>
      </c>
      <c r="G135" s="223">
        <f t="shared" si="12"/>
        <v>1</v>
      </c>
      <c r="H135" s="599">
        <f t="shared" si="13"/>
        <v>3</v>
      </c>
      <c r="I135" s="378" t="str">
        <f>'Project-Level Data'!AT83</f>
        <v>No Response</v>
      </c>
      <c r="J135" s="379" t="str">
        <f>'Project-Level Data'!AU83</f>
        <v>No Response</v>
      </c>
      <c r="K135" s="420" t="str">
        <f t="shared" si="14"/>
        <v>NA</v>
      </c>
      <c r="L135" s="224" t="str">
        <f t="shared" si="15"/>
        <v>NA</v>
      </c>
      <c r="M135" s="597" t="str">
        <f>'Project-Level Data'!AW83</f>
        <v>No Response</v>
      </c>
      <c r="N135" s="393">
        <f>'Project-Level Data'!M83</f>
        <v>3</v>
      </c>
      <c r="O135" s="224" t="str">
        <f t="shared" si="16"/>
        <v>NA</v>
      </c>
    </row>
    <row r="136" spans="1:15" hidden="1" x14ac:dyDescent="0.25">
      <c r="B136" s="227" t="str">
        <f>'Project-Level Data'!B85</f>
        <v>Rosarito Beach Desalination</v>
      </c>
      <c r="C136" s="606" t="str">
        <f>'Project-Level Data'!C85</f>
        <v>Seawater Desalination</v>
      </c>
      <c r="D136" s="603" t="str">
        <f>'Project-Level Data'!G85</f>
        <v>NOT MAPPED</v>
      </c>
      <c r="E136" s="223" t="str">
        <f t="shared" si="11"/>
        <v>NA</v>
      </c>
      <c r="F136" s="411" t="str">
        <f>'Project-Level Data'!F85</f>
        <v>NOT MAPPED</v>
      </c>
      <c r="G136" s="223" t="str">
        <f t="shared" si="12"/>
        <v>NA</v>
      </c>
      <c r="H136" s="599" t="str">
        <f t="shared" si="13"/>
        <v>NA</v>
      </c>
      <c r="I136" s="378">
        <f>'Project-Level Data'!AT85</f>
        <v>3</v>
      </c>
      <c r="J136" s="379">
        <f>'Project-Level Data'!AU85</f>
        <v>3</v>
      </c>
      <c r="K136" s="420">
        <f t="shared" si="14"/>
        <v>3</v>
      </c>
      <c r="L136" s="224" t="str">
        <f t="shared" si="15"/>
        <v>NA</v>
      </c>
      <c r="M136" s="597">
        <f>'Project-Level Data'!AW85</f>
        <v>3</v>
      </c>
      <c r="N136" s="393" t="str">
        <f>'Project-Level Data'!M85</f>
        <v>NOT MAPPED</v>
      </c>
      <c r="O136" s="224">
        <f t="shared" si="16"/>
        <v>3</v>
      </c>
    </row>
    <row r="137" spans="1:15" ht="38.25" hidden="1" x14ac:dyDescent="0.25">
      <c r="A137" s="14"/>
      <c r="B137" s="227" t="str">
        <f>'Project-Level Data'!B9</f>
        <v>Alternative Compliance Retrofit Project El Norte Parkway and Rincon
Villa Drive, Escondido</v>
      </c>
      <c r="C137" s="606" t="str">
        <f>'Project-Level Data'!C9</f>
        <v>Stormwater BMPs</v>
      </c>
      <c r="D137" s="603">
        <f>'Project-Level Data'!G9</f>
        <v>33</v>
      </c>
      <c r="E137" s="223">
        <f t="shared" ref="E137:E168" si="17">IF(D137&lt;=D$67,5,IF(D137&lt;=D$68,4, IF(D137&lt;=D$69,3, IF(D137&lt;=D$70,2, IF(D137&lt;=D$71,1, "NA")))))</f>
        <v>2</v>
      </c>
      <c r="F137" s="411">
        <f>'Project-Level Data'!F9</f>
        <v>18</v>
      </c>
      <c r="G137" s="223">
        <f t="shared" ref="G137:G168" si="18">IF(F137&lt;=F$67,1,IF(F137&lt;=F$68,2, IF(F137&lt;=F$69,3, IF(F137&lt;=F$70,2, IF(F137&lt;=F$71,1, "NA")))))</f>
        <v>1</v>
      </c>
      <c r="H137" s="599">
        <f t="shared" ref="H137:H168" si="19">IF(E137="NA","NA",IF(AND(E137=1,G137=1),1,IF(AND(E137=1,G137=2),1.5,IF(AND(E137=1,G137=3),2,IF(AND(E137=2,G137=1),1.5,IF(AND(E137=2,G137=2),2,IF(AND(E137=2,G137=3),2.5,IF(AND(E137=3,G137=1),2,IF(AND(E137=3,G137=2),2.5,IF(AND(E137=3,G137=3),3,IF(AND(E137=4,G137=1),2.5,IF(AND(E137=4,G137=2),3,IF(AND(E137=4,G137=3),3,IF(E137=5,3))))))))))))))</f>
        <v>1.5</v>
      </c>
      <c r="I137" s="378" t="str">
        <f>'Project-Level Data'!AT9</f>
        <v>No Response</v>
      </c>
      <c r="J137" s="379" t="str">
        <f>'Project-Level Data'!AU9</f>
        <v>No Response</v>
      </c>
      <c r="K137" s="420" t="str">
        <f t="shared" ref="K137:K168" si="20">IF(AND(I137=1,J137=5),1,IF(AND(I137=1,J137=4),1,IF(AND(I137=1,J137=3),2,IF(AND(I137=1,J137=2),2,IF(AND(I137=1,J137=1),2,IF(AND(I137=5,J137=1),4,IF(AND(I137=5,J137=2),4,IF(AND(I137=5,J137=3),4,IF(AND(I137=5,J137=4),5,IF(AND(I137=5,J137=5),5,IF(I137=3,3,"NA")))))))))))</f>
        <v>NA</v>
      </c>
      <c r="L137" s="224" t="str">
        <f t="shared" ref="L137:L168" si="21">IF(OR(K137="NA", H137="NA"), "NA",IF(AND(K137=1,H137=1),1,IF(AND(K137=1,H137=1.5),1.5,IF(AND(K137=1,H137=2),2,IF(AND(K137=1,H137=2.5),2.5,IF(AND(K137=1,H137=3),3,IF(AND(K137=2,H137=1),2,IF(AND(K137=2,H137=1.5),2.25,IF(AND(K137=2,H137=2),2.5,IF(AND(K137=2,H137=2.5),2.75,IF(AND(K137=2,H137=3),3,IF(AND(K137=3),3,IF(AND(K137=4,H137=1),4,IF(AND(K137=4,H137=1.5),3.75,IF(AND(K137=4,H137=2),3.5,IF(AND(K137=4,H137=2.5),3.25,IF(AND(K137=4,H137=3),3,IF(AND(K137=5,H137=1),5,IF(AND(K137=5,H137=1.5),4.5,IF(AND(K137=5,H137=2),4,IF(AND(K137=5,H137=2.5),3.5,IF(AND(K137=5,H137=3),3))))))))))))))))))))))</f>
        <v>NA</v>
      </c>
      <c r="M137" s="597" t="str">
        <f>'Project-Level Data'!AW9</f>
        <v>No Response</v>
      </c>
      <c r="N137" s="393">
        <f>'Project-Level Data'!M9</f>
        <v>3</v>
      </c>
      <c r="O137" s="224" t="str">
        <f t="shared" ref="O137:O168" si="22">IF(AND(M137=1,N137=1), 1, IF(AND(M137=1,N137=2),2, IF(M137=3,3,IF(AND(M137=5,N137=2),4, IF(AND(M137=5,N137=1),5, "NA")))))</f>
        <v>NA</v>
      </c>
    </row>
    <row r="138" spans="1:15" ht="25.5" hidden="1" x14ac:dyDescent="0.25">
      <c r="B138" s="227" t="str">
        <f>'Project-Level Data'!B10</f>
        <v>Alternative Compliance Retrofit Project Mountain View Park, Escondido</v>
      </c>
      <c r="C138" s="606" t="str">
        <f>'Project-Level Data'!C10</f>
        <v>Stormwater BMPs</v>
      </c>
      <c r="D138" s="603">
        <f>'Project-Level Data'!G10</f>
        <v>17</v>
      </c>
      <c r="E138" s="223">
        <f t="shared" si="17"/>
        <v>4</v>
      </c>
      <c r="F138" s="411">
        <f>'Project-Level Data'!F10</f>
        <v>49</v>
      </c>
      <c r="G138" s="223">
        <f t="shared" si="18"/>
        <v>3</v>
      </c>
      <c r="H138" s="599">
        <f t="shared" si="19"/>
        <v>3</v>
      </c>
      <c r="I138" s="378" t="str">
        <f>'Project-Level Data'!AT10</f>
        <v>No Response</v>
      </c>
      <c r="J138" s="379" t="str">
        <f>'Project-Level Data'!AU10</f>
        <v>No Response</v>
      </c>
      <c r="K138" s="420" t="str">
        <f t="shared" si="20"/>
        <v>NA</v>
      </c>
      <c r="L138" s="224" t="str">
        <f t="shared" si="21"/>
        <v>NA</v>
      </c>
      <c r="M138" s="597" t="str">
        <f>'Project-Level Data'!AW10</f>
        <v>No Response</v>
      </c>
      <c r="N138" s="393">
        <f>'Project-Level Data'!M10</f>
        <v>3</v>
      </c>
      <c r="O138" s="224" t="str">
        <f t="shared" si="22"/>
        <v>NA</v>
      </c>
    </row>
    <row r="139" spans="1:15" hidden="1" x14ac:dyDescent="0.25">
      <c r="B139" s="227" t="str">
        <f>'Project-Level Data'!B11</f>
        <v>Bakersfield Street and San Altos Channel Restoration</v>
      </c>
      <c r="C139" s="606" t="str">
        <f>'Project-Level Data'!C11</f>
        <v>Stormwater BMPs</v>
      </c>
      <c r="D139" s="603">
        <f>'Project-Level Data'!G11</f>
        <v>65</v>
      </c>
      <c r="E139" s="223">
        <f t="shared" si="17"/>
        <v>1</v>
      </c>
      <c r="F139" s="411">
        <f>'Project-Level Data'!F11</f>
        <v>12</v>
      </c>
      <c r="G139" s="223">
        <f t="shared" si="18"/>
        <v>1</v>
      </c>
      <c r="H139" s="599">
        <f t="shared" si="19"/>
        <v>1</v>
      </c>
      <c r="I139" s="378">
        <f>'Project-Level Data'!AT11</f>
        <v>5</v>
      </c>
      <c r="J139" s="379">
        <f>'Project-Level Data'!AU11</f>
        <v>3</v>
      </c>
      <c r="K139" s="420">
        <f t="shared" si="20"/>
        <v>4</v>
      </c>
      <c r="L139" s="224">
        <f t="shared" si="21"/>
        <v>4</v>
      </c>
      <c r="M139" s="597">
        <f>'Project-Level Data'!AW11</f>
        <v>5</v>
      </c>
      <c r="N139" s="393">
        <f>'Project-Level Data'!M11</f>
        <v>3</v>
      </c>
      <c r="O139" s="224" t="str">
        <f t="shared" si="22"/>
        <v>NA</v>
      </c>
    </row>
    <row r="140" spans="1:15" ht="38.25" hidden="1" x14ac:dyDescent="0.25">
      <c r="B140" s="227" t="str">
        <f>'Project-Level Data'!B12</f>
        <v>Broadway Channel Flood Risk Reduction and Water Quality
Improvements</v>
      </c>
      <c r="C140" s="606" t="str">
        <f>'Project-Level Data'!C12</f>
        <v>Stormwater BMPs</v>
      </c>
      <c r="D140" s="603">
        <f>'Project-Level Data'!G12</f>
        <v>65</v>
      </c>
      <c r="E140" s="223">
        <f t="shared" si="17"/>
        <v>1</v>
      </c>
      <c r="F140" s="411">
        <f>'Project-Level Data'!F12</f>
        <v>58</v>
      </c>
      <c r="G140" s="223">
        <f t="shared" si="18"/>
        <v>2</v>
      </c>
      <c r="H140" s="599">
        <f t="shared" si="19"/>
        <v>1.5</v>
      </c>
      <c r="I140" s="378">
        <f>'Project-Level Data'!AT12</f>
        <v>5</v>
      </c>
      <c r="J140" s="379">
        <f>'Project-Level Data'!AU12</f>
        <v>2</v>
      </c>
      <c r="K140" s="420">
        <f t="shared" si="20"/>
        <v>4</v>
      </c>
      <c r="L140" s="224">
        <f t="shared" si="21"/>
        <v>3.75</v>
      </c>
      <c r="M140" s="597" t="str">
        <f>'Project-Level Data'!AW12</f>
        <v>MISSING</v>
      </c>
      <c r="N140" s="393">
        <f>'Project-Level Data'!M12</f>
        <v>2</v>
      </c>
      <c r="O140" s="224" t="str">
        <f t="shared" si="22"/>
        <v>NA</v>
      </c>
    </row>
    <row r="141" spans="1:15" hidden="1" x14ac:dyDescent="0.25">
      <c r="B141" s="227" t="str">
        <f>'Project-Level Data'!B20</f>
        <v>City of Oceanside Loma Alta Slough Restoration Project</v>
      </c>
      <c r="C141" s="606" t="str">
        <f>'Project-Level Data'!C20</f>
        <v>Stormwater BMPs</v>
      </c>
      <c r="D141" s="603">
        <f>'Project-Level Data'!G20</f>
        <v>37</v>
      </c>
      <c r="E141" s="223">
        <f t="shared" si="17"/>
        <v>2</v>
      </c>
      <c r="F141" s="411">
        <f>'Project-Level Data'!F20</f>
        <v>56</v>
      </c>
      <c r="G141" s="223">
        <f t="shared" si="18"/>
        <v>2</v>
      </c>
      <c r="H141" s="599">
        <f t="shared" si="19"/>
        <v>2</v>
      </c>
      <c r="I141" s="378" t="str">
        <f>'Project-Level Data'!AT20</f>
        <v>No Response</v>
      </c>
      <c r="J141" s="379" t="str">
        <f>'Project-Level Data'!AU20</f>
        <v>No Response</v>
      </c>
      <c r="K141" s="420" t="str">
        <f t="shared" si="20"/>
        <v>NA</v>
      </c>
      <c r="L141" s="224" t="str">
        <f t="shared" si="21"/>
        <v>NA</v>
      </c>
      <c r="M141" s="597" t="str">
        <f>'Project-Level Data'!AW20</f>
        <v>No Response</v>
      </c>
      <c r="N141" s="393">
        <f>'Project-Level Data'!M20</f>
        <v>3</v>
      </c>
      <c r="O141" s="224" t="str">
        <f t="shared" si="22"/>
        <v>NA</v>
      </c>
    </row>
    <row r="142" spans="1:15" hidden="1" x14ac:dyDescent="0.25">
      <c r="B142" s="227" t="str">
        <f>'Project-Level Data'!B32</f>
        <v>Golden Ave Green Street</v>
      </c>
      <c r="C142" s="606" t="str">
        <f>'Project-Level Data'!C32</f>
        <v>Stormwater BMPs</v>
      </c>
      <c r="D142" s="603">
        <f>'Project-Level Data'!G32</f>
        <v>58</v>
      </c>
      <c r="E142" s="223">
        <f t="shared" si="17"/>
        <v>2</v>
      </c>
      <c r="F142" s="411">
        <f>'Project-Level Data'!F32</f>
        <v>31</v>
      </c>
      <c r="G142" s="223">
        <f t="shared" si="18"/>
        <v>2</v>
      </c>
      <c r="H142" s="599">
        <f t="shared" si="19"/>
        <v>2</v>
      </c>
      <c r="I142" s="378">
        <f>'Project-Level Data'!AT32</f>
        <v>5</v>
      </c>
      <c r="J142" s="379">
        <f>'Project-Level Data'!AU32</f>
        <v>1</v>
      </c>
      <c r="K142" s="420">
        <f t="shared" si="20"/>
        <v>4</v>
      </c>
      <c r="L142" s="224">
        <f t="shared" si="21"/>
        <v>3.5</v>
      </c>
      <c r="M142" s="597">
        <f>'Project-Level Data'!AW32</f>
        <v>5</v>
      </c>
      <c r="N142" s="393">
        <f>'Project-Level Data'!M32</f>
        <v>3</v>
      </c>
      <c r="O142" s="224" t="str">
        <f t="shared" si="22"/>
        <v>NA</v>
      </c>
    </row>
    <row r="143" spans="1:15" hidden="1" x14ac:dyDescent="0.25">
      <c r="B143" s="227" t="str">
        <f>'Project-Level Data'!B39</f>
        <v>Las Colinas Channel Improvments</v>
      </c>
      <c r="C143" s="606" t="str">
        <f>'Project-Level Data'!C39</f>
        <v>Stormwater BMPs</v>
      </c>
      <c r="D143" s="603">
        <f>'Project-Level Data'!G39</f>
        <v>30</v>
      </c>
      <c r="E143" s="223">
        <f t="shared" si="17"/>
        <v>3</v>
      </c>
      <c r="F143" s="411">
        <f>'Project-Level Data'!F39</f>
        <v>43</v>
      </c>
      <c r="G143" s="223">
        <f t="shared" si="18"/>
        <v>3</v>
      </c>
      <c r="H143" s="599">
        <f t="shared" si="19"/>
        <v>3</v>
      </c>
      <c r="I143" s="378">
        <f>'Project-Level Data'!AT39</f>
        <v>5</v>
      </c>
      <c r="J143" s="379">
        <f>'Project-Level Data'!AU39</f>
        <v>3</v>
      </c>
      <c r="K143" s="420">
        <f t="shared" si="20"/>
        <v>4</v>
      </c>
      <c r="L143" s="224">
        <f t="shared" si="21"/>
        <v>3</v>
      </c>
      <c r="M143" s="597">
        <f>'Project-Level Data'!AW39</f>
        <v>3</v>
      </c>
      <c r="N143" s="393">
        <f>'Project-Level Data'!M39</f>
        <v>3</v>
      </c>
      <c r="O143" s="224">
        <f t="shared" si="22"/>
        <v>3</v>
      </c>
    </row>
    <row r="144" spans="1:15" hidden="1" x14ac:dyDescent="0.25">
      <c r="B144" s="227" t="str">
        <f>'Project-Level Data'!B40</f>
        <v>Lemon Grove Avenue Green Streets</v>
      </c>
      <c r="C144" s="606" t="str">
        <f>'Project-Level Data'!C40</f>
        <v>Stormwater BMPs</v>
      </c>
      <c r="D144" s="603">
        <f>'Project-Level Data'!G40</f>
        <v>58</v>
      </c>
      <c r="E144" s="223">
        <f t="shared" si="17"/>
        <v>2</v>
      </c>
      <c r="F144" s="411">
        <f>'Project-Level Data'!F40</f>
        <v>31</v>
      </c>
      <c r="G144" s="223">
        <f t="shared" si="18"/>
        <v>2</v>
      </c>
      <c r="H144" s="599">
        <f t="shared" si="19"/>
        <v>2</v>
      </c>
      <c r="I144" s="378">
        <f>'Project-Level Data'!AT40</f>
        <v>5</v>
      </c>
      <c r="J144" s="379">
        <f>'Project-Level Data'!AU40</f>
        <v>1</v>
      </c>
      <c r="K144" s="420">
        <f t="shared" si="20"/>
        <v>4</v>
      </c>
      <c r="L144" s="224">
        <f t="shared" si="21"/>
        <v>3.5</v>
      </c>
      <c r="M144" s="597">
        <f>'Project-Level Data'!AW40</f>
        <v>5</v>
      </c>
      <c r="N144" s="393">
        <f>'Project-Level Data'!M40</f>
        <v>3</v>
      </c>
      <c r="O144" s="224" t="str">
        <f t="shared" si="22"/>
        <v>NA</v>
      </c>
    </row>
    <row r="145" spans="2:15" ht="25.5" hidden="1" x14ac:dyDescent="0.25">
      <c r="B145" s="227" t="str">
        <f>'Project-Level Data'!B41</f>
        <v>Leucadia Roadside Park Stormwater Capture/Reuse Project</v>
      </c>
      <c r="C145" s="606" t="str">
        <f>'Project-Level Data'!C41</f>
        <v>Stormwater BMPs</v>
      </c>
      <c r="D145" s="603">
        <f>'Project-Level Data'!G41</f>
        <v>16</v>
      </c>
      <c r="E145" s="223">
        <f t="shared" si="17"/>
        <v>4</v>
      </c>
      <c r="F145" s="411">
        <f>'Project-Level Data'!F41</f>
        <v>23</v>
      </c>
      <c r="G145" s="223">
        <f t="shared" si="18"/>
        <v>1</v>
      </c>
      <c r="H145" s="599">
        <f t="shared" si="19"/>
        <v>2.5</v>
      </c>
      <c r="I145" s="378">
        <f>'Project-Level Data'!AT41</f>
        <v>5</v>
      </c>
      <c r="J145" s="379">
        <f>'Project-Level Data'!AU41</f>
        <v>2</v>
      </c>
      <c r="K145" s="420">
        <f t="shared" si="20"/>
        <v>4</v>
      </c>
      <c r="L145" s="224">
        <f t="shared" si="21"/>
        <v>3.25</v>
      </c>
      <c r="M145" s="597">
        <f>'Project-Level Data'!AW41</f>
        <v>3</v>
      </c>
      <c r="N145" s="393">
        <f>'Project-Level Data'!M41</f>
        <v>3</v>
      </c>
      <c r="O145" s="224">
        <f t="shared" si="22"/>
        <v>3</v>
      </c>
    </row>
    <row r="146" spans="2:15" hidden="1" x14ac:dyDescent="0.25">
      <c r="B146" s="227" t="str">
        <f>'Project-Level Data'!B43</f>
        <v>Lincoln St Green Street</v>
      </c>
      <c r="C146" s="606" t="str">
        <f>'Project-Level Data'!C43</f>
        <v>Stormwater BMPs</v>
      </c>
      <c r="D146" s="603">
        <f>'Project-Level Data'!G43</f>
        <v>58</v>
      </c>
      <c r="E146" s="223">
        <f t="shared" si="17"/>
        <v>2</v>
      </c>
      <c r="F146" s="411">
        <f>'Project-Level Data'!F43</f>
        <v>31</v>
      </c>
      <c r="G146" s="223">
        <f t="shared" si="18"/>
        <v>2</v>
      </c>
      <c r="H146" s="599">
        <f t="shared" si="19"/>
        <v>2</v>
      </c>
      <c r="I146" s="378">
        <f>'Project-Level Data'!AT43</f>
        <v>5</v>
      </c>
      <c r="J146" s="379">
        <f>'Project-Level Data'!AU43</f>
        <v>1</v>
      </c>
      <c r="K146" s="420">
        <f t="shared" si="20"/>
        <v>4</v>
      </c>
      <c r="L146" s="224">
        <f t="shared" si="21"/>
        <v>3.5</v>
      </c>
      <c r="M146" s="597">
        <f>'Project-Level Data'!AW43</f>
        <v>5</v>
      </c>
      <c r="N146" s="393">
        <f>'Project-Level Data'!M43</f>
        <v>3</v>
      </c>
      <c r="O146" s="224" t="str">
        <f t="shared" si="22"/>
        <v>NA</v>
      </c>
    </row>
    <row r="147" spans="2:15" ht="25.5" hidden="1" x14ac:dyDescent="0.25">
      <c r="B147" s="227" t="str">
        <f>'Project-Level Data'!B44</f>
        <v xml:space="preserve">Low Impact Development Urban Runoff Control Projects for the Tijuana Estuary </v>
      </c>
      <c r="C147" s="606" t="str">
        <f>'Project-Level Data'!C44</f>
        <v>Stormwater BMPs</v>
      </c>
      <c r="D147" s="603">
        <f>'Project-Level Data'!G44</f>
        <v>46</v>
      </c>
      <c r="E147" s="223">
        <f t="shared" si="17"/>
        <v>2</v>
      </c>
      <c r="F147" s="411">
        <f>'Project-Level Data'!F44</f>
        <v>43</v>
      </c>
      <c r="G147" s="223">
        <f t="shared" si="18"/>
        <v>3</v>
      </c>
      <c r="H147" s="599">
        <f t="shared" si="19"/>
        <v>2.5</v>
      </c>
      <c r="I147" s="378">
        <f>'Project-Level Data'!AT44</f>
        <v>5</v>
      </c>
      <c r="J147" s="379">
        <f>'Project-Level Data'!AU44</f>
        <v>1</v>
      </c>
      <c r="K147" s="420">
        <f t="shared" si="20"/>
        <v>4</v>
      </c>
      <c r="L147" s="224">
        <f t="shared" si="21"/>
        <v>3.25</v>
      </c>
      <c r="M147" s="597">
        <f>'Project-Level Data'!AW44</f>
        <v>5</v>
      </c>
      <c r="N147" s="393">
        <f>'Project-Level Data'!M44</f>
        <v>3</v>
      </c>
      <c r="O147" s="224" t="str">
        <f t="shared" si="22"/>
        <v>NA</v>
      </c>
    </row>
    <row r="148" spans="2:15" hidden="1" x14ac:dyDescent="0.25">
      <c r="B148" s="227" t="str">
        <f>'Project-Level Data'!B46</f>
        <v>Madera St Green Street</v>
      </c>
      <c r="C148" s="606" t="str">
        <f>'Project-Level Data'!C46</f>
        <v>Stormwater BMPs</v>
      </c>
      <c r="D148" s="603">
        <f>'Project-Level Data'!G46</f>
        <v>60</v>
      </c>
      <c r="E148" s="223">
        <f t="shared" si="17"/>
        <v>1</v>
      </c>
      <c r="F148" s="411">
        <f>'Project-Level Data'!F46</f>
        <v>26</v>
      </c>
      <c r="G148" s="223">
        <f t="shared" si="18"/>
        <v>2</v>
      </c>
      <c r="H148" s="599">
        <f t="shared" si="19"/>
        <v>1.5</v>
      </c>
      <c r="I148" s="378">
        <f>'Project-Level Data'!AT46</f>
        <v>5</v>
      </c>
      <c r="J148" s="379">
        <f>'Project-Level Data'!AU46</f>
        <v>1</v>
      </c>
      <c r="K148" s="420">
        <f t="shared" si="20"/>
        <v>4</v>
      </c>
      <c r="L148" s="224">
        <f t="shared" si="21"/>
        <v>3.75</v>
      </c>
      <c r="M148" s="597">
        <f>'Project-Level Data'!AW46</f>
        <v>5</v>
      </c>
      <c r="N148" s="393">
        <f>'Project-Level Data'!M46</f>
        <v>3</v>
      </c>
      <c r="O148" s="224" t="str">
        <f t="shared" si="22"/>
        <v>NA</v>
      </c>
    </row>
    <row r="149" spans="2:15" hidden="1" x14ac:dyDescent="0.25">
      <c r="B149" s="227" t="str">
        <f>'Project-Level Data'!B47</f>
        <v>Main Street Promenade Extension</v>
      </c>
      <c r="C149" s="606" t="str">
        <f>'Project-Level Data'!C47</f>
        <v>Stormwater BMPs</v>
      </c>
      <c r="D149" s="603">
        <f>'Project-Level Data'!G47</f>
        <v>60</v>
      </c>
      <c r="E149" s="223">
        <f t="shared" si="17"/>
        <v>1</v>
      </c>
      <c r="F149" s="411">
        <f>'Project-Level Data'!F47</f>
        <v>26</v>
      </c>
      <c r="G149" s="223">
        <f t="shared" si="18"/>
        <v>2</v>
      </c>
      <c r="H149" s="599">
        <f t="shared" si="19"/>
        <v>1.5</v>
      </c>
      <c r="I149" s="378">
        <f>'Project-Level Data'!AT47</f>
        <v>5</v>
      </c>
      <c r="J149" s="379">
        <f>'Project-Level Data'!AU47</f>
        <v>1</v>
      </c>
      <c r="K149" s="420">
        <f t="shared" si="20"/>
        <v>4</v>
      </c>
      <c r="L149" s="224">
        <f t="shared" si="21"/>
        <v>3.75</v>
      </c>
      <c r="M149" s="597">
        <f>'Project-Level Data'!AW47</f>
        <v>5</v>
      </c>
      <c r="N149" s="393">
        <f>'Project-Level Data'!M47</f>
        <v>3</v>
      </c>
      <c r="O149" s="224" t="str">
        <f t="shared" si="22"/>
        <v>NA</v>
      </c>
    </row>
    <row r="150" spans="2:15" ht="25.5" hidden="1" x14ac:dyDescent="0.25">
      <c r="B150" s="227" t="str">
        <f>'Project-Level Data'!B48</f>
        <v>Mapleview Street ‐ Green Infrastructure and Stormwater QualityImprovement Project</v>
      </c>
      <c r="C150" s="606" t="str">
        <f>'Project-Level Data'!C48</f>
        <v>Stormwater BMPs</v>
      </c>
      <c r="D150" s="603">
        <f>'Project-Level Data'!G48</f>
        <v>61</v>
      </c>
      <c r="E150" s="223">
        <f t="shared" si="17"/>
        <v>1</v>
      </c>
      <c r="F150" s="411">
        <f>'Project-Level Data'!F48</f>
        <v>33</v>
      </c>
      <c r="G150" s="223">
        <f t="shared" si="18"/>
        <v>3</v>
      </c>
      <c r="H150" s="599">
        <f t="shared" si="19"/>
        <v>2</v>
      </c>
      <c r="I150" s="378">
        <f>'Project-Level Data'!AT48</f>
        <v>1</v>
      </c>
      <c r="J150" s="379">
        <f>'Project-Level Data'!AU48</f>
        <v>1</v>
      </c>
      <c r="K150" s="420">
        <f t="shared" si="20"/>
        <v>2</v>
      </c>
      <c r="L150" s="224">
        <f t="shared" si="21"/>
        <v>2.5</v>
      </c>
      <c r="M150" s="597" t="str">
        <f>'Project-Level Data'!AW48</f>
        <v>MISSING</v>
      </c>
      <c r="N150" s="393">
        <f>'Project-Level Data'!M48</f>
        <v>2</v>
      </c>
      <c r="O150" s="224" t="str">
        <f t="shared" si="22"/>
        <v>NA</v>
      </c>
    </row>
    <row r="151" spans="2:15" ht="25.5" hidden="1" x14ac:dyDescent="0.25">
      <c r="B151" s="227" t="str">
        <f>'Project-Level Data'!B71</f>
        <v>Paradise Valley Creek Water Quality and Community Enhancement</v>
      </c>
      <c r="C151" s="606" t="str">
        <f>'Project-Level Data'!C71</f>
        <v>Stormwater BMPs</v>
      </c>
      <c r="D151" s="603">
        <f>'Project-Level Data'!G71</f>
        <v>70</v>
      </c>
      <c r="E151" s="223">
        <f t="shared" si="17"/>
        <v>1</v>
      </c>
      <c r="F151" s="411">
        <f>'Project-Level Data'!F71</f>
        <v>33</v>
      </c>
      <c r="G151" s="223">
        <f t="shared" si="18"/>
        <v>3</v>
      </c>
      <c r="H151" s="599">
        <f t="shared" si="19"/>
        <v>2</v>
      </c>
      <c r="I151" s="378">
        <f>'Project-Level Data'!AT71</f>
        <v>5</v>
      </c>
      <c r="J151" s="379">
        <f>'Project-Level Data'!AU71</f>
        <v>4</v>
      </c>
      <c r="K151" s="420">
        <f t="shared" si="20"/>
        <v>5</v>
      </c>
      <c r="L151" s="224">
        <f t="shared" si="21"/>
        <v>4</v>
      </c>
      <c r="M151" s="597">
        <f>'Project-Level Data'!AW71</f>
        <v>5</v>
      </c>
      <c r="N151" s="393">
        <f>'Project-Level Data'!M71</f>
        <v>3</v>
      </c>
      <c r="O151" s="224" t="str">
        <f t="shared" si="22"/>
        <v>NA</v>
      </c>
    </row>
    <row r="152" spans="2:15" ht="25.5" hidden="1" x14ac:dyDescent="0.25">
      <c r="B152" s="227" t="str">
        <f>'Project-Level Data'!B74</f>
        <v>Pure Water - Los Penasquitos Creek Urban Dry-Weather Water Harvesting</v>
      </c>
      <c r="C152" s="606" t="str">
        <f>'Project-Level Data'!C74</f>
        <v>Stormwater BMPs</v>
      </c>
      <c r="D152" s="603">
        <f>'Project-Level Data'!G74</f>
        <v>6</v>
      </c>
      <c r="E152" s="223">
        <f t="shared" si="17"/>
        <v>5</v>
      </c>
      <c r="F152" s="411">
        <f>'Project-Level Data'!F74</f>
        <v>30</v>
      </c>
      <c r="G152" s="223">
        <f t="shared" si="18"/>
        <v>2</v>
      </c>
      <c r="H152" s="599">
        <f t="shared" si="19"/>
        <v>3</v>
      </c>
      <c r="I152" s="378">
        <f>'Project-Level Data'!AT74</f>
        <v>5</v>
      </c>
      <c r="J152" s="379">
        <f>'Project-Level Data'!AU74</f>
        <v>4</v>
      </c>
      <c r="K152" s="420">
        <f t="shared" si="20"/>
        <v>5</v>
      </c>
      <c r="L152" s="224">
        <f t="shared" si="21"/>
        <v>3</v>
      </c>
      <c r="M152" s="597">
        <f>'Project-Level Data'!AW74</f>
        <v>3</v>
      </c>
      <c r="N152" s="393">
        <f>'Project-Level Data'!M74</f>
        <v>3</v>
      </c>
      <c r="O152" s="224">
        <f t="shared" si="22"/>
        <v>3</v>
      </c>
    </row>
    <row r="153" spans="2:15" hidden="1" x14ac:dyDescent="0.25">
      <c r="B153" s="227" t="str">
        <f>'Project-Level Data'!B87</f>
        <v>Safari Park Storm Water Capture and Reuse Project</v>
      </c>
      <c r="C153" s="606" t="str">
        <f>'Project-Level Data'!C87</f>
        <v>Stormwater BMPs</v>
      </c>
      <c r="D153" s="603">
        <f>'Project-Level Data'!G87</f>
        <v>17</v>
      </c>
      <c r="E153" s="223">
        <f t="shared" si="17"/>
        <v>4</v>
      </c>
      <c r="F153" s="411">
        <f>'Project-Level Data'!F87</f>
        <v>49</v>
      </c>
      <c r="G153" s="223">
        <f t="shared" si="18"/>
        <v>3</v>
      </c>
      <c r="H153" s="599">
        <f t="shared" si="19"/>
        <v>3</v>
      </c>
      <c r="I153" s="378" t="str">
        <f>'Project-Level Data'!AT87</f>
        <v>No Response</v>
      </c>
      <c r="J153" s="379" t="str">
        <f>'Project-Level Data'!AU87</f>
        <v>No Response</v>
      </c>
      <c r="K153" s="420" t="str">
        <f t="shared" si="20"/>
        <v>NA</v>
      </c>
      <c r="L153" s="224" t="str">
        <f t="shared" si="21"/>
        <v>NA</v>
      </c>
      <c r="M153" s="597" t="str">
        <f>'Project-Level Data'!AW87</f>
        <v>No Response</v>
      </c>
      <c r="N153" s="393">
        <f>'Project-Level Data'!M87</f>
        <v>3</v>
      </c>
      <c r="O153" s="224" t="str">
        <f t="shared" si="22"/>
        <v>NA</v>
      </c>
    </row>
    <row r="154" spans="2:15" ht="25.5" hidden="1" x14ac:dyDescent="0.25">
      <c r="B154" s="227" t="str">
        <f>'Project-Level Data'!B88</f>
        <v>Safari Park Water Reuse Sustainability and Watershed Protection Prgram</v>
      </c>
      <c r="C154" s="606" t="str">
        <f>'Project-Level Data'!C88</f>
        <v>Stormwater BMPs</v>
      </c>
      <c r="D154" s="603">
        <f>'Project-Level Data'!G88</f>
        <v>17</v>
      </c>
      <c r="E154" s="223">
        <f t="shared" si="17"/>
        <v>4</v>
      </c>
      <c r="F154" s="411">
        <f>'Project-Level Data'!F88</f>
        <v>49</v>
      </c>
      <c r="G154" s="223">
        <f t="shared" si="18"/>
        <v>3</v>
      </c>
      <c r="H154" s="599">
        <f t="shared" si="19"/>
        <v>3</v>
      </c>
      <c r="I154" s="378" t="str">
        <f>'Project-Level Data'!AT88</f>
        <v>No Response</v>
      </c>
      <c r="J154" s="379" t="str">
        <f>'Project-Level Data'!AU88</f>
        <v>No Response</v>
      </c>
      <c r="K154" s="420" t="str">
        <f t="shared" si="20"/>
        <v>NA</v>
      </c>
      <c r="L154" s="224" t="str">
        <f t="shared" si="21"/>
        <v>NA</v>
      </c>
      <c r="M154" s="597" t="str">
        <f>'Project-Level Data'!AW88</f>
        <v>No Response</v>
      </c>
      <c r="N154" s="393">
        <f>'Project-Level Data'!M88</f>
        <v>3</v>
      </c>
      <c r="O154" s="224" t="str">
        <f t="shared" si="22"/>
        <v>NA</v>
      </c>
    </row>
    <row r="155" spans="2:15" ht="25.5" hidden="1" x14ac:dyDescent="0.25">
      <c r="B155" s="227" t="str">
        <f>'Project-Level Data'!B96</f>
        <v>San Marino Drive Green Street and Dry Weather Flow Management Sweetwater</v>
      </c>
      <c r="C155" s="606" t="str">
        <f>'Project-Level Data'!C96</f>
        <v>Stormwater BMPs</v>
      </c>
      <c r="D155" s="603">
        <f>'Project-Level Data'!G96</f>
        <v>9</v>
      </c>
      <c r="E155" s="223">
        <f t="shared" si="17"/>
        <v>5</v>
      </c>
      <c r="F155" s="411">
        <f>'Project-Level Data'!F96</f>
        <v>38</v>
      </c>
      <c r="G155" s="223">
        <f t="shared" si="18"/>
        <v>3</v>
      </c>
      <c r="H155" s="599">
        <f t="shared" si="19"/>
        <v>3</v>
      </c>
      <c r="I155" s="378">
        <f>'Project-Level Data'!AT96</f>
        <v>5</v>
      </c>
      <c r="J155" s="379">
        <f>'Project-Level Data'!AU96</f>
        <v>1</v>
      </c>
      <c r="K155" s="420">
        <f t="shared" si="20"/>
        <v>4</v>
      </c>
      <c r="L155" s="224">
        <f t="shared" si="21"/>
        <v>3</v>
      </c>
      <c r="M155" s="597">
        <f>'Project-Level Data'!AW96</f>
        <v>3</v>
      </c>
      <c r="N155" s="393">
        <f>'Project-Level Data'!M96</f>
        <v>3</v>
      </c>
      <c r="O155" s="224">
        <f t="shared" si="22"/>
        <v>3</v>
      </c>
    </row>
    <row r="156" spans="2:15" ht="25.5" hidden="1" x14ac:dyDescent="0.25">
      <c r="B156" s="227" t="str">
        <f>'Project-Level Data'!B97</f>
        <v>San Marino Drive Green Street and Dry Weather Flow Management Vallecitos</v>
      </c>
      <c r="C156" s="606" t="str">
        <f>'Project-Level Data'!C97</f>
        <v>Stormwater BMPs</v>
      </c>
      <c r="D156" s="603">
        <f>'Project-Level Data'!G97</f>
        <v>9</v>
      </c>
      <c r="E156" s="223">
        <f t="shared" si="17"/>
        <v>5</v>
      </c>
      <c r="F156" s="411">
        <f>'Project-Level Data'!F97</f>
        <v>38</v>
      </c>
      <c r="G156" s="223">
        <f t="shared" si="18"/>
        <v>3</v>
      </c>
      <c r="H156" s="599">
        <f t="shared" si="19"/>
        <v>3</v>
      </c>
      <c r="I156" s="378">
        <f>'Project-Level Data'!AT97</f>
        <v>5</v>
      </c>
      <c r="J156" s="379">
        <f>'Project-Level Data'!AU97</f>
        <v>1</v>
      </c>
      <c r="K156" s="420">
        <f t="shared" si="20"/>
        <v>4</v>
      </c>
      <c r="L156" s="224">
        <f t="shared" si="21"/>
        <v>3</v>
      </c>
      <c r="M156" s="597">
        <f>'Project-Level Data'!AW97</f>
        <v>3</v>
      </c>
      <c r="N156" s="393">
        <f>'Project-Level Data'!M97</f>
        <v>3</v>
      </c>
      <c r="O156" s="224">
        <f t="shared" si="22"/>
        <v>3</v>
      </c>
    </row>
    <row r="157" spans="2:15" hidden="1" x14ac:dyDescent="0.25">
      <c r="B157" s="227" t="str">
        <f>'Project-Level Data'!B98</f>
        <v>San Miguel Green Street</v>
      </c>
      <c r="C157" s="606" t="str">
        <f>'Project-Level Data'!C98</f>
        <v>Stormwater BMPs</v>
      </c>
      <c r="D157" s="603">
        <f>'Project-Level Data'!G98</f>
        <v>65</v>
      </c>
      <c r="E157" s="223">
        <f t="shared" si="17"/>
        <v>1</v>
      </c>
      <c r="F157" s="411">
        <f>'Project-Level Data'!F98</f>
        <v>50</v>
      </c>
      <c r="G157" s="223">
        <f t="shared" si="18"/>
        <v>2</v>
      </c>
      <c r="H157" s="599">
        <f t="shared" si="19"/>
        <v>1.5</v>
      </c>
      <c r="I157" s="378" t="str">
        <f>'Project-Level Data'!AT98</f>
        <v>No Response</v>
      </c>
      <c r="J157" s="379" t="str">
        <f>'Project-Level Data'!AU98</f>
        <v>No Response</v>
      </c>
      <c r="K157" s="420" t="str">
        <f t="shared" si="20"/>
        <v>NA</v>
      </c>
      <c r="L157" s="224" t="str">
        <f t="shared" si="21"/>
        <v>NA</v>
      </c>
      <c r="M157" s="597" t="str">
        <f>'Project-Level Data'!AW98</f>
        <v>No Response</v>
      </c>
      <c r="N157" s="393">
        <f>'Project-Level Data'!M98</f>
        <v>3</v>
      </c>
      <c r="O157" s="224" t="str">
        <f t="shared" si="22"/>
        <v>NA</v>
      </c>
    </row>
    <row r="158" spans="2:15" hidden="1" x14ac:dyDescent="0.25">
      <c r="B158" s="227" t="str">
        <f>'Project-Level Data'!B106</f>
        <v>Skyline Dr and Kempt St Green Streets</v>
      </c>
      <c r="C158" s="606" t="str">
        <f>'Project-Level Data'!C106</f>
        <v>Stormwater BMPs</v>
      </c>
      <c r="D158" s="603">
        <f>'Project-Level Data'!G106</f>
        <v>58</v>
      </c>
      <c r="E158" s="223">
        <f t="shared" si="17"/>
        <v>2</v>
      </c>
      <c r="F158" s="411">
        <f>'Project-Level Data'!F106</f>
        <v>31</v>
      </c>
      <c r="G158" s="223">
        <f t="shared" si="18"/>
        <v>2</v>
      </c>
      <c r="H158" s="599">
        <f t="shared" si="19"/>
        <v>2</v>
      </c>
      <c r="I158" s="378">
        <f>'Project-Level Data'!AT106</f>
        <v>5</v>
      </c>
      <c r="J158" s="379">
        <f>'Project-Level Data'!AU106</f>
        <v>1</v>
      </c>
      <c r="K158" s="420">
        <f t="shared" si="20"/>
        <v>4</v>
      </c>
      <c r="L158" s="224">
        <f t="shared" si="21"/>
        <v>3.5</v>
      </c>
      <c r="M158" s="597">
        <f>'Project-Level Data'!AW106</f>
        <v>5</v>
      </c>
      <c r="N158" s="393">
        <f>'Project-Level Data'!M106</f>
        <v>3</v>
      </c>
      <c r="O158" s="224" t="str">
        <f t="shared" si="22"/>
        <v>NA</v>
      </c>
    </row>
    <row r="159" spans="2:15" hidden="1" x14ac:dyDescent="0.25">
      <c r="B159" s="227" t="str">
        <f>'Project-Level Data'!B107</f>
        <v>South Santa Fe Green Street Project</v>
      </c>
      <c r="C159" s="606" t="str">
        <f>'Project-Level Data'!C107</f>
        <v>Stormwater BMPs</v>
      </c>
      <c r="D159" s="603">
        <f>'Project-Level Data'!G107</f>
        <v>55</v>
      </c>
      <c r="E159" s="223">
        <f t="shared" si="17"/>
        <v>2</v>
      </c>
      <c r="F159" s="411">
        <f>'Project-Level Data'!F107</f>
        <v>16</v>
      </c>
      <c r="G159" s="223">
        <f t="shared" si="18"/>
        <v>1</v>
      </c>
      <c r="H159" s="599">
        <f t="shared" si="19"/>
        <v>1.5</v>
      </c>
      <c r="I159" s="378">
        <f>'Project-Level Data'!AT107</f>
        <v>5</v>
      </c>
      <c r="J159" s="379">
        <f>'Project-Level Data'!AU107</f>
        <v>4</v>
      </c>
      <c r="K159" s="420">
        <f t="shared" si="20"/>
        <v>5</v>
      </c>
      <c r="L159" s="224">
        <f t="shared" si="21"/>
        <v>4.5</v>
      </c>
      <c r="M159" s="597">
        <f>'Project-Level Data'!AW107</f>
        <v>5</v>
      </c>
      <c r="N159" s="393">
        <f>'Project-Level Data'!M107</f>
        <v>2</v>
      </c>
      <c r="O159" s="224">
        <f t="shared" si="22"/>
        <v>4</v>
      </c>
    </row>
    <row r="160" spans="2:15" hidden="1" x14ac:dyDescent="0.25">
      <c r="B160" s="227" t="str">
        <f>'Project-Level Data'!B111</f>
        <v>Spruce Street Channel Improvement Project</v>
      </c>
      <c r="C160" s="606" t="str">
        <f>'Project-Level Data'!C111</f>
        <v>Stormwater BMPs</v>
      </c>
      <c r="D160" s="603">
        <f>'Project-Level Data'!G111</f>
        <v>14</v>
      </c>
      <c r="E160" s="223">
        <f t="shared" si="17"/>
        <v>4</v>
      </c>
      <c r="F160" s="411">
        <f>'Project-Level Data'!F111</f>
        <v>92</v>
      </c>
      <c r="G160" s="223">
        <f t="shared" si="18"/>
        <v>1</v>
      </c>
      <c r="H160" s="599">
        <f t="shared" si="19"/>
        <v>2.5</v>
      </c>
      <c r="I160" s="378" t="str">
        <f>'Project-Level Data'!AT111</f>
        <v>No Response</v>
      </c>
      <c r="J160" s="379" t="str">
        <f>'Project-Level Data'!AU111</f>
        <v>No Response</v>
      </c>
      <c r="K160" s="420" t="str">
        <f t="shared" si="20"/>
        <v>NA</v>
      </c>
      <c r="L160" s="224" t="str">
        <f t="shared" si="21"/>
        <v>NA</v>
      </c>
      <c r="M160" s="597" t="str">
        <f>'Project-Level Data'!AW111</f>
        <v>No Response</v>
      </c>
      <c r="N160" s="393">
        <f>'Project-Level Data'!M111</f>
        <v>3</v>
      </c>
      <c r="O160" s="224" t="str">
        <f t="shared" si="22"/>
        <v>NA</v>
      </c>
    </row>
    <row r="161" spans="2:15" ht="25.5" hidden="1" x14ac:dyDescent="0.25">
      <c r="B161" s="227" t="str">
        <f>'Project-Level Data'!B112</f>
        <v>Storm water Capture off San Diego River along Alvarado Canyon and Fairmont Canyon to Fish and Wildlife site</v>
      </c>
      <c r="C161" s="606" t="str">
        <f>'Project-Level Data'!C112</f>
        <v>Stormwater BMPs</v>
      </c>
      <c r="D161" s="603">
        <f>'Project-Level Data'!G112</f>
        <v>17</v>
      </c>
      <c r="E161" s="223">
        <f t="shared" si="17"/>
        <v>4</v>
      </c>
      <c r="F161" s="411">
        <f>'Project-Level Data'!F112</f>
        <v>76</v>
      </c>
      <c r="G161" s="223">
        <f t="shared" si="18"/>
        <v>2</v>
      </c>
      <c r="H161" s="599">
        <f t="shared" si="19"/>
        <v>3</v>
      </c>
      <c r="I161" s="378">
        <f>'Project-Level Data'!AT112</f>
        <v>3</v>
      </c>
      <c r="J161" s="379">
        <f>'Project-Level Data'!AU112</f>
        <v>3</v>
      </c>
      <c r="K161" s="420">
        <f t="shared" si="20"/>
        <v>3</v>
      </c>
      <c r="L161" s="224">
        <f t="shared" si="21"/>
        <v>3</v>
      </c>
      <c r="M161" s="597">
        <f>'Project-Level Data'!AW112</f>
        <v>3</v>
      </c>
      <c r="N161" s="393">
        <f>'Project-Level Data'!M112</f>
        <v>3</v>
      </c>
      <c r="O161" s="224">
        <f t="shared" si="22"/>
        <v>3</v>
      </c>
    </row>
    <row r="162" spans="2:15" hidden="1" x14ac:dyDescent="0.25">
      <c r="B162" s="227" t="str">
        <f>'Project-Level Data'!B114</f>
        <v>Sweetwater Rd Green Street</v>
      </c>
      <c r="C162" s="606" t="str">
        <f>'Project-Level Data'!C114</f>
        <v>Stormwater BMPs</v>
      </c>
      <c r="D162" s="603">
        <f>'Project-Level Data'!G114</f>
        <v>27</v>
      </c>
      <c r="E162" s="223">
        <f t="shared" si="17"/>
        <v>3</v>
      </c>
      <c r="F162" s="411">
        <f>'Project-Level Data'!F114</f>
        <v>38</v>
      </c>
      <c r="G162" s="223">
        <f t="shared" si="18"/>
        <v>3</v>
      </c>
      <c r="H162" s="599">
        <f t="shared" si="19"/>
        <v>3</v>
      </c>
      <c r="I162" s="378">
        <f>'Project-Level Data'!AT114</f>
        <v>5</v>
      </c>
      <c r="J162" s="379">
        <f>'Project-Level Data'!AU114</f>
        <v>1</v>
      </c>
      <c r="K162" s="420">
        <f t="shared" si="20"/>
        <v>4</v>
      </c>
      <c r="L162" s="224">
        <f t="shared" si="21"/>
        <v>3</v>
      </c>
      <c r="M162" s="597">
        <f>'Project-Level Data'!AW114</f>
        <v>5</v>
      </c>
      <c r="N162" s="393">
        <f>'Project-Level Data'!M114</f>
        <v>3</v>
      </c>
      <c r="O162" s="224" t="str">
        <f t="shared" si="22"/>
        <v>NA</v>
      </c>
    </row>
    <row r="163" spans="2:15" hidden="1" x14ac:dyDescent="0.25">
      <c r="B163" s="227" t="str">
        <f>'Project-Level Data'!B116</f>
        <v>Sweetwater River Park Bioretention</v>
      </c>
      <c r="C163" s="606" t="str">
        <f>'Project-Level Data'!C116</f>
        <v>Stormwater BMPs</v>
      </c>
      <c r="D163" s="603">
        <f>'Project-Level Data'!G116</f>
        <v>53</v>
      </c>
      <c r="E163" s="223">
        <f t="shared" si="17"/>
        <v>2</v>
      </c>
      <c r="F163" s="411">
        <f>'Project-Level Data'!F116</f>
        <v>32</v>
      </c>
      <c r="G163" s="223">
        <f t="shared" si="18"/>
        <v>2</v>
      </c>
      <c r="H163" s="599">
        <f t="shared" si="19"/>
        <v>2</v>
      </c>
      <c r="I163" s="378" t="str">
        <f>'Project-Level Data'!AT116</f>
        <v>No Response</v>
      </c>
      <c r="J163" s="379" t="str">
        <f>'Project-Level Data'!AU116</f>
        <v>No Response</v>
      </c>
      <c r="K163" s="420" t="str">
        <f t="shared" si="20"/>
        <v>NA</v>
      </c>
      <c r="L163" s="224" t="str">
        <f t="shared" si="21"/>
        <v>NA</v>
      </c>
      <c r="M163" s="597" t="str">
        <f>'Project-Level Data'!AW116</f>
        <v>No Response</v>
      </c>
      <c r="N163" s="393">
        <f>'Project-Level Data'!M116</f>
        <v>3</v>
      </c>
      <c r="O163" s="224" t="str">
        <f t="shared" si="22"/>
        <v>NA</v>
      </c>
    </row>
    <row r="164" spans="2:15" hidden="1" x14ac:dyDescent="0.25">
      <c r="B164" s="227" t="str">
        <f>'Project-Level Data'!B119</f>
        <v>Telegraph Canyon Channel Improvement Project</v>
      </c>
      <c r="C164" s="606" t="str">
        <f>'Project-Level Data'!C119</f>
        <v>Stormwater BMPs</v>
      </c>
      <c r="D164" s="603">
        <f>'Project-Level Data'!G119</f>
        <v>51</v>
      </c>
      <c r="E164" s="223">
        <f t="shared" si="17"/>
        <v>2</v>
      </c>
      <c r="F164" s="411">
        <f>'Project-Level Data'!F119</f>
        <v>21</v>
      </c>
      <c r="G164" s="223">
        <f t="shared" si="18"/>
        <v>1</v>
      </c>
      <c r="H164" s="599">
        <f t="shared" si="19"/>
        <v>1.5</v>
      </c>
      <c r="I164" s="378" t="str">
        <f>'Project-Level Data'!AT119</f>
        <v>No Response</v>
      </c>
      <c r="J164" s="379" t="str">
        <f>'Project-Level Data'!AU119</f>
        <v>No Response</v>
      </c>
      <c r="K164" s="420" t="str">
        <f t="shared" si="20"/>
        <v>NA</v>
      </c>
      <c r="L164" s="224" t="str">
        <f t="shared" si="21"/>
        <v>NA</v>
      </c>
      <c r="M164" s="597" t="str">
        <f>'Project-Level Data'!AW119</f>
        <v>No Response</v>
      </c>
      <c r="N164" s="393">
        <f>'Project-Level Data'!M119</f>
        <v>3</v>
      </c>
      <c r="O164" s="224" t="str">
        <f t="shared" si="22"/>
        <v>NA</v>
      </c>
    </row>
    <row r="165" spans="2:15" hidden="1" x14ac:dyDescent="0.25">
      <c r="B165" s="227" t="str">
        <f>'Project-Level Data'!B126</f>
        <v>Woodside Avenue Complete Green Street</v>
      </c>
      <c r="C165" s="606" t="str">
        <f>'Project-Level Data'!C126</f>
        <v>Stormwater BMPs</v>
      </c>
      <c r="D165" s="603">
        <f>'Project-Level Data'!G126</f>
        <v>40</v>
      </c>
      <c r="E165" s="223">
        <f t="shared" si="17"/>
        <v>2</v>
      </c>
      <c r="F165" s="411">
        <f>'Project-Level Data'!F126</f>
        <v>31</v>
      </c>
      <c r="G165" s="223">
        <f t="shared" si="18"/>
        <v>2</v>
      </c>
      <c r="H165" s="599">
        <f t="shared" si="19"/>
        <v>2</v>
      </c>
      <c r="I165" s="378">
        <f>'Project-Level Data'!AT126</f>
        <v>5</v>
      </c>
      <c r="J165" s="379">
        <f>'Project-Level Data'!AU126</f>
        <v>1</v>
      </c>
      <c r="K165" s="420">
        <f t="shared" si="20"/>
        <v>4</v>
      </c>
      <c r="L165" s="224">
        <f t="shared" si="21"/>
        <v>3.5</v>
      </c>
      <c r="M165" s="597">
        <f>'Project-Level Data'!AW126</f>
        <v>5</v>
      </c>
      <c r="N165" s="393">
        <f>'Project-Level Data'!M126</f>
        <v>3</v>
      </c>
      <c r="O165" s="224" t="str">
        <f t="shared" si="22"/>
        <v>NA</v>
      </c>
    </row>
    <row r="166" spans="2:15" hidden="1" x14ac:dyDescent="0.25">
      <c r="B166" s="227" t="str">
        <f>'Project-Level Data'!B57</f>
        <v>Murray Urban Runoff Diversion System Capture</v>
      </c>
      <c r="C166" s="606" t="str">
        <f>'Project-Level Data'!C57</f>
        <v>Stormwater Capture</v>
      </c>
      <c r="D166" s="603">
        <f>'Project-Level Data'!G57</f>
        <v>9</v>
      </c>
      <c r="E166" s="223">
        <f t="shared" si="17"/>
        <v>5</v>
      </c>
      <c r="F166" s="411">
        <f>'Project-Level Data'!F57</f>
        <v>35</v>
      </c>
      <c r="G166" s="223">
        <f t="shared" si="18"/>
        <v>3</v>
      </c>
      <c r="H166" s="599">
        <f t="shared" si="19"/>
        <v>3</v>
      </c>
      <c r="I166" s="378">
        <f>'Project-Level Data'!AT57</f>
        <v>3</v>
      </c>
      <c r="J166" s="379">
        <f>'Project-Level Data'!AU57</f>
        <v>2</v>
      </c>
      <c r="K166" s="420">
        <f t="shared" si="20"/>
        <v>3</v>
      </c>
      <c r="L166" s="224">
        <f t="shared" si="21"/>
        <v>3</v>
      </c>
      <c r="M166" s="597">
        <f>'Project-Level Data'!AW57</f>
        <v>3</v>
      </c>
      <c r="N166" s="393">
        <f>'Project-Level Data'!M57</f>
        <v>3</v>
      </c>
      <c r="O166" s="224">
        <f t="shared" si="22"/>
        <v>3</v>
      </c>
    </row>
    <row r="167" spans="2:15" hidden="1" x14ac:dyDescent="0.25">
      <c r="B167" s="227" t="str">
        <f>'Project-Level Data'!B77</f>
        <v>Rainwater harvesting</v>
      </c>
      <c r="C167" s="606" t="str">
        <f>'Project-Level Data'!C77</f>
        <v>Stormwater Capture</v>
      </c>
      <c r="D167" s="603" t="str">
        <f>'Project-Level Data'!G77</f>
        <v>NOT MAPPED</v>
      </c>
      <c r="E167" s="223" t="str">
        <f t="shared" si="17"/>
        <v>NA</v>
      </c>
      <c r="F167" s="411" t="str">
        <f>'Project-Level Data'!F77</f>
        <v>NOT MAPPED</v>
      </c>
      <c r="G167" s="223" t="str">
        <f t="shared" si="18"/>
        <v>NA</v>
      </c>
      <c r="H167" s="599" t="str">
        <f t="shared" si="19"/>
        <v>NA</v>
      </c>
      <c r="I167" s="378">
        <f>'Project-Level Data'!AT77</f>
        <v>5</v>
      </c>
      <c r="J167" s="379">
        <f>'Project-Level Data'!AU77</f>
        <v>2</v>
      </c>
      <c r="K167" s="420">
        <f t="shared" si="20"/>
        <v>4</v>
      </c>
      <c r="L167" s="224" t="str">
        <f t="shared" si="21"/>
        <v>NA</v>
      </c>
      <c r="M167" s="597">
        <f>'Project-Level Data'!AW77</f>
        <v>5</v>
      </c>
      <c r="N167" s="393" t="str">
        <f>'Project-Level Data'!M77</f>
        <v>NOT MAPPED</v>
      </c>
      <c r="O167" s="224" t="str">
        <f t="shared" si="22"/>
        <v>NA</v>
      </c>
    </row>
    <row r="168" spans="2:15" ht="25.5" hidden="1" x14ac:dyDescent="0.25">
      <c r="B168" s="227" t="str">
        <f>'Project-Level Data'!B55</f>
        <v xml:space="preserve">Ms. Smarty-Plants Grows Water-Wise Schools </v>
      </c>
      <c r="C168" s="606" t="str">
        <f>'Project-Level Data'!C55</f>
        <v>Urban and Agricultural Water Use Efficiency</v>
      </c>
      <c r="D168" s="603">
        <f>'Project-Level Data'!G55</f>
        <v>19</v>
      </c>
      <c r="E168" s="223">
        <f t="shared" si="17"/>
        <v>3</v>
      </c>
      <c r="F168" s="411">
        <f>'Project-Level Data'!F55</f>
        <v>24</v>
      </c>
      <c r="G168" s="223">
        <f t="shared" si="18"/>
        <v>1</v>
      </c>
      <c r="H168" s="599">
        <f t="shared" si="19"/>
        <v>2</v>
      </c>
      <c r="I168" s="378" t="str">
        <f>'Project-Level Data'!AT55</f>
        <v>No Response</v>
      </c>
      <c r="J168" s="379" t="str">
        <f>'Project-Level Data'!AU55</f>
        <v>No Response</v>
      </c>
      <c r="K168" s="420" t="str">
        <f t="shared" si="20"/>
        <v>NA</v>
      </c>
      <c r="L168" s="224" t="str">
        <f t="shared" si="21"/>
        <v>NA</v>
      </c>
      <c r="M168" s="597" t="str">
        <f>'Project-Level Data'!AW55</f>
        <v>No Response</v>
      </c>
      <c r="N168" s="393">
        <f>'Project-Level Data'!M55</f>
        <v>3</v>
      </c>
      <c r="O168" s="224" t="str">
        <f t="shared" si="22"/>
        <v>NA</v>
      </c>
    </row>
    <row r="169" spans="2:15" ht="25.5" hidden="1" x14ac:dyDescent="0.25">
      <c r="B169" s="227" t="str">
        <f>'Project-Level Data'!B81</f>
        <v>Regional Demand Management Program Expansion</v>
      </c>
      <c r="C169" s="606" t="str">
        <f>'Project-Level Data'!C81</f>
        <v>Urban and Agricultural Water Use Efficiency</v>
      </c>
      <c r="D169" s="603">
        <f>'Project-Level Data'!G81</f>
        <v>18</v>
      </c>
      <c r="E169" s="223">
        <f t="shared" ref="E169:E192" si="23">IF(D169&lt;=D$67,5,IF(D169&lt;=D$68,4, IF(D169&lt;=D$69,3, IF(D169&lt;=D$70,2, IF(D169&lt;=D$71,1, "NA")))))</f>
        <v>4</v>
      </c>
      <c r="F169" s="411">
        <f>'Project-Level Data'!F81</f>
        <v>41</v>
      </c>
      <c r="G169" s="223">
        <f t="shared" ref="G169:G192" si="24">IF(F169&lt;=F$67,1,IF(F169&lt;=F$68,2, IF(F169&lt;=F$69,3, IF(F169&lt;=F$70,2, IF(F169&lt;=F$71,1, "NA")))))</f>
        <v>3</v>
      </c>
      <c r="H169" s="599">
        <f t="shared" ref="H169:H192" si="25">IF(E169="NA","NA",IF(AND(E169=1,G169=1),1,IF(AND(E169=1,G169=2),1.5,IF(AND(E169=1,G169=3),2,IF(AND(E169=2,G169=1),1.5,IF(AND(E169=2,G169=2),2,IF(AND(E169=2,G169=3),2.5,IF(AND(E169=3,G169=1),2,IF(AND(E169=3,G169=2),2.5,IF(AND(E169=3,G169=3),3,IF(AND(E169=4,G169=1),2.5,IF(AND(E169=4,G169=2),3,IF(AND(E169=4,G169=3),3,IF(E169=5,3))))))))))))))</f>
        <v>3</v>
      </c>
      <c r="I169" s="378" t="str">
        <f>'Project-Level Data'!AT81</f>
        <v>MISSING</v>
      </c>
      <c r="J169" s="379">
        <f>'Project-Level Data'!AU81</f>
        <v>1</v>
      </c>
      <c r="K169" s="420" t="str">
        <f t="shared" ref="K169:K192" si="26">IF(AND(I169=1,J169=5),1,IF(AND(I169=1,J169=4),1,IF(AND(I169=1,J169=3),2,IF(AND(I169=1,J169=2),2,IF(AND(I169=1,J169=1),2,IF(AND(I169=5,J169=1),4,IF(AND(I169=5,J169=2),4,IF(AND(I169=5,J169=3),4,IF(AND(I169=5,J169=4),5,IF(AND(I169=5,J169=5),5,IF(I169=3,3,"NA")))))))))))</f>
        <v>NA</v>
      </c>
      <c r="L169" s="224" t="str">
        <f t="shared" ref="L169:L192" si="27">IF(OR(K169="NA", H169="NA"), "NA",IF(AND(K169=1,H169=1),1,IF(AND(K169=1,H169=1.5),1.5,IF(AND(K169=1,H169=2),2,IF(AND(K169=1,H169=2.5),2.5,IF(AND(K169=1,H169=3),3,IF(AND(K169=2,H169=1),2,IF(AND(K169=2,H169=1.5),2.25,IF(AND(K169=2,H169=2),2.5,IF(AND(K169=2,H169=2.5),2.75,IF(AND(K169=2,H169=3),3,IF(AND(K169=3),3,IF(AND(K169=4,H169=1),4,IF(AND(K169=4,H169=1.5),3.75,IF(AND(K169=4,H169=2),3.5,IF(AND(K169=4,H169=2.5),3.25,IF(AND(K169=4,H169=3),3,IF(AND(K169=5,H169=1),5,IF(AND(K169=5,H169=1.5),4.5,IF(AND(K169=5,H169=2),4,IF(AND(K169=5,H169=2.5),3.5,IF(AND(K169=5,H169=3),3))))))))))))))))))))))</f>
        <v>NA</v>
      </c>
      <c r="M169" s="597">
        <f>'Project-Level Data'!AW81</f>
        <v>5</v>
      </c>
      <c r="N169" s="393">
        <f>'Project-Level Data'!M81</f>
        <v>3</v>
      </c>
      <c r="O169" s="224" t="str">
        <f t="shared" ref="O169:O192" si="28">IF(AND(M169=1,N169=1), 1, IF(AND(M169=1,N169=2),2, IF(M169=3,3,IF(AND(M169=5,N169=2),4, IF(AND(M169=5,N169=1),5, "NA")))))</f>
        <v>NA</v>
      </c>
    </row>
    <row r="170" spans="2:15" ht="25.5" hidden="1" x14ac:dyDescent="0.25">
      <c r="B170" s="227" t="str">
        <f>'Project-Level Data'!B82</f>
        <v>Regional Drought Resilience Program</v>
      </c>
      <c r="C170" s="606" t="str">
        <f>'Project-Level Data'!C82</f>
        <v>Urban and Agricultural Water Use Efficiency</v>
      </c>
      <c r="D170" s="603">
        <f>'Project-Level Data'!G82</f>
        <v>36</v>
      </c>
      <c r="E170" s="223">
        <f t="shared" si="23"/>
        <v>2</v>
      </c>
      <c r="F170" s="411">
        <f>'Project-Level Data'!F82</f>
        <v>86</v>
      </c>
      <c r="G170" s="223">
        <f t="shared" si="24"/>
        <v>1</v>
      </c>
      <c r="H170" s="599">
        <f t="shared" si="25"/>
        <v>1.5</v>
      </c>
      <c r="I170" s="378" t="str">
        <f>'Project-Level Data'!AT82</f>
        <v>MISSING</v>
      </c>
      <c r="J170" s="379">
        <f>'Project-Level Data'!AU82</f>
        <v>1</v>
      </c>
      <c r="K170" s="420" t="str">
        <f t="shared" si="26"/>
        <v>NA</v>
      </c>
      <c r="L170" s="224" t="str">
        <f t="shared" si="27"/>
        <v>NA</v>
      </c>
      <c r="M170" s="597">
        <f>'Project-Level Data'!AW82</f>
        <v>5</v>
      </c>
      <c r="N170" s="393">
        <f>'Project-Level Data'!M82</f>
        <v>3</v>
      </c>
      <c r="O170" s="224" t="str">
        <f t="shared" si="28"/>
        <v>NA</v>
      </c>
    </row>
    <row r="171" spans="2:15" ht="25.5" hidden="1" x14ac:dyDescent="0.25">
      <c r="B171" s="227" t="str">
        <f>'Project-Level Data'!B84</f>
        <v>Rincon Customer-Driven Demand Management Program</v>
      </c>
      <c r="C171" s="606" t="str">
        <f>'Project-Level Data'!C84</f>
        <v>Urban and Agricultural Water Use Efficiency</v>
      </c>
      <c r="D171" s="603" t="str">
        <f>'Project-Level Data'!G84</f>
        <v>NOT MAPPED</v>
      </c>
      <c r="E171" s="223" t="str">
        <f t="shared" si="23"/>
        <v>NA</v>
      </c>
      <c r="F171" s="411" t="str">
        <f>'Project-Level Data'!F84</f>
        <v>NOT MAPPED</v>
      </c>
      <c r="G171" s="223" t="str">
        <f t="shared" si="24"/>
        <v>NA</v>
      </c>
      <c r="H171" s="599" t="str">
        <f t="shared" si="25"/>
        <v>NA</v>
      </c>
      <c r="I171" s="378" t="str">
        <f>'Project-Level Data'!AT84</f>
        <v>No Response</v>
      </c>
      <c r="J171" s="379" t="str">
        <f>'Project-Level Data'!AU84</f>
        <v>No Response</v>
      </c>
      <c r="K171" s="420" t="str">
        <f t="shared" si="26"/>
        <v>NA</v>
      </c>
      <c r="L171" s="224" t="str">
        <f t="shared" si="27"/>
        <v>NA</v>
      </c>
      <c r="M171" s="597" t="str">
        <f>'Project-Level Data'!AW84</f>
        <v>No Response</v>
      </c>
      <c r="N171" s="393" t="str">
        <f>'Project-Level Data'!M84</f>
        <v>NOT MAPPED</v>
      </c>
      <c r="O171" s="224" t="str">
        <f t="shared" si="28"/>
        <v>NA</v>
      </c>
    </row>
    <row r="172" spans="2:15" ht="25.5" hidden="1" x14ac:dyDescent="0.25">
      <c r="B172" s="227" t="str">
        <f>'Project-Level Data'!B92</f>
        <v>San Diego Water Conservation Program</v>
      </c>
      <c r="C172" s="606" t="str">
        <f>'Project-Level Data'!C92</f>
        <v>Urban and Agricultural Water Use Efficiency</v>
      </c>
      <c r="D172" s="603" t="str">
        <f>'Project-Level Data'!G92</f>
        <v>NOT MAPPED</v>
      </c>
      <c r="E172" s="223" t="str">
        <f t="shared" si="23"/>
        <v>NA</v>
      </c>
      <c r="F172" s="411" t="str">
        <f>'Project-Level Data'!F92</f>
        <v>NOT MAPPED</v>
      </c>
      <c r="G172" s="223" t="str">
        <f t="shared" si="24"/>
        <v>NA</v>
      </c>
      <c r="H172" s="599" t="str">
        <f t="shared" si="25"/>
        <v>NA</v>
      </c>
      <c r="I172" s="378">
        <f>'Project-Level Data'!AT92</f>
        <v>5</v>
      </c>
      <c r="J172" s="379">
        <f>'Project-Level Data'!AU92</f>
        <v>3</v>
      </c>
      <c r="K172" s="420">
        <f t="shared" si="26"/>
        <v>4</v>
      </c>
      <c r="L172" s="224" t="str">
        <f t="shared" si="27"/>
        <v>NA</v>
      </c>
      <c r="M172" s="597">
        <f>'Project-Level Data'!AW92</f>
        <v>5</v>
      </c>
      <c r="N172" s="393" t="str">
        <f>'Project-Level Data'!M92</f>
        <v>NOT MAPPED</v>
      </c>
      <c r="O172" s="224" t="str">
        <f t="shared" si="28"/>
        <v>NA</v>
      </c>
    </row>
    <row r="173" spans="2:15" ht="25.5" hidden="1" x14ac:dyDescent="0.25">
      <c r="B173" s="227" t="str">
        <f>'Project-Level Data'!B93</f>
        <v>San Diego Water Use Reduction Program</v>
      </c>
      <c r="C173" s="606" t="str">
        <f>'Project-Level Data'!C93</f>
        <v>Urban and Agricultural Water Use Efficiency</v>
      </c>
      <c r="D173" s="603" t="str">
        <f>'Project-Level Data'!G93</f>
        <v>NOT MAPPED</v>
      </c>
      <c r="E173" s="223" t="str">
        <f t="shared" si="23"/>
        <v>NA</v>
      </c>
      <c r="F173" s="411" t="str">
        <f>'Project-Level Data'!F93</f>
        <v>NOT MAPPED</v>
      </c>
      <c r="G173" s="223" t="str">
        <f t="shared" si="24"/>
        <v>NA</v>
      </c>
      <c r="H173" s="599" t="str">
        <f t="shared" si="25"/>
        <v>NA</v>
      </c>
      <c r="I173" s="378">
        <f>'Project-Level Data'!AT93</f>
        <v>3</v>
      </c>
      <c r="J173" s="379">
        <f>'Project-Level Data'!AU93</f>
        <v>3</v>
      </c>
      <c r="K173" s="420">
        <f t="shared" si="26"/>
        <v>3</v>
      </c>
      <c r="L173" s="224" t="str">
        <f t="shared" si="27"/>
        <v>NA</v>
      </c>
      <c r="M173" s="597">
        <f>'Project-Level Data'!AW93</f>
        <v>5</v>
      </c>
      <c r="N173" s="393" t="str">
        <f>'Project-Level Data'!M93</f>
        <v>NOT MAPPED</v>
      </c>
      <c r="O173" s="224" t="str">
        <f t="shared" si="28"/>
        <v>NA</v>
      </c>
    </row>
    <row r="174" spans="2:15" ht="25.5" hidden="1" x14ac:dyDescent="0.25">
      <c r="B174" s="227" t="str">
        <f>'Project-Level Data'!B121</f>
        <v>UC San Diego Water Conservation and Watershed Protection</v>
      </c>
      <c r="C174" s="606" t="str">
        <f>'Project-Level Data'!C121</f>
        <v>Urban and Agricultural Water Use Efficiency</v>
      </c>
      <c r="D174" s="603">
        <f>'Project-Level Data'!G121</f>
        <v>16</v>
      </c>
      <c r="E174" s="223">
        <f t="shared" si="23"/>
        <v>4</v>
      </c>
      <c r="F174" s="411">
        <f>'Project-Level Data'!F121</f>
        <v>35</v>
      </c>
      <c r="G174" s="223">
        <f t="shared" si="24"/>
        <v>3</v>
      </c>
      <c r="H174" s="599">
        <f t="shared" si="25"/>
        <v>3</v>
      </c>
      <c r="I174" s="378">
        <f>'Project-Level Data'!AT121</f>
        <v>5</v>
      </c>
      <c r="J174" s="379">
        <f>'Project-Level Data'!AU121</f>
        <v>4</v>
      </c>
      <c r="K174" s="420">
        <f t="shared" si="26"/>
        <v>5</v>
      </c>
      <c r="L174" s="224">
        <f t="shared" si="27"/>
        <v>3</v>
      </c>
      <c r="M174" s="597">
        <f>'Project-Level Data'!AW121</f>
        <v>5</v>
      </c>
      <c r="N174" s="393">
        <f>'Project-Level Data'!M121</f>
        <v>2</v>
      </c>
      <c r="O174" s="224">
        <f t="shared" si="28"/>
        <v>4</v>
      </c>
    </row>
    <row r="175" spans="2:15" ht="25.5" hidden="1" x14ac:dyDescent="0.25">
      <c r="B175" s="227" t="str">
        <f>'Project-Level Data'!B7</f>
        <v>69th St Green Street</v>
      </c>
      <c r="C175" s="606" t="str">
        <f>'Project-Level Data'!C7</f>
        <v>Watershed and Ecosystem Management</v>
      </c>
      <c r="D175" s="603">
        <f>'Project-Level Data'!G7</f>
        <v>60</v>
      </c>
      <c r="E175" s="223">
        <f t="shared" si="23"/>
        <v>1</v>
      </c>
      <c r="F175" s="411">
        <f>'Project-Level Data'!F7</f>
        <v>26</v>
      </c>
      <c r="G175" s="223">
        <f t="shared" si="24"/>
        <v>2</v>
      </c>
      <c r="H175" s="599">
        <f t="shared" si="25"/>
        <v>1.5</v>
      </c>
      <c r="I175" s="378" t="str">
        <f>'Project-Level Data'!AT7</f>
        <v>MISSING</v>
      </c>
      <c r="J175" s="379">
        <f>'Project-Level Data'!AU7</f>
        <v>1</v>
      </c>
      <c r="K175" s="420" t="str">
        <f t="shared" si="26"/>
        <v>NA</v>
      </c>
      <c r="L175" s="224" t="str">
        <f t="shared" si="27"/>
        <v>NA</v>
      </c>
      <c r="M175" s="597">
        <f>'Project-Level Data'!AW7</f>
        <v>5</v>
      </c>
      <c r="N175" s="393">
        <f>'Project-Level Data'!M7</f>
        <v>3</v>
      </c>
      <c r="O175" s="224" t="str">
        <f t="shared" si="28"/>
        <v>NA</v>
      </c>
    </row>
    <row r="176" spans="2:15" ht="38.25" hidden="1" x14ac:dyDescent="0.25">
      <c r="B176" s="227" t="str">
        <f>'Project-Level Data'!B8</f>
        <v>Alternative Compliance Retrofit Project Avenida Del Diablo Park,
Escondido</v>
      </c>
      <c r="C176" s="606" t="str">
        <f>'Project-Level Data'!C8</f>
        <v>Watershed and Ecosystem Management</v>
      </c>
      <c r="D176" s="603">
        <f>'Project-Level Data'!G8</f>
        <v>14</v>
      </c>
      <c r="E176" s="223">
        <f t="shared" si="23"/>
        <v>4</v>
      </c>
      <c r="F176" s="411">
        <f>'Project-Level Data'!F8</f>
        <v>92</v>
      </c>
      <c r="G176" s="223">
        <f t="shared" si="24"/>
        <v>1</v>
      </c>
      <c r="H176" s="599">
        <f t="shared" si="25"/>
        <v>2.5</v>
      </c>
      <c r="I176" s="378" t="str">
        <f>'Project-Level Data'!AT8</f>
        <v>No Response</v>
      </c>
      <c r="J176" s="379" t="str">
        <f>'Project-Level Data'!AU8</f>
        <v>No Response</v>
      </c>
      <c r="K176" s="420" t="str">
        <f t="shared" si="26"/>
        <v>NA</v>
      </c>
      <c r="L176" s="224" t="str">
        <f t="shared" si="27"/>
        <v>NA</v>
      </c>
      <c r="M176" s="597" t="str">
        <f>'Project-Level Data'!AW8</f>
        <v>No Response</v>
      </c>
      <c r="N176" s="393">
        <f>'Project-Level Data'!M8</f>
        <v>3</v>
      </c>
      <c r="O176" s="224" t="str">
        <f t="shared" si="28"/>
        <v>NA</v>
      </c>
    </row>
    <row r="177" spans="2:15" ht="25.5" hidden="1" x14ac:dyDescent="0.25">
      <c r="B177" s="227" t="str">
        <f>'Project-Level Data'!B13</f>
        <v>Broadway/Federal Blvd Green Street</v>
      </c>
      <c r="C177" s="606" t="str">
        <f>'Project-Level Data'!C13</f>
        <v>Watershed and Ecosystem Management</v>
      </c>
      <c r="D177" s="603">
        <f>'Project-Level Data'!G13</f>
        <v>79</v>
      </c>
      <c r="E177" s="223">
        <f t="shared" si="23"/>
        <v>1</v>
      </c>
      <c r="F177" s="411">
        <f>'Project-Level Data'!F13</f>
        <v>57</v>
      </c>
      <c r="G177" s="223">
        <f t="shared" si="24"/>
        <v>2</v>
      </c>
      <c r="H177" s="599">
        <f t="shared" si="25"/>
        <v>1.5</v>
      </c>
      <c r="I177" s="378">
        <f>'Project-Level Data'!AT13</f>
        <v>5</v>
      </c>
      <c r="J177" s="379">
        <f>'Project-Level Data'!AU13</f>
        <v>1</v>
      </c>
      <c r="K177" s="420">
        <f t="shared" si="26"/>
        <v>4</v>
      </c>
      <c r="L177" s="224">
        <f t="shared" si="27"/>
        <v>3.75</v>
      </c>
      <c r="M177" s="597">
        <f>'Project-Level Data'!AW13</f>
        <v>5</v>
      </c>
      <c r="N177" s="393">
        <f>'Project-Level Data'!M13</f>
        <v>1</v>
      </c>
      <c r="O177" s="224">
        <f t="shared" si="28"/>
        <v>5</v>
      </c>
    </row>
    <row r="178" spans="2:15" ht="25.5" hidden="1" x14ac:dyDescent="0.25">
      <c r="B178" s="227" t="str">
        <f>'Project-Level Data'!B16</f>
        <v>Canton Dr Green Street</v>
      </c>
      <c r="C178" s="606" t="str">
        <f>'Project-Level Data'!C16</f>
        <v>Watershed and Ecosystem Management</v>
      </c>
      <c r="D178" s="603">
        <f>'Project-Level Data'!G16</f>
        <v>58</v>
      </c>
      <c r="E178" s="223">
        <f t="shared" si="23"/>
        <v>2</v>
      </c>
      <c r="F178" s="411">
        <f>'Project-Level Data'!F16</f>
        <v>31</v>
      </c>
      <c r="G178" s="223">
        <f t="shared" si="24"/>
        <v>2</v>
      </c>
      <c r="H178" s="599">
        <f t="shared" si="25"/>
        <v>2</v>
      </c>
      <c r="I178" s="378">
        <f>'Project-Level Data'!AT16</f>
        <v>5</v>
      </c>
      <c r="J178" s="379">
        <f>'Project-Level Data'!AU16</f>
        <v>1</v>
      </c>
      <c r="K178" s="420">
        <f t="shared" si="26"/>
        <v>4</v>
      </c>
      <c r="L178" s="224">
        <f t="shared" si="27"/>
        <v>3.5</v>
      </c>
      <c r="M178" s="597">
        <f>'Project-Level Data'!AW16</f>
        <v>5</v>
      </c>
      <c r="N178" s="393">
        <f>'Project-Level Data'!M16</f>
        <v>3</v>
      </c>
      <c r="O178" s="224" t="str">
        <f t="shared" si="28"/>
        <v>NA</v>
      </c>
    </row>
    <row r="179" spans="2:15" ht="25.5" hidden="1" x14ac:dyDescent="0.25">
      <c r="B179" s="227" t="str">
        <f>'Project-Level Data'!B19</f>
        <v>Central Avenue Green Street</v>
      </c>
      <c r="C179" s="606" t="str">
        <f>'Project-Level Data'!C19</f>
        <v>Watershed and Ecosystem Management</v>
      </c>
      <c r="D179" s="603">
        <f>'Project-Level Data'!G19</f>
        <v>65</v>
      </c>
      <c r="E179" s="223">
        <f t="shared" si="23"/>
        <v>1</v>
      </c>
      <c r="F179" s="411">
        <f>'Project-Level Data'!F19</f>
        <v>50</v>
      </c>
      <c r="G179" s="223">
        <f t="shared" si="24"/>
        <v>2</v>
      </c>
      <c r="H179" s="599">
        <f t="shared" si="25"/>
        <v>1.5</v>
      </c>
      <c r="I179" s="378" t="str">
        <f>'Project-Level Data'!AT19</f>
        <v>MISSING</v>
      </c>
      <c r="J179" s="379" t="str">
        <f>'Project-Level Data'!AU19</f>
        <v>MISSING</v>
      </c>
      <c r="K179" s="420" t="str">
        <f t="shared" si="26"/>
        <v>NA</v>
      </c>
      <c r="L179" s="224" t="str">
        <f t="shared" si="27"/>
        <v>NA</v>
      </c>
      <c r="M179" s="597">
        <f>'Project-Level Data'!AW19</f>
        <v>5</v>
      </c>
      <c r="N179" s="393">
        <f>'Project-Level Data'!M19</f>
        <v>3</v>
      </c>
      <c r="O179" s="224" t="str">
        <f t="shared" si="28"/>
        <v>NA</v>
      </c>
    </row>
    <row r="180" spans="2:15" ht="25.5" hidden="1" x14ac:dyDescent="0.25">
      <c r="B180" s="227" t="str">
        <f>'Project-Level Data'!B30</f>
        <v>Federal Blvd Channel</v>
      </c>
      <c r="C180" s="606" t="str">
        <f>'Project-Level Data'!C30</f>
        <v>Watershed and Ecosystem Management</v>
      </c>
      <c r="D180" s="603">
        <f>'Project-Level Data'!G30</f>
        <v>65</v>
      </c>
      <c r="E180" s="223">
        <f t="shared" si="23"/>
        <v>1</v>
      </c>
      <c r="F180" s="411">
        <f>'Project-Level Data'!F30</f>
        <v>50</v>
      </c>
      <c r="G180" s="223">
        <f t="shared" si="24"/>
        <v>2</v>
      </c>
      <c r="H180" s="599">
        <f t="shared" si="25"/>
        <v>1.5</v>
      </c>
      <c r="I180" s="378">
        <f>'Project-Level Data'!AT30</f>
        <v>5</v>
      </c>
      <c r="J180" s="379">
        <f>'Project-Level Data'!AU30</f>
        <v>3</v>
      </c>
      <c r="K180" s="420">
        <f t="shared" si="26"/>
        <v>4</v>
      </c>
      <c r="L180" s="224">
        <f t="shared" si="27"/>
        <v>3.75</v>
      </c>
      <c r="M180" s="597">
        <f>'Project-Level Data'!AW30</f>
        <v>5</v>
      </c>
      <c r="N180" s="393">
        <f>'Project-Level Data'!M30</f>
        <v>3</v>
      </c>
      <c r="O180" s="224" t="str">
        <f t="shared" si="28"/>
        <v>NA</v>
      </c>
    </row>
    <row r="181" spans="2:15" ht="25.5" hidden="1" x14ac:dyDescent="0.25">
      <c r="B181" s="227" t="str">
        <f>'Project-Level Data'!B31</f>
        <v>Hodges Water Quality Improvement Program</v>
      </c>
      <c r="C181" s="606" t="str">
        <f>'Project-Level Data'!C31</f>
        <v>Watershed and Ecosystem Management</v>
      </c>
      <c r="D181" s="603">
        <f>'Project-Level Data'!G31</f>
        <v>6</v>
      </c>
      <c r="E181" s="223">
        <f t="shared" si="23"/>
        <v>5</v>
      </c>
      <c r="F181" s="411">
        <f>'Project-Level Data'!F31</f>
        <v>36</v>
      </c>
      <c r="G181" s="223">
        <f t="shared" si="24"/>
        <v>3</v>
      </c>
      <c r="H181" s="599">
        <f t="shared" si="25"/>
        <v>3</v>
      </c>
      <c r="I181" s="378">
        <f>'Project-Level Data'!AT31</f>
        <v>5</v>
      </c>
      <c r="J181" s="379">
        <f>'Project-Level Data'!AU31</f>
        <v>5</v>
      </c>
      <c r="K181" s="420">
        <f t="shared" si="26"/>
        <v>5</v>
      </c>
      <c r="L181" s="224">
        <f t="shared" si="27"/>
        <v>3</v>
      </c>
      <c r="M181" s="597">
        <f>'Project-Level Data'!AW31</f>
        <v>3</v>
      </c>
      <c r="N181" s="393">
        <f>'Project-Level Data'!M31</f>
        <v>3</v>
      </c>
      <c r="O181" s="224">
        <f t="shared" si="28"/>
        <v>3</v>
      </c>
    </row>
    <row r="182" spans="2:15" ht="25.5" hidden="1" x14ac:dyDescent="0.25">
      <c r="B182" s="227" t="str">
        <f>'Project-Level Data'!B49</f>
        <v>Massachusetts Blvd Green Street</v>
      </c>
      <c r="C182" s="606" t="str">
        <f>'Project-Level Data'!C49</f>
        <v>Watershed and Ecosystem Management</v>
      </c>
      <c r="D182" s="603">
        <f>'Project-Level Data'!G49</f>
        <v>60</v>
      </c>
      <c r="E182" s="223">
        <f t="shared" si="23"/>
        <v>1</v>
      </c>
      <c r="F182" s="411">
        <f>'Project-Level Data'!F49</f>
        <v>26</v>
      </c>
      <c r="G182" s="223">
        <f t="shared" si="24"/>
        <v>2</v>
      </c>
      <c r="H182" s="599">
        <f t="shared" si="25"/>
        <v>1.5</v>
      </c>
      <c r="I182" s="378">
        <f>'Project-Level Data'!AT49</f>
        <v>5</v>
      </c>
      <c r="J182" s="379">
        <f>'Project-Level Data'!AU49</f>
        <v>1</v>
      </c>
      <c r="K182" s="420">
        <f t="shared" si="26"/>
        <v>4</v>
      </c>
      <c r="L182" s="224">
        <f t="shared" si="27"/>
        <v>3.75</v>
      </c>
      <c r="M182" s="597">
        <f>'Project-Level Data'!AW49</f>
        <v>5</v>
      </c>
      <c r="N182" s="393">
        <f>'Project-Level Data'!M49</f>
        <v>3</v>
      </c>
      <c r="O182" s="224" t="str">
        <f t="shared" si="28"/>
        <v>NA</v>
      </c>
    </row>
    <row r="183" spans="2:15" ht="25.5" hidden="1" x14ac:dyDescent="0.25">
      <c r="B183" s="227" t="str">
        <f>'Project-Level Data'!B56</f>
        <v>Mt. Vernon St Green Street</v>
      </c>
      <c r="C183" s="606" t="str">
        <f>'Project-Level Data'!C56</f>
        <v>Watershed and Ecosystem Management</v>
      </c>
      <c r="D183" s="603">
        <f>'Project-Level Data'!G56</f>
        <v>60</v>
      </c>
      <c r="E183" s="223">
        <f t="shared" si="23"/>
        <v>1</v>
      </c>
      <c r="F183" s="411">
        <f>'Project-Level Data'!F56</f>
        <v>26</v>
      </c>
      <c r="G183" s="223">
        <f t="shared" si="24"/>
        <v>2</v>
      </c>
      <c r="H183" s="599">
        <f t="shared" si="25"/>
        <v>1.5</v>
      </c>
      <c r="I183" s="378">
        <f>'Project-Level Data'!AT56</f>
        <v>5</v>
      </c>
      <c r="J183" s="379">
        <f>'Project-Level Data'!AU56</f>
        <v>1</v>
      </c>
      <c r="K183" s="420">
        <f t="shared" si="26"/>
        <v>4</v>
      </c>
      <c r="L183" s="224">
        <f t="shared" si="27"/>
        <v>3.75</v>
      </c>
      <c r="M183" s="597">
        <f>'Project-Level Data'!AW56</f>
        <v>5</v>
      </c>
      <c r="N183" s="393">
        <f>'Project-Level Data'!M56</f>
        <v>3</v>
      </c>
      <c r="O183" s="224" t="str">
        <f t="shared" si="28"/>
        <v>NA</v>
      </c>
    </row>
    <row r="184" spans="2:15" ht="25.5" hidden="1" x14ac:dyDescent="0.25">
      <c r="B184" s="227" t="str">
        <f>'Project-Level Data'!B58</f>
        <v>Nestor Creek Channel Restoration</v>
      </c>
      <c r="C184" s="606" t="str">
        <f>'Project-Level Data'!C58</f>
        <v>Watershed and Ecosystem Management</v>
      </c>
      <c r="D184" s="603">
        <f>'Project-Level Data'!G58</f>
        <v>72</v>
      </c>
      <c r="E184" s="223">
        <f t="shared" si="23"/>
        <v>1</v>
      </c>
      <c r="F184" s="411">
        <f>'Project-Level Data'!F58</f>
        <v>53</v>
      </c>
      <c r="G184" s="223">
        <f t="shared" si="24"/>
        <v>2</v>
      </c>
      <c r="H184" s="599">
        <f t="shared" si="25"/>
        <v>1.5</v>
      </c>
      <c r="I184" s="378" t="str">
        <f>'Project-Level Data'!AT58</f>
        <v>No Response</v>
      </c>
      <c r="J184" s="379" t="str">
        <f>'Project-Level Data'!AU58</f>
        <v>No Response</v>
      </c>
      <c r="K184" s="420" t="str">
        <f t="shared" si="26"/>
        <v>NA</v>
      </c>
      <c r="L184" s="224" t="str">
        <f t="shared" si="27"/>
        <v>NA</v>
      </c>
      <c r="M184" s="597" t="str">
        <f>'Project-Level Data'!AW58</f>
        <v>No Response</v>
      </c>
      <c r="N184" s="393">
        <f>'Project-Level Data'!M58</f>
        <v>2</v>
      </c>
      <c r="O184" s="224" t="str">
        <f t="shared" si="28"/>
        <v>NA</v>
      </c>
    </row>
    <row r="185" spans="2:15" ht="25.5" hidden="1" x14ac:dyDescent="0.25">
      <c r="B185" s="227" t="str">
        <f>'Project-Level Data'!B60</f>
        <v>North Ave and Grove Green Street</v>
      </c>
      <c r="C185" s="606" t="str">
        <f>'Project-Level Data'!C60</f>
        <v>Watershed and Ecosystem Management</v>
      </c>
      <c r="D185" s="603">
        <f>'Project-Level Data'!G60</f>
        <v>79</v>
      </c>
      <c r="E185" s="223">
        <f t="shared" si="23"/>
        <v>1</v>
      </c>
      <c r="F185" s="411">
        <f>'Project-Level Data'!F60</f>
        <v>57</v>
      </c>
      <c r="G185" s="223">
        <f t="shared" si="24"/>
        <v>2</v>
      </c>
      <c r="H185" s="599">
        <f t="shared" si="25"/>
        <v>1.5</v>
      </c>
      <c r="I185" s="378">
        <f>'Project-Level Data'!AT60</f>
        <v>5</v>
      </c>
      <c r="J185" s="379">
        <f>'Project-Level Data'!AU60</f>
        <v>1</v>
      </c>
      <c r="K185" s="420">
        <f t="shared" si="26"/>
        <v>4</v>
      </c>
      <c r="L185" s="224">
        <f t="shared" si="27"/>
        <v>3.75</v>
      </c>
      <c r="M185" s="597">
        <f>'Project-Level Data'!AW60</f>
        <v>5</v>
      </c>
      <c r="N185" s="393">
        <f>'Project-Level Data'!M60</f>
        <v>1</v>
      </c>
      <c r="O185" s="224">
        <f t="shared" si="28"/>
        <v>5</v>
      </c>
    </row>
    <row r="186" spans="2:15" ht="25.5" hidden="1" x14ac:dyDescent="0.25">
      <c r="B186" s="227" t="str">
        <f>'Project-Level Data'!B69</f>
        <v>Palm St Green Street</v>
      </c>
      <c r="C186" s="606" t="str">
        <f>'Project-Level Data'!C69</f>
        <v>Watershed and Ecosystem Management</v>
      </c>
      <c r="D186" s="603">
        <f>'Project-Level Data'!G69</f>
        <v>58</v>
      </c>
      <c r="E186" s="223">
        <f t="shared" si="23"/>
        <v>2</v>
      </c>
      <c r="F186" s="411">
        <f>'Project-Level Data'!F69</f>
        <v>31</v>
      </c>
      <c r="G186" s="223">
        <f t="shared" si="24"/>
        <v>2</v>
      </c>
      <c r="H186" s="599">
        <f t="shared" si="25"/>
        <v>2</v>
      </c>
      <c r="I186" s="378">
        <f>'Project-Level Data'!AT69</f>
        <v>5</v>
      </c>
      <c r="J186" s="379">
        <f>'Project-Level Data'!AU69</f>
        <v>1</v>
      </c>
      <c r="K186" s="420">
        <f t="shared" si="26"/>
        <v>4</v>
      </c>
      <c r="L186" s="224">
        <f t="shared" si="27"/>
        <v>3.5</v>
      </c>
      <c r="M186" s="597">
        <f>'Project-Level Data'!AW69</f>
        <v>5</v>
      </c>
      <c r="N186" s="393">
        <f>'Project-Level Data'!M69</f>
        <v>3</v>
      </c>
      <c r="O186" s="224" t="str">
        <f t="shared" si="28"/>
        <v>NA</v>
      </c>
    </row>
    <row r="187" spans="2:15" ht="25.5" hidden="1" x14ac:dyDescent="0.25">
      <c r="B187" s="227" t="str">
        <f>'Project-Level Data'!B70</f>
        <v>Paradise Creek Restoration Phase II</v>
      </c>
      <c r="C187" s="606" t="str">
        <f>'Project-Level Data'!C70</f>
        <v>Watershed and Ecosystem Management</v>
      </c>
      <c r="D187" s="603">
        <f>'Project-Level Data'!G70</f>
        <v>66</v>
      </c>
      <c r="E187" s="223">
        <f t="shared" si="23"/>
        <v>1</v>
      </c>
      <c r="F187" s="411">
        <f>'Project-Level Data'!F70</f>
        <v>95</v>
      </c>
      <c r="G187" s="223">
        <f t="shared" si="24"/>
        <v>1</v>
      </c>
      <c r="H187" s="599">
        <f t="shared" si="25"/>
        <v>1</v>
      </c>
      <c r="I187" s="378">
        <f>'Project-Level Data'!AT70</f>
        <v>5</v>
      </c>
      <c r="J187" s="379">
        <f>'Project-Level Data'!AU70</f>
        <v>5</v>
      </c>
      <c r="K187" s="420">
        <f t="shared" si="26"/>
        <v>5</v>
      </c>
      <c r="L187" s="224">
        <f t="shared" si="27"/>
        <v>5</v>
      </c>
      <c r="M187" s="597">
        <f>'Project-Level Data'!AW70</f>
        <v>5</v>
      </c>
      <c r="N187" s="393">
        <f>'Project-Level Data'!M70</f>
        <v>1</v>
      </c>
      <c r="O187" s="224">
        <f t="shared" si="28"/>
        <v>5</v>
      </c>
    </row>
    <row r="188" spans="2:15" ht="25.5" hidden="1" x14ac:dyDescent="0.25">
      <c r="B188" s="227" t="str">
        <f>'Project-Level Data'!B91</f>
        <v>San Diego Healthy Headwaters Restoration</v>
      </c>
      <c r="C188" s="606" t="str">
        <f>'Project-Level Data'!C91</f>
        <v>Watershed and Ecosystem Management</v>
      </c>
      <c r="D188" s="603">
        <f>'Project-Level Data'!G91</f>
        <v>28</v>
      </c>
      <c r="E188" s="223">
        <f t="shared" si="23"/>
        <v>3</v>
      </c>
      <c r="F188" s="411">
        <f>'Project-Level Data'!F91</f>
        <v>33</v>
      </c>
      <c r="G188" s="223">
        <f t="shared" si="24"/>
        <v>3</v>
      </c>
      <c r="H188" s="599">
        <f t="shared" si="25"/>
        <v>3</v>
      </c>
      <c r="I188" s="378">
        <f>'Project-Level Data'!AT91</f>
        <v>5</v>
      </c>
      <c r="J188" s="379">
        <f>'Project-Level Data'!AU91</f>
        <v>4</v>
      </c>
      <c r="K188" s="420">
        <f t="shared" si="26"/>
        <v>5</v>
      </c>
      <c r="L188" s="224">
        <f t="shared" si="27"/>
        <v>3</v>
      </c>
      <c r="M188" s="597">
        <f>'Project-Level Data'!AW91</f>
        <v>5</v>
      </c>
      <c r="N188" s="393">
        <f>'Project-Level Data'!M91</f>
        <v>3</v>
      </c>
      <c r="O188" s="224" t="str">
        <f t="shared" si="28"/>
        <v>NA</v>
      </c>
    </row>
    <row r="189" spans="2:15" ht="25.5" hidden="1" x14ac:dyDescent="0.25">
      <c r="B189" s="227" t="str">
        <f>'Project-Level Data'!B113</f>
        <v>Sustaining Healthy Tributaries to the Upper San Diego River and Protecting Local Water Supplies</v>
      </c>
      <c r="C189" s="606" t="str">
        <f>'Project-Level Data'!C113</f>
        <v>Watershed and Ecosystem Management</v>
      </c>
      <c r="D189" s="603">
        <f>'Project-Level Data'!G113</f>
        <v>28</v>
      </c>
      <c r="E189" s="223">
        <f t="shared" si="23"/>
        <v>3</v>
      </c>
      <c r="F189" s="411">
        <f>'Project-Level Data'!F113</f>
        <v>33</v>
      </c>
      <c r="G189" s="223">
        <f t="shared" si="24"/>
        <v>3</v>
      </c>
      <c r="H189" s="599">
        <f t="shared" si="25"/>
        <v>3</v>
      </c>
      <c r="I189" s="378" t="str">
        <f>'Project-Level Data'!AT113</f>
        <v>No Response</v>
      </c>
      <c r="J189" s="379" t="str">
        <f>'Project-Level Data'!AU113</f>
        <v>No Response</v>
      </c>
      <c r="K189" s="420" t="str">
        <f t="shared" si="26"/>
        <v>NA</v>
      </c>
      <c r="L189" s="224" t="str">
        <f t="shared" si="27"/>
        <v>NA</v>
      </c>
      <c r="M189" s="597" t="str">
        <f>'Project-Level Data'!AW113</f>
        <v>No Response</v>
      </c>
      <c r="N189" s="393">
        <f>'Project-Level Data'!M113</f>
        <v>3</v>
      </c>
      <c r="O189" s="224" t="str">
        <f t="shared" si="28"/>
        <v>NA</v>
      </c>
    </row>
    <row r="190" spans="2:15" ht="25.5" hidden="1" x14ac:dyDescent="0.25">
      <c r="B190" s="227" t="str">
        <f>'Project-Level Data'!B115</f>
        <v>Sweetwater Reservoir Wetlands Habitat Recovery</v>
      </c>
      <c r="C190" s="606" t="str">
        <f>'Project-Level Data'!C115</f>
        <v>Watershed and Ecosystem Management</v>
      </c>
      <c r="D190" s="603">
        <f>'Project-Level Data'!G115</f>
        <v>7</v>
      </c>
      <c r="E190" s="223">
        <f t="shared" si="23"/>
        <v>5</v>
      </c>
      <c r="F190" s="411">
        <f>'Project-Level Data'!F115</f>
        <v>28</v>
      </c>
      <c r="G190" s="223">
        <f t="shared" si="24"/>
        <v>2</v>
      </c>
      <c r="H190" s="599">
        <f t="shared" si="25"/>
        <v>3</v>
      </c>
      <c r="I190" s="378">
        <f>'Project-Level Data'!AT115</f>
        <v>5</v>
      </c>
      <c r="J190" s="379">
        <f>'Project-Level Data'!AU115</f>
        <v>4</v>
      </c>
      <c r="K190" s="420">
        <f t="shared" si="26"/>
        <v>5</v>
      </c>
      <c r="L190" s="224">
        <f t="shared" si="27"/>
        <v>3</v>
      </c>
      <c r="M190" s="597">
        <f>'Project-Level Data'!AW115</f>
        <v>3</v>
      </c>
      <c r="N190" s="393">
        <f>'Project-Level Data'!M115</f>
        <v>3</v>
      </c>
      <c r="O190" s="224">
        <f t="shared" si="28"/>
        <v>3</v>
      </c>
    </row>
    <row r="191" spans="2:15" ht="25.5" hidden="1" x14ac:dyDescent="0.25">
      <c r="B191" s="227" t="str">
        <f>'Project-Level Data'!B117</f>
        <v>Sycamore Creek Restoration</v>
      </c>
      <c r="C191" s="606" t="str">
        <f>'Project-Level Data'!C117</f>
        <v>Watershed and Ecosystem Management</v>
      </c>
      <c r="D191" s="603">
        <f>'Project-Level Data'!G117</f>
        <v>17</v>
      </c>
      <c r="E191" s="223">
        <f t="shared" si="23"/>
        <v>4</v>
      </c>
      <c r="F191" s="411">
        <f>'Project-Level Data'!F117</f>
        <v>22</v>
      </c>
      <c r="G191" s="223">
        <f t="shared" si="24"/>
        <v>1</v>
      </c>
      <c r="H191" s="599">
        <f t="shared" si="25"/>
        <v>2.5</v>
      </c>
      <c r="I191" s="378">
        <f>'Project-Level Data'!AT117</f>
        <v>5</v>
      </c>
      <c r="J191" s="379">
        <f>'Project-Level Data'!AU117</f>
        <v>3</v>
      </c>
      <c r="K191" s="420">
        <f t="shared" si="26"/>
        <v>4</v>
      </c>
      <c r="L191" s="224">
        <f t="shared" si="27"/>
        <v>3.25</v>
      </c>
      <c r="M191" s="597">
        <f>'Project-Level Data'!AW117</f>
        <v>3</v>
      </c>
      <c r="N191" s="393">
        <f>'Project-Level Data'!M117</f>
        <v>3</v>
      </c>
      <c r="O191" s="224">
        <f t="shared" si="28"/>
        <v>3</v>
      </c>
    </row>
    <row r="192" spans="2:15" ht="26.25" hidden="1" thickBot="1" x14ac:dyDescent="0.3">
      <c r="B192" s="228" t="str">
        <f>'Project-Level Data'!B120</f>
        <v>Tijuana River Floating Trash Capture System</v>
      </c>
      <c r="C192" s="607" t="str">
        <f>'Project-Level Data'!C120</f>
        <v>Watershed and Ecosystem Management</v>
      </c>
      <c r="D192" s="604">
        <f>'Project-Level Data'!G120</f>
        <v>51</v>
      </c>
      <c r="E192" s="528">
        <f t="shared" si="23"/>
        <v>2</v>
      </c>
      <c r="F192" s="605">
        <f>'Project-Level Data'!F120</f>
        <v>78</v>
      </c>
      <c r="G192" s="528">
        <f t="shared" si="24"/>
        <v>2</v>
      </c>
      <c r="H192" s="600">
        <f t="shared" si="25"/>
        <v>2</v>
      </c>
      <c r="I192" s="382" t="str">
        <f>'Project-Level Data'!AT120</f>
        <v>No Response</v>
      </c>
      <c r="J192" s="383" t="str">
        <f>'Project-Level Data'!AU120</f>
        <v>No Response</v>
      </c>
      <c r="K192" s="529" t="str">
        <f t="shared" si="26"/>
        <v>NA</v>
      </c>
      <c r="L192" s="225" t="str">
        <f t="shared" si="27"/>
        <v>NA</v>
      </c>
      <c r="M192" s="598" t="str">
        <f>'Project-Level Data'!AW120</f>
        <v>No Response</v>
      </c>
      <c r="N192" s="394">
        <f>'Project-Level Data'!M120</f>
        <v>3</v>
      </c>
      <c r="O192" s="225" t="str">
        <f t="shared" si="28"/>
        <v>NA</v>
      </c>
    </row>
    <row r="193" spans="2:15" ht="25.5" hidden="1" x14ac:dyDescent="0.25">
      <c r="B193" s="370"/>
      <c r="C193" s="515" t="s">
        <v>860</v>
      </c>
      <c r="D193" s="520">
        <f>COUNTIFS(D73:D192, "=NOT MAPPED")</f>
        <v>9</v>
      </c>
      <c r="E193" s="526"/>
      <c r="F193" s="520">
        <f>COUNTIFS(F73:F192, "=NOT MAPPED")</f>
        <v>9</v>
      </c>
      <c r="G193" s="526"/>
      <c r="H193" s="527"/>
      <c r="I193" s="375">
        <f>COUNTIFS(I73:I192, "=MISSING")</f>
        <v>5</v>
      </c>
      <c r="J193" s="375">
        <f>COUNTIFS(J73:J192, "=MISSING")</f>
        <v>12</v>
      </c>
      <c r="K193" s="601"/>
      <c r="L193" s="602"/>
      <c r="M193" s="486">
        <f>COUNTIFS(M73:M192, "=MISSING")</f>
        <v>2</v>
      </c>
      <c r="N193" s="520"/>
      <c r="O193" s="491"/>
    </row>
    <row r="194" spans="2:15" hidden="1" x14ac:dyDescent="0.25">
      <c r="B194" s="227"/>
      <c r="C194" s="516" t="s">
        <v>856</v>
      </c>
      <c r="D194" s="393">
        <f>COUNTIFS(D73:D192, "=No Response")</f>
        <v>0</v>
      </c>
      <c r="E194" s="223"/>
      <c r="F194" s="393">
        <f>COUNTIFS(F73:F192, "=No Response")</f>
        <v>0</v>
      </c>
      <c r="G194" s="223"/>
      <c r="H194" s="420"/>
      <c r="I194" s="379">
        <f>COUNTIFS(I73:I192, "=No Response")</f>
        <v>33</v>
      </c>
      <c r="J194" s="379">
        <f>COUNTIFS(J73:J192, "=No Response")</f>
        <v>33</v>
      </c>
      <c r="K194" s="420"/>
      <c r="L194" s="223"/>
      <c r="M194" s="379">
        <f>COUNTIFS(M73:M192, "=No Response")</f>
        <v>33</v>
      </c>
      <c r="N194" s="393"/>
      <c r="O194" s="224"/>
    </row>
    <row r="195" spans="2:15" hidden="1" x14ac:dyDescent="0.25">
      <c r="B195" s="227"/>
      <c r="C195" s="516" t="s">
        <v>858</v>
      </c>
      <c r="D195" s="393">
        <f>COUNTIFS(D73:D192, "=REMOVED")</f>
        <v>0</v>
      </c>
      <c r="E195" s="223"/>
      <c r="F195" s="393">
        <f>COUNTIFS(F73:F192, "=REMOVED")</f>
        <v>0</v>
      </c>
      <c r="G195" s="223"/>
      <c r="H195" s="420"/>
      <c r="I195" s="379">
        <f>COUNTIFS(I73:I192, "=REMOVED")</f>
        <v>1</v>
      </c>
      <c r="J195" s="379">
        <f>COUNTIFS(J73:J192, "=REMOVED")</f>
        <v>1</v>
      </c>
      <c r="K195" s="420"/>
      <c r="L195" s="223"/>
      <c r="M195" s="379">
        <f>COUNTIFS(M73:M192, "=REMOVED")</f>
        <v>1</v>
      </c>
      <c r="N195" s="393"/>
      <c r="O195" s="224"/>
    </row>
    <row r="196" spans="2:15" ht="15.75" hidden="1" thickBot="1" x14ac:dyDescent="0.3">
      <c r="B196" s="228"/>
      <c r="C196" s="517" t="s">
        <v>859</v>
      </c>
      <c r="D196" s="394">
        <f>COUNTIFS(D73:D192, "&gt;0")</f>
        <v>111</v>
      </c>
      <c r="E196" s="528"/>
      <c r="F196" s="394">
        <f>COUNTIFS(F73:F192, "&gt;0")</f>
        <v>111</v>
      </c>
      <c r="G196" s="528"/>
      <c r="H196" s="529"/>
      <c r="I196" s="383">
        <f>COUNTIFS(I73:I192, "&gt;0")</f>
        <v>81</v>
      </c>
      <c r="J196" s="383">
        <f>COUNTIFS(J73:J192, "&gt;0")</f>
        <v>74</v>
      </c>
      <c r="K196" s="529"/>
      <c r="L196" s="528"/>
      <c r="M196" s="383">
        <f>COUNTIFS(M73:M192, "&gt;0")</f>
        <v>84</v>
      </c>
      <c r="N196" s="394"/>
      <c r="O196" s="225"/>
    </row>
    <row r="197" spans="2:15" hidden="1" x14ac:dyDescent="0.25">
      <c r="B197" s="11"/>
      <c r="C197" s="84"/>
      <c r="D197" s="84"/>
    </row>
    <row r="198" spans="2:15" hidden="1" x14ac:dyDescent="0.25">
      <c r="B198" s="481"/>
      <c r="C198" s="11"/>
      <c r="D198" s="11"/>
      <c r="E198" s="11"/>
    </row>
    <row r="199" spans="2:15" x14ac:dyDescent="0.25">
      <c r="B199" s="482"/>
      <c r="C199" s="816"/>
      <c r="D199" s="816"/>
      <c r="E199" s="231"/>
    </row>
    <row r="200" spans="2:15" x14ac:dyDescent="0.25">
      <c r="B200" s="256"/>
      <c r="C200" s="256"/>
      <c r="D200" s="257"/>
      <c r="E200" s="240"/>
    </row>
    <row r="201" spans="2:15" x14ac:dyDescent="0.25">
      <c r="B201" s="256"/>
      <c r="C201" s="256"/>
      <c r="D201" s="257"/>
      <c r="E201" s="240"/>
    </row>
    <row r="202" spans="2:15" x14ac:dyDescent="0.25">
      <c r="B202" s="256"/>
      <c r="C202" s="256"/>
      <c r="D202" s="257"/>
      <c r="E202" s="240"/>
    </row>
    <row r="203" spans="2:15" x14ac:dyDescent="0.25">
      <c r="B203" s="256"/>
      <c r="C203" s="256"/>
      <c r="D203" s="257"/>
      <c r="E203" s="240"/>
    </row>
    <row r="204" spans="2:15" x14ac:dyDescent="0.25">
      <c r="B204" s="256"/>
      <c r="C204" s="256"/>
      <c r="D204" s="257"/>
      <c r="E204" s="240"/>
    </row>
    <row r="205" spans="2:15" x14ac:dyDescent="0.25">
      <c r="B205" s="256"/>
      <c r="C205" s="256"/>
      <c r="D205" s="257"/>
      <c r="E205" s="240"/>
    </row>
    <row r="206" spans="2:15" x14ac:dyDescent="0.25">
      <c r="B206" s="256"/>
      <c r="C206" s="256"/>
      <c r="D206" s="257"/>
      <c r="E206" s="240"/>
    </row>
    <row r="207" spans="2:15" x14ac:dyDescent="0.25">
      <c r="B207" s="256"/>
      <c r="C207" s="256"/>
      <c r="D207" s="257"/>
      <c r="E207" s="240"/>
    </row>
    <row r="208" spans="2:15" x14ac:dyDescent="0.25">
      <c r="B208" s="256"/>
      <c r="C208" s="256"/>
      <c r="D208" s="257"/>
      <c r="E208" s="240"/>
    </row>
    <row r="209" spans="2:5" x14ac:dyDescent="0.25">
      <c r="B209" s="256"/>
      <c r="C209" s="256"/>
      <c r="D209" s="257"/>
      <c r="E209" s="240"/>
    </row>
    <row r="210" spans="2:5" x14ac:dyDescent="0.25">
      <c r="B210" s="256"/>
      <c r="C210" s="256"/>
      <c r="D210" s="257"/>
      <c r="E210" s="240"/>
    </row>
    <row r="211" spans="2:5" x14ac:dyDescent="0.25">
      <c r="B211" s="256"/>
      <c r="C211" s="256"/>
      <c r="D211" s="257"/>
      <c r="E211" s="240"/>
    </row>
    <row r="212" spans="2:5" x14ac:dyDescent="0.25">
      <c r="B212" s="256"/>
      <c r="C212" s="256"/>
      <c r="D212" s="257"/>
      <c r="E212" s="240"/>
    </row>
    <row r="213" spans="2:5" x14ac:dyDescent="0.25">
      <c r="B213" s="256"/>
      <c r="C213" s="256"/>
      <c r="D213" s="257"/>
      <c r="E213" s="240"/>
    </row>
    <row r="214" spans="2:5" x14ac:dyDescent="0.25">
      <c r="B214" s="256"/>
      <c r="C214" s="256"/>
      <c r="D214" s="257"/>
      <c r="E214" s="240"/>
    </row>
    <row r="215" spans="2:5" x14ac:dyDescent="0.25">
      <c r="B215" s="256"/>
      <c r="C215" s="256"/>
      <c r="D215" s="257"/>
      <c r="E215" s="240"/>
    </row>
    <row r="216" spans="2:5" x14ac:dyDescent="0.25">
      <c r="B216" s="256"/>
      <c r="C216" s="256"/>
      <c r="D216" s="257"/>
      <c r="E216" s="240"/>
    </row>
    <row r="217" spans="2:5" x14ac:dyDescent="0.25">
      <c r="B217" s="256"/>
      <c r="C217" s="256"/>
      <c r="D217" s="257"/>
      <c r="E217" s="240"/>
    </row>
    <row r="218" spans="2:5" x14ac:dyDescent="0.25">
      <c r="B218" s="256"/>
      <c r="C218" s="256"/>
      <c r="D218" s="257"/>
      <c r="E218" s="240"/>
    </row>
    <row r="219" spans="2:5" x14ac:dyDescent="0.25">
      <c r="B219" s="256"/>
      <c r="C219" s="256"/>
      <c r="D219" s="257"/>
      <c r="E219" s="240"/>
    </row>
    <row r="220" spans="2:5" x14ac:dyDescent="0.25">
      <c r="B220" s="256"/>
      <c r="C220" s="256"/>
      <c r="D220" s="257"/>
      <c r="E220" s="240"/>
    </row>
    <row r="221" spans="2:5" x14ac:dyDescent="0.25">
      <c r="B221" s="256"/>
      <c r="C221" s="256"/>
      <c r="D221" s="257"/>
      <c r="E221" s="240"/>
    </row>
    <row r="222" spans="2:5" x14ac:dyDescent="0.25">
      <c r="B222" s="256"/>
      <c r="C222" s="256"/>
      <c r="D222" s="257"/>
      <c r="E222" s="240"/>
    </row>
    <row r="223" spans="2:5" x14ac:dyDescent="0.25">
      <c r="B223" s="256"/>
      <c r="C223" s="256"/>
      <c r="D223" s="257"/>
      <c r="E223" s="240"/>
    </row>
    <row r="224" spans="2:5" x14ac:dyDescent="0.25">
      <c r="B224" s="256"/>
      <c r="C224" s="256"/>
      <c r="D224" s="257"/>
      <c r="E224" s="240"/>
    </row>
    <row r="225" spans="2:5" x14ac:dyDescent="0.25">
      <c r="B225" s="256"/>
      <c r="C225" s="256"/>
      <c r="D225" s="257"/>
      <c r="E225" s="240"/>
    </row>
    <row r="226" spans="2:5" x14ac:dyDescent="0.25">
      <c r="B226" s="256"/>
      <c r="C226" s="256"/>
      <c r="D226" s="257"/>
      <c r="E226" s="240"/>
    </row>
    <row r="227" spans="2:5" x14ac:dyDescent="0.25">
      <c r="B227" s="256"/>
      <c r="C227" s="256"/>
      <c r="D227" s="257"/>
      <c r="E227" s="240"/>
    </row>
    <row r="228" spans="2:5" x14ac:dyDescent="0.25">
      <c r="B228" s="256"/>
      <c r="C228" s="256"/>
      <c r="D228" s="257"/>
      <c r="E228" s="240"/>
    </row>
    <row r="229" spans="2:5" x14ac:dyDescent="0.25">
      <c r="B229" s="256"/>
      <c r="C229" s="256"/>
      <c r="D229" s="257"/>
      <c r="E229" s="240"/>
    </row>
    <row r="230" spans="2:5" x14ac:dyDescent="0.25">
      <c r="B230" s="256"/>
      <c r="C230" s="256"/>
      <c r="D230" s="257"/>
      <c r="E230" s="240"/>
    </row>
    <row r="231" spans="2:5" x14ac:dyDescent="0.25">
      <c r="B231" s="256"/>
      <c r="C231" s="256"/>
      <c r="D231" s="257"/>
      <c r="E231" s="240"/>
    </row>
    <row r="232" spans="2:5" x14ac:dyDescent="0.25">
      <c r="B232" s="256"/>
      <c r="C232" s="256"/>
      <c r="D232" s="257"/>
      <c r="E232" s="240"/>
    </row>
    <row r="233" spans="2:5" x14ac:dyDescent="0.25">
      <c r="B233" s="256"/>
      <c r="C233" s="256"/>
      <c r="D233" s="257"/>
      <c r="E233" s="240"/>
    </row>
    <row r="234" spans="2:5" x14ac:dyDescent="0.25">
      <c r="B234" s="256"/>
      <c r="C234" s="256"/>
      <c r="D234" s="257"/>
      <c r="E234" s="240"/>
    </row>
    <row r="235" spans="2:5" x14ac:dyDescent="0.25">
      <c r="B235" s="256"/>
      <c r="C235" s="256"/>
      <c r="D235" s="257"/>
      <c r="E235" s="240"/>
    </row>
    <row r="236" spans="2:5" x14ac:dyDescent="0.25">
      <c r="B236" s="256"/>
      <c r="C236" s="256"/>
      <c r="D236" s="257"/>
      <c r="E236" s="240"/>
    </row>
    <row r="237" spans="2:5" x14ac:dyDescent="0.25">
      <c r="B237" s="256"/>
      <c r="C237" s="256"/>
      <c r="D237" s="257"/>
      <c r="E237" s="240"/>
    </row>
    <row r="238" spans="2:5" x14ac:dyDescent="0.25">
      <c r="B238" s="256"/>
      <c r="C238" s="256"/>
      <c r="D238" s="257"/>
      <c r="E238" s="240"/>
    </row>
    <row r="239" spans="2:5" x14ac:dyDescent="0.25">
      <c r="B239" s="256"/>
      <c r="C239" s="256"/>
      <c r="D239" s="257"/>
      <c r="E239" s="240"/>
    </row>
    <row r="240" spans="2:5" x14ac:dyDescent="0.25">
      <c r="B240" s="256"/>
      <c r="C240" s="256"/>
      <c r="D240" s="257"/>
      <c r="E240" s="240"/>
    </row>
    <row r="241" spans="2:5" x14ac:dyDescent="0.25">
      <c r="B241" s="256"/>
      <c r="C241" s="256"/>
      <c r="D241" s="257"/>
      <c r="E241" s="240"/>
    </row>
    <row r="242" spans="2:5" x14ac:dyDescent="0.25">
      <c r="B242" s="256"/>
      <c r="C242" s="256"/>
      <c r="D242" s="257"/>
      <c r="E242" s="240"/>
    </row>
    <row r="243" spans="2:5" x14ac:dyDescent="0.25">
      <c r="B243" s="256"/>
      <c r="C243" s="256"/>
      <c r="D243" s="257"/>
      <c r="E243" s="240"/>
    </row>
    <row r="244" spans="2:5" x14ac:dyDescent="0.25">
      <c r="B244" s="256"/>
      <c r="C244" s="256"/>
      <c r="D244" s="257"/>
      <c r="E244" s="240"/>
    </row>
    <row r="245" spans="2:5" x14ac:dyDescent="0.25">
      <c r="B245" s="256"/>
      <c r="C245" s="256"/>
      <c r="D245" s="257"/>
      <c r="E245" s="240"/>
    </row>
    <row r="246" spans="2:5" x14ac:dyDescent="0.25">
      <c r="B246" s="256"/>
      <c r="C246" s="256"/>
      <c r="D246" s="257"/>
      <c r="E246" s="240"/>
    </row>
    <row r="247" spans="2:5" x14ac:dyDescent="0.25">
      <c r="B247" s="256"/>
      <c r="C247" s="256"/>
      <c r="D247" s="257"/>
      <c r="E247" s="240"/>
    </row>
    <row r="248" spans="2:5" x14ac:dyDescent="0.25">
      <c r="B248" s="256"/>
      <c r="C248" s="256"/>
      <c r="D248" s="257"/>
      <c r="E248" s="240"/>
    </row>
    <row r="249" spans="2:5" x14ac:dyDescent="0.25">
      <c r="B249" s="256"/>
      <c r="C249" s="256"/>
      <c r="D249" s="257"/>
      <c r="E249" s="240"/>
    </row>
    <row r="250" spans="2:5" x14ac:dyDescent="0.25">
      <c r="B250" s="256"/>
      <c r="C250" s="256"/>
      <c r="D250" s="257"/>
      <c r="E250" s="240"/>
    </row>
    <row r="251" spans="2:5" x14ac:dyDescent="0.25">
      <c r="B251" s="256"/>
      <c r="C251" s="256"/>
      <c r="D251" s="257"/>
      <c r="E251" s="240"/>
    </row>
    <row r="252" spans="2:5" x14ac:dyDescent="0.25">
      <c r="B252" s="256"/>
      <c r="C252" s="256"/>
      <c r="D252" s="257"/>
      <c r="E252" s="240"/>
    </row>
    <row r="253" spans="2:5" x14ac:dyDescent="0.25">
      <c r="B253" s="256"/>
      <c r="C253" s="256"/>
      <c r="D253" s="257"/>
      <c r="E253" s="240"/>
    </row>
    <row r="254" spans="2:5" x14ac:dyDescent="0.25">
      <c r="B254" s="256"/>
      <c r="C254" s="256"/>
      <c r="D254" s="257"/>
      <c r="E254" s="240"/>
    </row>
    <row r="255" spans="2:5" x14ac:dyDescent="0.25">
      <c r="B255" s="256"/>
      <c r="C255" s="256"/>
      <c r="D255" s="257"/>
      <c r="E255" s="240"/>
    </row>
    <row r="256" spans="2:5" x14ac:dyDescent="0.25">
      <c r="B256" s="256"/>
      <c r="C256" s="256"/>
      <c r="D256" s="257"/>
      <c r="E256" s="240"/>
    </row>
    <row r="257" spans="2:5" x14ac:dyDescent="0.25">
      <c r="B257" s="256"/>
      <c r="C257" s="256"/>
      <c r="D257" s="257"/>
      <c r="E257" s="240"/>
    </row>
    <row r="258" spans="2:5" x14ac:dyDescent="0.25">
      <c r="B258" s="256"/>
      <c r="C258" s="256"/>
      <c r="D258" s="257"/>
      <c r="E258" s="240"/>
    </row>
    <row r="259" spans="2:5" x14ac:dyDescent="0.25">
      <c r="B259" s="256"/>
      <c r="C259" s="256"/>
      <c r="D259" s="257"/>
      <c r="E259" s="240"/>
    </row>
    <row r="260" spans="2:5" x14ac:dyDescent="0.25">
      <c r="B260" s="256"/>
      <c r="C260" s="256"/>
      <c r="D260" s="257"/>
      <c r="E260" s="240"/>
    </row>
    <row r="261" spans="2:5" x14ac:dyDescent="0.25">
      <c r="B261" s="256"/>
      <c r="C261" s="256"/>
      <c r="D261" s="257"/>
      <c r="E261" s="240"/>
    </row>
    <row r="262" spans="2:5" x14ac:dyDescent="0.25">
      <c r="B262" s="256"/>
      <c r="C262" s="256"/>
      <c r="D262" s="257"/>
      <c r="E262" s="240"/>
    </row>
    <row r="263" spans="2:5" x14ac:dyDescent="0.25">
      <c r="B263" s="256"/>
      <c r="C263" s="256"/>
      <c r="D263" s="257"/>
      <c r="E263" s="240"/>
    </row>
    <row r="264" spans="2:5" x14ac:dyDescent="0.25">
      <c r="B264" s="256"/>
      <c r="C264" s="256"/>
      <c r="D264" s="257"/>
      <c r="E264" s="240"/>
    </row>
    <row r="265" spans="2:5" x14ac:dyDescent="0.25">
      <c r="B265" s="256"/>
      <c r="C265" s="256"/>
      <c r="D265" s="257"/>
      <c r="E265" s="240"/>
    </row>
    <row r="266" spans="2:5" x14ac:dyDescent="0.25">
      <c r="B266" s="256"/>
      <c r="C266" s="256"/>
      <c r="D266" s="257"/>
      <c r="E266" s="240"/>
    </row>
    <row r="267" spans="2:5" x14ac:dyDescent="0.25">
      <c r="B267" s="256"/>
      <c r="C267" s="256"/>
      <c r="D267" s="257"/>
      <c r="E267" s="240"/>
    </row>
    <row r="268" spans="2:5" x14ac:dyDescent="0.25">
      <c r="B268" s="256"/>
      <c r="C268" s="256"/>
      <c r="D268" s="257"/>
      <c r="E268" s="240"/>
    </row>
    <row r="269" spans="2:5" x14ac:dyDescent="0.25">
      <c r="B269" s="256"/>
      <c r="C269" s="256"/>
      <c r="D269" s="257"/>
      <c r="E269" s="240"/>
    </row>
    <row r="270" spans="2:5" x14ac:dyDescent="0.25">
      <c r="B270" s="256"/>
      <c r="C270" s="256"/>
      <c r="D270" s="257"/>
      <c r="E270" s="240"/>
    </row>
    <row r="271" spans="2:5" x14ac:dyDescent="0.25">
      <c r="B271" s="256"/>
      <c r="C271" s="256"/>
      <c r="D271" s="257"/>
      <c r="E271" s="240"/>
    </row>
    <row r="272" spans="2:5" x14ac:dyDescent="0.25">
      <c r="B272" s="256"/>
      <c r="C272" s="256"/>
      <c r="D272" s="257"/>
      <c r="E272" s="240"/>
    </row>
    <row r="273" spans="2:5" x14ac:dyDescent="0.25">
      <c r="B273" s="256"/>
      <c r="C273" s="256"/>
      <c r="D273" s="257"/>
      <c r="E273" s="240"/>
    </row>
    <row r="274" spans="2:5" x14ac:dyDescent="0.25">
      <c r="B274" s="256"/>
      <c r="C274" s="256"/>
      <c r="D274" s="257"/>
      <c r="E274" s="240"/>
    </row>
    <row r="275" spans="2:5" x14ac:dyDescent="0.25">
      <c r="B275" s="256"/>
      <c r="C275" s="256"/>
      <c r="D275" s="257"/>
      <c r="E275" s="240"/>
    </row>
    <row r="276" spans="2:5" x14ac:dyDescent="0.25">
      <c r="B276" s="256"/>
      <c r="C276" s="256"/>
      <c r="D276" s="257"/>
      <c r="E276" s="240"/>
    </row>
    <row r="277" spans="2:5" x14ac:dyDescent="0.25">
      <c r="B277" s="256"/>
      <c r="C277" s="256"/>
      <c r="D277" s="257"/>
      <c r="E277" s="240"/>
    </row>
    <row r="278" spans="2:5" x14ac:dyDescent="0.25">
      <c r="B278" s="256"/>
      <c r="C278" s="256"/>
      <c r="D278" s="257"/>
      <c r="E278" s="240"/>
    </row>
    <row r="279" spans="2:5" x14ac:dyDescent="0.25">
      <c r="B279" s="256"/>
      <c r="C279" s="256"/>
      <c r="D279" s="257"/>
      <c r="E279" s="240"/>
    </row>
    <row r="280" spans="2:5" x14ac:dyDescent="0.25">
      <c r="B280" s="256"/>
      <c r="C280" s="256"/>
      <c r="D280" s="257"/>
      <c r="E280" s="240"/>
    </row>
    <row r="281" spans="2:5" x14ac:dyDescent="0.25">
      <c r="B281" s="256"/>
      <c r="C281" s="256"/>
      <c r="D281" s="257"/>
      <c r="E281" s="240"/>
    </row>
    <row r="282" spans="2:5" x14ac:dyDescent="0.25">
      <c r="B282" s="256"/>
      <c r="C282" s="256"/>
      <c r="D282" s="257"/>
      <c r="E282" s="240"/>
    </row>
    <row r="283" spans="2:5" x14ac:dyDescent="0.25">
      <c r="B283" s="256"/>
      <c r="C283" s="256"/>
      <c r="D283" s="257"/>
      <c r="E283" s="240"/>
    </row>
    <row r="284" spans="2:5" x14ac:dyDescent="0.25">
      <c r="B284" s="256"/>
      <c r="C284" s="256"/>
      <c r="D284" s="257"/>
      <c r="E284" s="240"/>
    </row>
    <row r="285" spans="2:5" x14ac:dyDescent="0.25">
      <c r="B285" s="256"/>
      <c r="C285" s="256"/>
      <c r="D285" s="257"/>
      <c r="E285" s="240"/>
    </row>
    <row r="286" spans="2:5" x14ac:dyDescent="0.25">
      <c r="B286" s="256"/>
      <c r="C286" s="256"/>
      <c r="D286" s="257"/>
      <c r="E286" s="240"/>
    </row>
    <row r="287" spans="2:5" x14ac:dyDescent="0.25">
      <c r="B287" s="256"/>
      <c r="C287" s="256"/>
      <c r="D287" s="257"/>
      <c r="E287" s="240"/>
    </row>
    <row r="288" spans="2:5" x14ac:dyDescent="0.25">
      <c r="B288" s="256"/>
      <c r="C288" s="256"/>
      <c r="D288" s="257"/>
      <c r="E288" s="240"/>
    </row>
    <row r="289" spans="2:5" x14ac:dyDescent="0.25">
      <c r="B289" s="256"/>
      <c r="C289" s="256"/>
      <c r="D289" s="257"/>
      <c r="E289" s="240"/>
    </row>
    <row r="290" spans="2:5" x14ac:dyDescent="0.25">
      <c r="B290" s="256"/>
      <c r="C290" s="256"/>
      <c r="D290" s="257"/>
      <c r="E290" s="240"/>
    </row>
    <row r="291" spans="2:5" x14ac:dyDescent="0.25">
      <c r="B291" s="256"/>
      <c r="C291" s="256"/>
      <c r="D291" s="257"/>
      <c r="E291" s="240"/>
    </row>
    <row r="292" spans="2:5" x14ac:dyDescent="0.25">
      <c r="B292" s="256"/>
      <c r="C292" s="256"/>
      <c r="D292" s="257"/>
      <c r="E292" s="240"/>
    </row>
    <row r="293" spans="2:5" x14ac:dyDescent="0.25">
      <c r="B293" s="256"/>
      <c r="C293" s="256"/>
      <c r="D293" s="257"/>
      <c r="E293" s="240"/>
    </row>
    <row r="294" spans="2:5" x14ac:dyDescent="0.25">
      <c r="B294" s="256"/>
      <c r="C294" s="256"/>
      <c r="D294" s="257"/>
      <c r="E294" s="240"/>
    </row>
    <row r="295" spans="2:5" x14ac:dyDescent="0.25">
      <c r="B295" s="256"/>
      <c r="C295" s="256"/>
      <c r="D295" s="257"/>
      <c r="E295" s="240"/>
    </row>
    <row r="296" spans="2:5" x14ac:dyDescent="0.25">
      <c r="B296" s="256"/>
      <c r="C296" s="256"/>
      <c r="D296" s="257"/>
      <c r="E296" s="240"/>
    </row>
    <row r="297" spans="2:5" x14ac:dyDescent="0.25">
      <c r="B297" s="256"/>
      <c r="C297" s="256"/>
      <c r="D297" s="257"/>
      <c r="E297" s="240"/>
    </row>
    <row r="298" spans="2:5" x14ac:dyDescent="0.25">
      <c r="B298" s="256"/>
      <c r="C298" s="256"/>
      <c r="D298" s="257"/>
      <c r="E298" s="240"/>
    </row>
    <row r="299" spans="2:5" x14ac:dyDescent="0.25">
      <c r="B299" s="256"/>
      <c r="C299" s="256"/>
      <c r="D299" s="257"/>
      <c r="E299" s="240"/>
    </row>
    <row r="300" spans="2:5" x14ac:dyDescent="0.25">
      <c r="B300" s="256"/>
      <c r="C300" s="256"/>
      <c r="D300" s="257"/>
      <c r="E300" s="240"/>
    </row>
    <row r="301" spans="2:5" x14ac:dyDescent="0.25">
      <c r="B301" s="256"/>
      <c r="C301" s="256"/>
      <c r="D301" s="257"/>
      <c r="E301" s="240"/>
    </row>
    <row r="302" spans="2:5" x14ac:dyDescent="0.25">
      <c r="B302" s="256"/>
      <c r="C302" s="256"/>
      <c r="D302" s="257"/>
      <c r="E302" s="240"/>
    </row>
    <row r="303" spans="2:5" x14ac:dyDescent="0.25">
      <c r="B303" s="256"/>
      <c r="C303" s="256"/>
      <c r="D303" s="257"/>
      <c r="E303" s="240"/>
    </row>
    <row r="304" spans="2:5" x14ac:dyDescent="0.25">
      <c r="B304" s="256"/>
      <c r="C304" s="256"/>
      <c r="D304" s="257"/>
      <c r="E304" s="240"/>
    </row>
    <row r="305" spans="2:5" x14ac:dyDescent="0.25">
      <c r="B305" s="256"/>
      <c r="C305" s="256"/>
      <c r="D305" s="257"/>
      <c r="E305" s="240"/>
    </row>
    <row r="306" spans="2:5" x14ac:dyDescent="0.25">
      <c r="B306" s="256"/>
      <c r="C306" s="256"/>
      <c r="D306" s="257"/>
      <c r="E306" s="240"/>
    </row>
    <row r="307" spans="2:5" x14ac:dyDescent="0.25">
      <c r="B307" s="256"/>
      <c r="C307" s="256"/>
      <c r="D307" s="257"/>
      <c r="E307" s="240"/>
    </row>
    <row r="308" spans="2:5" x14ac:dyDescent="0.25">
      <c r="B308" s="256"/>
      <c r="C308" s="256"/>
      <c r="D308" s="257"/>
      <c r="E308" s="240"/>
    </row>
    <row r="309" spans="2:5" x14ac:dyDescent="0.25">
      <c r="B309" s="256"/>
      <c r="C309" s="256"/>
      <c r="D309" s="257"/>
      <c r="E309" s="240"/>
    </row>
    <row r="310" spans="2:5" x14ac:dyDescent="0.25">
      <c r="B310" s="256"/>
      <c r="C310" s="256"/>
      <c r="D310" s="257"/>
      <c r="E310" s="240"/>
    </row>
    <row r="311" spans="2:5" x14ac:dyDescent="0.25">
      <c r="B311" s="256"/>
      <c r="C311" s="256"/>
      <c r="D311" s="257"/>
      <c r="E311" s="240"/>
    </row>
    <row r="312" spans="2:5" x14ac:dyDescent="0.25">
      <c r="B312" s="256"/>
      <c r="C312" s="256"/>
      <c r="D312" s="257"/>
      <c r="E312" s="240"/>
    </row>
    <row r="313" spans="2:5" x14ac:dyDescent="0.25">
      <c r="B313" s="256"/>
      <c r="C313" s="256"/>
      <c r="D313" s="257"/>
      <c r="E313" s="240"/>
    </row>
    <row r="314" spans="2:5" x14ac:dyDescent="0.25">
      <c r="B314" s="256"/>
      <c r="C314" s="256"/>
      <c r="D314" s="257"/>
      <c r="E314" s="240"/>
    </row>
    <row r="315" spans="2:5" x14ac:dyDescent="0.25">
      <c r="B315" s="256"/>
      <c r="C315" s="256"/>
      <c r="D315" s="257"/>
      <c r="E315" s="240"/>
    </row>
    <row r="316" spans="2:5" x14ac:dyDescent="0.25">
      <c r="B316" s="256"/>
      <c r="C316" s="256"/>
      <c r="D316" s="257"/>
      <c r="E316" s="240"/>
    </row>
    <row r="317" spans="2:5" x14ac:dyDescent="0.25">
      <c r="B317" s="256"/>
      <c r="C317" s="256"/>
      <c r="D317" s="257"/>
      <c r="E317" s="240"/>
    </row>
    <row r="318" spans="2:5" x14ac:dyDescent="0.25">
      <c r="B318" s="256"/>
      <c r="C318" s="256"/>
      <c r="D318" s="257"/>
      <c r="E318" s="240"/>
    </row>
    <row r="319" spans="2:5" x14ac:dyDescent="0.25">
      <c r="B319" s="256"/>
      <c r="C319" s="256"/>
      <c r="D319" s="257"/>
      <c r="E319" s="240"/>
    </row>
    <row r="320" spans="2:5" x14ac:dyDescent="0.25">
      <c r="B320" s="256"/>
      <c r="C320" s="256"/>
      <c r="D320" s="257"/>
      <c r="E320" s="240"/>
    </row>
    <row r="321" spans="2:5" x14ac:dyDescent="0.25">
      <c r="B321" s="256"/>
      <c r="C321" s="256"/>
      <c r="D321" s="257"/>
      <c r="E321" s="240"/>
    </row>
    <row r="322" spans="2:5" x14ac:dyDescent="0.25">
      <c r="B322" s="256"/>
      <c r="C322" s="256"/>
      <c r="D322" s="257"/>
      <c r="E322" s="240"/>
    </row>
    <row r="323" spans="2:5" x14ac:dyDescent="0.25">
      <c r="B323" s="256"/>
      <c r="C323" s="256"/>
      <c r="D323" s="257"/>
      <c r="E323" s="240"/>
    </row>
    <row r="324" spans="2:5" x14ac:dyDescent="0.25">
      <c r="B324" s="256"/>
      <c r="C324" s="256"/>
      <c r="D324" s="257"/>
      <c r="E324" s="240"/>
    </row>
    <row r="325" spans="2:5" x14ac:dyDescent="0.25">
      <c r="B325" s="256"/>
      <c r="C325" s="256"/>
      <c r="D325" s="257"/>
      <c r="E325" s="240"/>
    </row>
    <row r="326" spans="2:5" x14ac:dyDescent="0.25">
      <c r="B326" s="256"/>
      <c r="C326" s="256"/>
      <c r="D326" s="257"/>
      <c r="E326" s="240"/>
    </row>
    <row r="327" spans="2:5" x14ac:dyDescent="0.25">
      <c r="B327" s="256"/>
      <c r="C327" s="256"/>
      <c r="D327" s="257"/>
      <c r="E327" s="240"/>
    </row>
    <row r="328" spans="2:5" x14ac:dyDescent="0.25">
      <c r="B328" s="256"/>
      <c r="C328" s="256"/>
      <c r="D328" s="257"/>
      <c r="E328" s="240"/>
    </row>
    <row r="329" spans="2:5" x14ac:dyDescent="0.25">
      <c r="B329" s="256"/>
      <c r="C329" s="256"/>
      <c r="D329" s="257"/>
      <c r="E329" s="240"/>
    </row>
    <row r="330" spans="2:5" x14ac:dyDescent="0.25">
      <c r="B330" s="256"/>
      <c r="C330" s="256"/>
      <c r="D330" s="257"/>
      <c r="E330" s="240"/>
    </row>
    <row r="331" spans="2:5" x14ac:dyDescent="0.25">
      <c r="B331" s="256"/>
      <c r="C331" s="256"/>
      <c r="D331" s="257"/>
      <c r="E331" s="240"/>
    </row>
    <row r="332" spans="2:5" x14ac:dyDescent="0.25">
      <c r="B332" s="256"/>
      <c r="C332" s="256"/>
      <c r="D332" s="257"/>
      <c r="E332" s="240"/>
    </row>
    <row r="333" spans="2:5" x14ac:dyDescent="0.25">
      <c r="B333" s="256"/>
      <c r="C333" s="256"/>
      <c r="D333" s="257"/>
      <c r="E333" s="240"/>
    </row>
    <row r="334" spans="2:5" x14ac:dyDescent="0.25">
      <c r="B334" s="256"/>
      <c r="C334" s="256"/>
      <c r="D334" s="257"/>
      <c r="E334" s="240"/>
    </row>
    <row r="335" spans="2:5" x14ac:dyDescent="0.25">
      <c r="B335" s="256"/>
      <c r="C335" s="256"/>
      <c r="D335" s="257"/>
      <c r="E335" s="240"/>
    </row>
    <row r="336" spans="2:5" x14ac:dyDescent="0.25">
      <c r="B336" s="256"/>
      <c r="C336" s="256"/>
      <c r="D336" s="257"/>
      <c r="E336" s="240"/>
    </row>
    <row r="337" spans="2:5" x14ac:dyDescent="0.25">
      <c r="B337" s="256"/>
      <c r="C337" s="256"/>
      <c r="D337" s="257"/>
      <c r="E337" s="240"/>
    </row>
    <row r="338" spans="2:5" x14ac:dyDescent="0.25">
      <c r="B338" s="256"/>
      <c r="C338" s="256"/>
      <c r="D338" s="257"/>
      <c r="E338" s="240"/>
    </row>
    <row r="339" spans="2:5" x14ac:dyDescent="0.25">
      <c r="B339" s="256"/>
      <c r="C339" s="256"/>
      <c r="D339" s="257"/>
      <c r="E339" s="240"/>
    </row>
    <row r="340" spans="2:5" x14ac:dyDescent="0.25">
      <c r="B340" s="256"/>
      <c r="C340" s="256"/>
      <c r="D340" s="257"/>
      <c r="E340" s="240"/>
    </row>
    <row r="341" spans="2:5" x14ac:dyDescent="0.25">
      <c r="B341" s="256"/>
      <c r="C341" s="256"/>
      <c r="D341" s="257"/>
      <c r="E341" s="240"/>
    </row>
    <row r="342" spans="2:5" x14ac:dyDescent="0.25">
      <c r="B342" s="256"/>
      <c r="C342" s="256"/>
      <c r="D342" s="257"/>
      <c r="E342" s="240"/>
    </row>
    <row r="343" spans="2:5" x14ac:dyDescent="0.25">
      <c r="B343" s="256"/>
      <c r="C343" s="256"/>
      <c r="D343" s="257"/>
      <c r="E343" s="240"/>
    </row>
    <row r="344" spans="2:5" x14ac:dyDescent="0.25">
      <c r="B344" s="256"/>
      <c r="C344" s="256"/>
      <c r="D344" s="257"/>
      <c r="E344" s="240"/>
    </row>
    <row r="345" spans="2:5" x14ac:dyDescent="0.25">
      <c r="B345" s="256"/>
      <c r="C345" s="256"/>
      <c r="D345" s="257"/>
      <c r="E345" s="240"/>
    </row>
    <row r="346" spans="2:5" x14ac:dyDescent="0.25">
      <c r="B346" s="256"/>
      <c r="C346" s="256"/>
      <c r="D346" s="257"/>
      <c r="E346" s="240"/>
    </row>
    <row r="347" spans="2:5" x14ac:dyDescent="0.25">
      <c r="B347" s="256"/>
      <c r="C347" s="256"/>
      <c r="D347" s="257"/>
      <c r="E347" s="240"/>
    </row>
    <row r="348" spans="2:5" x14ac:dyDescent="0.25">
      <c r="B348" s="256"/>
      <c r="C348" s="256"/>
      <c r="D348" s="257"/>
      <c r="E348" s="240"/>
    </row>
    <row r="349" spans="2:5" x14ac:dyDescent="0.25">
      <c r="B349" s="256"/>
      <c r="C349" s="256"/>
      <c r="D349" s="257"/>
      <c r="E349" s="240"/>
    </row>
    <row r="350" spans="2:5" x14ac:dyDescent="0.25">
      <c r="B350" s="256"/>
      <c r="C350" s="256"/>
      <c r="D350" s="257"/>
      <c r="E350" s="240"/>
    </row>
    <row r="351" spans="2:5" x14ac:dyDescent="0.25">
      <c r="B351" s="256"/>
      <c r="C351" s="256"/>
      <c r="D351" s="257"/>
      <c r="E351" s="240"/>
    </row>
    <row r="352" spans="2:5" x14ac:dyDescent="0.25">
      <c r="B352" s="256"/>
      <c r="C352" s="256"/>
      <c r="D352" s="257"/>
      <c r="E352" s="240"/>
    </row>
    <row r="353" spans="2:5" x14ac:dyDescent="0.25">
      <c r="B353" s="256"/>
      <c r="C353" s="256"/>
      <c r="D353" s="257"/>
      <c r="E353" s="240"/>
    </row>
    <row r="354" spans="2:5" x14ac:dyDescent="0.25">
      <c r="B354" s="256"/>
      <c r="C354" s="256"/>
      <c r="D354" s="257"/>
      <c r="E354" s="240"/>
    </row>
    <row r="355" spans="2:5" x14ac:dyDescent="0.25">
      <c r="B355" s="256"/>
      <c r="C355" s="256"/>
      <c r="D355" s="257"/>
      <c r="E355" s="240"/>
    </row>
    <row r="356" spans="2:5" x14ac:dyDescent="0.25">
      <c r="B356" s="256"/>
      <c r="C356" s="256"/>
      <c r="D356" s="257"/>
      <c r="E356" s="240"/>
    </row>
    <row r="357" spans="2:5" x14ac:dyDescent="0.25">
      <c r="B357" s="256"/>
      <c r="C357" s="256"/>
      <c r="D357" s="257"/>
      <c r="E357" s="240"/>
    </row>
    <row r="358" spans="2:5" x14ac:dyDescent="0.25">
      <c r="B358" s="256"/>
      <c r="C358" s="256"/>
      <c r="D358" s="257"/>
      <c r="E358" s="240"/>
    </row>
    <row r="359" spans="2:5" x14ac:dyDescent="0.25">
      <c r="B359" s="256"/>
      <c r="C359" s="256"/>
      <c r="D359" s="257"/>
      <c r="E359" s="240"/>
    </row>
    <row r="360" spans="2:5" x14ac:dyDescent="0.25">
      <c r="B360" s="256"/>
      <c r="C360" s="256"/>
      <c r="D360" s="257"/>
      <c r="E360" s="240"/>
    </row>
    <row r="361" spans="2:5" x14ac:dyDescent="0.25">
      <c r="B361" s="256"/>
      <c r="C361" s="256"/>
      <c r="D361" s="257"/>
      <c r="E361" s="240"/>
    </row>
    <row r="362" spans="2:5" x14ac:dyDescent="0.25">
      <c r="B362" s="256"/>
      <c r="C362" s="256"/>
      <c r="D362" s="257"/>
      <c r="E362" s="240"/>
    </row>
    <row r="363" spans="2:5" x14ac:dyDescent="0.25">
      <c r="B363" s="256"/>
      <c r="C363" s="256"/>
      <c r="D363" s="257"/>
      <c r="E363" s="240"/>
    </row>
    <row r="364" spans="2:5" x14ac:dyDescent="0.25">
      <c r="B364" s="256"/>
      <c r="C364" s="256"/>
      <c r="D364" s="257"/>
      <c r="E364" s="240"/>
    </row>
    <row r="365" spans="2:5" x14ac:dyDescent="0.25">
      <c r="B365" s="256"/>
      <c r="C365" s="256"/>
      <c r="D365" s="257"/>
      <c r="E365" s="240"/>
    </row>
    <row r="366" spans="2:5" x14ac:dyDescent="0.25">
      <c r="B366" s="256"/>
      <c r="C366" s="256"/>
      <c r="D366" s="257"/>
      <c r="E366" s="240"/>
    </row>
    <row r="367" spans="2:5" x14ac:dyDescent="0.25">
      <c r="B367" s="256"/>
      <c r="C367" s="256"/>
      <c r="D367" s="257"/>
      <c r="E367" s="240"/>
    </row>
    <row r="368" spans="2:5" x14ac:dyDescent="0.25">
      <c r="B368" s="256"/>
      <c r="C368" s="256"/>
      <c r="D368" s="257"/>
      <c r="E368" s="240"/>
    </row>
    <row r="369" spans="2:5" x14ac:dyDescent="0.25">
      <c r="B369" s="256"/>
      <c r="C369" s="256"/>
      <c r="D369" s="257"/>
      <c r="E369" s="240"/>
    </row>
    <row r="370" spans="2:5" x14ac:dyDescent="0.25">
      <c r="B370" s="256"/>
      <c r="C370" s="256"/>
      <c r="D370" s="257"/>
      <c r="E370" s="240"/>
    </row>
    <row r="371" spans="2:5" x14ac:dyDescent="0.25">
      <c r="B371" s="256"/>
      <c r="C371" s="256"/>
      <c r="D371" s="257"/>
      <c r="E371" s="240"/>
    </row>
    <row r="372" spans="2:5" x14ac:dyDescent="0.25">
      <c r="B372" s="256"/>
      <c r="C372" s="256"/>
      <c r="D372" s="257"/>
      <c r="E372" s="240"/>
    </row>
    <row r="373" spans="2:5" x14ac:dyDescent="0.25">
      <c r="B373" s="256"/>
      <c r="C373" s="256"/>
      <c r="D373" s="257"/>
      <c r="E373" s="240"/>
    </row>
    <row r="374" spans="2:5" x14ac:dyDescent="0.25">
      <c r="B374" s="256"/>
      <c r="C374" s="256"/>
      <c r="D374" s="257"/>
      <c r="E374" s="240"/>
    </row>
    <row r="375" spans="2:5" x14ac:dyDescent="0.25">
      <c r="B375" s="256"/>
      <c r="C375" s="256"/>
      <c r="D375" s="257"/>
      <c r="E375" s="240"/>
    </row>
    <row r="376" spans="2:5" x14ac:dyDescent="0.25">
      <c r="B376" s="256"/>
      <c r="C376" s="256"/>
      <c r="D376" s="257"/>
      <c r="E376" s="240"/>
    </row>
    <row r="377" spans="2:5" x14ac:dyDescent="0.25">
      <c r="B377" s="256"/>
      <c r="C377" s="256"/>
      <c r="D377" s="257"/>
      <c r="E377" s="240"/>
    </row>
    <row r="378" spans="2:5" x14ac:dyDescent="0.25">
      <c r="B378" s="256"/>
      <c r="C378" s="256"/>
      <c r="D378" s="257"/>
      <c r="E378" s="240"/>
    </row>
    <row r="379" spans="2:5" x14ac:dyDescent="0.25">
      <c r="B379" s="256"/>
      <c r="C379" s="256"/>
      <c r="D379" s="257"/>
      <c r="E379" s="240"/>
    </row>
    <row r="380" spans="2:5" x14ac:dyDescent="0.25">
      <c r="B380" s="256"/>
      <c r="C380" s="256"/>
      <c r="D380" s="257"/>
      <c r="E380" s="240"/>
    </row>
    <row r="381" spans="2:5" x14ac:dyDescent="0.25">
      <c r="B381" s="256"/>
      <c r="C381" s="256"/>
      <c r="D381" s="257"/>
      <c r="E381" s="240"/>
    </row>
    <row r="382" spans="2:5" x14ac:dyDescent="0.25">
      <c r="B382" s="256"/>
      <c r="C382" s="256"/>
      <c r="D382" s="257"/>
      <c r="E382" s="240"/>
    </row>
    <row r="383" spans="2:5" x14ac:dyDescent="0.25">
      <c r="B383" s="256"/>
      <c r="C383" s="256"/>
      <c r="D383" s="257"/>
      <c r="E383" s="240"/>
    </row>
    <row r="384" spans="2:5" x14ac:dyDescent="0.25">
      <c r="B384" s="256"/>
      <c r="C384" s="256"/>
      <c r="D384" s="257"/>
      <c r="E384" s="240"/>
    </row>
    <row r="385" spans="2:5" x14ac:dyDescent="0.25">
      <c r="B385" s="256"/>
      <c r="C385" s="256"/>
      <c r="D385" s="257"/>
      <c r="E385" s="240"/>
    </row>
    <row r="386" spans="2:5" x14ac:dyDescent="0.25">
      <c r="B386" s="256"/>
      <c r="C386" s="256"/>
      <c r="D386" s="257"/>
      <c r="E386" s="240"/>
    </row>
    <row r="387" spans="2:5" x14ac:dyDescent="0.25">
      <c r="B387" s="256"/>
      <c r="C387" s="256"/>
      <c r="D387" s="257"/>
      <c r="E387" s="240"/>
    </row>
    <row r="388" spans="2:5" x14ac:dyDescent="0.25">
      <c r="B388" s="256"/>
      <c r="C388" s="256"/>
      <c r="D388" s="257"/>
      <c r="E388" s="240"/>
    </row>
    <row r="389" spans="2:5" x14ac:dyDescent="0.25">
      <c r="B389" s="256"/>
      <c r="C389" s="256"/>
      <c r="D389" s="257"/>
      <c r="E389" s="240"/>
    </row>
    <row r="390" spans="2:5" x14ac:dyDescent="0.25">
      <c r="B390" s="256"/>
      <c r="C390" s="256"/>
      <c r="D390" s="257"/>
      <c r="E390" s="240"/>
    </row>
    <row r="391" spans="2:5" x14ac:dyDescent="0.25">
      <c r="B391" s="256"/>
      <c r="C391" s="256"/>
      <c r="D391" s="257"/>
      <c r="E391" s="240"/>
    </row>
    <row r="392" spans="2:5" x14ac:dyDescent="0.25">
      <c r="B392" s="256"/>
      <c r="C392" s="256"/>
      <c r="D392" s="257"/>
      <c r="E392" s="240"/>
    </row>
    <row r="393" spans="2:5" x14ac:dyDescent="0.25">
      <c r="B393" s="256"/>
      <c r="C393" s="256"/>
      <c r="D393" s="257"/>
      <c r="E393" s="240"/>
    </row>
    <row r="394" spans="2:5" x14ac:dyDescent="0.25">
      <c r="B394" s="256"/>
      <c r="C394" s="256"/>
      <c r="D394" s="257"/>
      <c r="E394" s="240"/>
    </row>
    <row r="395" spans="2:5" x14ac:dyDescent="0.25">
      <c r="B395" s="256"/>
      <c r="C395" s="256"/>
      <c r="D395" s="257"/>
      <c r="E395" s="240"/>
    </row>
    <row r="396" spans="2:5" x14ac:dyDescent="0.25">
      <c r="B396" s="256"/>
      <c r="C396" s="256"/>
      <c r="D396" s="257"/>
      <c r="E396" s="240"/>
    </row>
    <row r="397" spans="2:5" x14ac:dyDescent="0.25">
      <c r="B397" s="256"/>
      <c r="C397" s="256"/>
      <c r="D397" s="257"/>
      <c r="E397" s="240"/>
    </row>
    <row r="398" spans="2:5" x14ac:dyDescent="0.25">
      <c r="B398" s="256"/>
      <c r="C398" s="256"/>
      <c r="D398" s="257"/>
      <c r="E398" s="240"/>
    </row>
    <row r="399" spans="2:5" x14ac:dyDescent="0.25">
      <c r="B399" s="256"/>
      <c r="C399" s="256"/>
      <c r="D399" s="257"/>
      <c r="E399" s="240"/>
    </row>
    <row r="400" spans="2:5" x14ac:dyDescent="0.25">
      <c r="B400" s="256"/>
      <c r="C400" s="256"/>
      <c r="D400" s="257"/>
      <c r="E400" s="240"/>
    </row>
    <row r="401" spans="2:5" x14ac:dyDescent="0.25">
      <c r="B401" s="256"/>
      <c r="C401" s="256"/>
      <c r="D401" s="257"/>
      <c r="E401" s="240"/>
    </row>
    <row r="402" spans="2:5" x14ac:dyDescent="0.25">
      <c r="B402" s="256"/>
      <c r="C402" s="256"/>
      <c r="D402" s="257"/>
      <c r="E402" s="240"/>
    </row>
    <row r="403" spans="2:5" x14ac:dyDescent="0.25">
      <c r="B403" s="256"/>
      <c r="C403" s="256"/>
      <c r="D403" s="257"/>
      <c r="E403" s="240"/>
    </row>
    <row r="404" spans="2:5" x14ac:dyDescent="0.25">
      <c r="B404" s="256"/>
      <c r="C404" s="256"/>
      <c r="D404" s="257"/>
      <c r="E404" s="240"/>
    </row>
    <row r="405" spans="2:5" x14ac:dyDescent="0.25">
      <c r="B405" s="256"/>
      <c r="C405" s="256"/>
      <c r="D405" s="257"/>
      <c r="E405" s="240"/>
    </row>
    <row r="406" spans="2:5" x14ac:dyDescent="0.25">
      <c r="B406" s="256"/>
      <c r="C406" s="256"/>
      <c r="D406" s="257"/>
      <c r="E406" s="240"/>
    </row>
    <row r="407" spans="2:5" x14ac:dyDescent="0.25">
      <c r="B407" s="256"/>
      <c r="C407" s="256"/>
      <c r="D407" s="257"/>
      <c r="E407" s="240"/>
    </row>
    <row r="408" spans="2:5" x14ac:dyDescent="0.25">
      <c r="B408" s="256"/>
      <c r="C408" s="256"/>
      <c r="D408" s="257"/>
      <c r="E408" s="240"/>
    </row>
    <row r="409" spans="2:5" x14ac:dyDescent="0.25">
      <c r="B409" s="256"/>
      <c r="C409" s="256"/>
      <c r="D409" s="257"/>
      <c r="E409" s="240"/>
    </row>
    <row r="410" spans="2:5" x14ac:dyDescent="0.25">
      <c r="B410" s="256"/>
      <c r="C410" s="256"/>
      <c r="D410" s="257"/>
      <c r="E410" s="240"/>
    </row>
    <row r="411" spans="2:5" x14ac:dyDescent="0.25">
      <c r="B411" s="256"/>
      <c r="C411" s="256"/>
      <c r="D411" s="257"/>
      <c r="E411" s="240"/>
    </row>
    <row r="412" spans="2:5" x14ac:dyDescent="0.25">
      <c r="B412" s="256"/>
      <c r="C412" s="256"/>
      <c r="D412" s="257"/>
      <c r="E412" s="240"/>
    </row>
    <row r="413" spans="2:5" x14ac:dyDescent="0.25">
      <c r="B413" s="256"/>
      <c r="C413" s="256"/>
      <c r="D413" s="257"/>
      <c r="E413" s="240"/>
    </row>
    <row r="414" spans="2:5" x14ac:dyDescent="0.25">
      <c r="B414" s="256"/>
      <c r="C414" s="256"/>
      <c r="D414" s="257"/>
      <c r="E414" s="240"/>
    </row>
    <row r="415" spans="2:5" x14ac:dyDescent="0.25">
      <c r="B415" s="256"/>
      <c r="C415" s="256"/>
      <c r="D415" s="257"/>
      <c r="E415" s="240"/>
    </row>
    <row r="416" spans="2:5" x14ac:dyDescent="0.25">
      <c r="B416" s="256"/>
      <c r="C416" s="256"/>
      <c r="D416" s="257"/>
      <c r="E416" s="240"/>
    </row>
    <row r="417" spans="2:5" x14ac:dyDescent="0.25">
      <c r="B417" s="256"/>
      <c r="C417" s="256"/>
      <c r="D417" s="257"/>
      <c r="E417" s="240"/>
    </row>
    <row r="418" spans="2:5" x14ac:dyDescent="0.25">
      <c r="B418" s="256"/>
      <c r="C418" s="256"/>
      <c r="D418" s="257"/>
      <c r="E418" s="240"/>
    </row>
    <row r="419" spans="2:5" x14ac:dyDescent="0.25">
      <c r="B419" s="256"/>
      <c r="C419" s="256"/>
      <c r="D419" s="257"/>
      <c r="E419" s="240"/>
    </row>
    <row r="420" spans="2:5" x14ac:dyDescent="0.25">
      <c r="B420" s="256"/>
      <c r="C420" s="256"/>
      <c r="D420" s="257"/>
      <c r="E420" s="240"/>
    </row>
    <row r="421" spans="2:5" x14ac:dyDescent="0.25">
      <c r="B421" s="256"/>
      <c r="C421" s="256"/>
      <c r="D421" s="257"/>
      <c r="E421" s="240"/>
    </row>
    <row r="422" spans="2:5" x14ac:dyDescent="0.25">
      <c r="B422" s="256"/>
      <c r="C422" s="256"/>
      <c r="D422" s="257"/>
      <c r="E422" s="240"/>
    </row>
    <row r="423" spans="2:5" x14ac:dyDescent="0.25">
      <c r="B423" s="256"/>
      <c r="C423" s="256"/>
      <c r="D423" s="257"/>
      <c r="E423" s="240"/>
    </row>
  </sheetData>
  <sheetProtection algorithmName="SHA-512" hashValue="sLxfqALWvqYhjlNU6FoxJDVDFl7tME3q9LR2hb2qeDmXMTfYCVO32XV6UKoLAG3z/mNTB06XHyRxCpadGqnTqA==" saltValue="JOWSACUQdHGJhu7EEtLt1g==" spinCount="100000" sheet="1" objects="1" scenarios="1"/>
  <autoFilter ref="B72:O192" xr:uid="{393A921C-93D1-4A5E-8B2B-86376323E141}">
    <sortState ref="B73:O192">
      <sortCondition ref="C72:C192"/>
    </sortState>
  </autoFilter>
  <mergeCells count="7">
    <mergeCell ref="D65:L65"/>
    <mergeCell ref="M67:M71"/>
    <mergeCell ref="N67:N71"/>
    <mergeCell ref="M65:O65"/>
    <mergeCell ref="C199:D199"/>
    <mergeCell ref="I67:I71"/>
    <mergeCell ref="J67:J71"/>
  </mergeCells>
  <pageMargins left="0.7" right="0.7" top="0.75" bottom="0.75" header="0.3" footer="0.3"/>
  <pageSetup paperSize="3" scale="34" orientation="landscape" r:id="rId1"/>
  <headerFooter>
    <oddHeade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8"/>
    <pageSetUpPr fitToPage="1"/>
  </sheetPr>
  <dimension ref="A1:M390"/>
  <sheetViews>
    <sheetView showGridLines="0" zoomScale="80" zoomScaleNormal="80" workbookViewId="0">
      <selection activeCell="F25" sqref="F1:P1048576"/>
    </sheetView>
  </sheetViews>
  <sheetFormatPr defaultRowHeight="15" x14ac:dyDescent="0.25"/>
  <cols>
    <col min="1" max="1" width="5.7109375" customWidth="1"/>
    <col min="2" max="2" width="45.7109375" customWidth="1"/>
    <col min="3" max="7" width="20.85546875" customWidth="1"/>
    <col min="8" max="8" width="20.85546875" hidden="1" customWidth="1"/>
    <col min="9" max="10" width="20.85546875" customWidth="1"/>
    <col min="11" max="11" width="3.85546875" customWidth="1"/>
    <col min="12" max="12" width="2.5703125" style="49" customWidth="1"/>
    <col min="13" max="13" width="5.7109375" customWidth="1"/>
  </cols>
  <sheetData>
    <row r="1" spans="1:13" s="96" customFormat="1" ht="15.75" x14ac:dyDescent="0.25">
      <c r="A1" s="56" t="s">
        <v>243</v>
      </c>
    </row>
    <row r="2" spans="1:13" s="96" customFormat="1" ht="26.25" x14ac:dyDescent="0.4">
      <c r="A2" s="112" t="s">
        <v>161</v>
      </c>
    </row>
    <row r="3" spans="1:13" s="49" customFormat="1" ht="14.25" customHeight="1" x14ac:dyDescent="0.5">
      <c r="B3" s="797"/>
      <c r="C3" s="797"/>
      <c r="D3" s="797"/>
      <c r="E3" s="797"/>
      <c r="F3" s="797"/>
      <c r="G3" s="797"/>
      <c r="H3" s="797"/>
      <c r="I3" s="48"/>
      <c r="J3" s="295"/>
    </row>
    <row r="4" spans="1:13" s="10" customFormat="1" ht="18" customHeight="1" x14ac:dyDescent="0.3">
      <c r="A4" s="47" t="s">
        <v>961</v>
      </c>
      <c r="C4" s="4"/>
      <c r="D4" s="46"/>
      <c r="E4" s="46"/>
      <c r="F4" s="46"/>
      <c r="G4" s="46"/>
      <c r="H4" s="46"/>
      <c r="I4" s="46"/>
      <c r="J4" s="46"/>
      <c r="L4" s="50"/>
      <c r="M4" s="45" t="s">
        <v>120</v>
      </c>
    </row>
    <row r="5" spans="1:13" s="10" customFormat="1" ht="18.75" x14ac:dyDescent="0.3">
      <c r="B5" s="47"/>
      <c r="C5" s="4"/>
      <c r="D5" s="46"/>
      <c r="E5" s="46"/>
      <c r="F5" s="46"/>
      <c r="G5" s="46"/>
      <c r="H5" s="46"/>
      <c r="I5" s="46"/>
      <c r="J5" s="46"/>
      <c r="L5" s="50"/>
    </row>
    <row r="6" spans="1:13" s="10" customFormat="1" ht="15.75" thickBot="1" x14ac:dyDescent="0.3">
      <c r="B6" s="46" t="s">
        <v>971</v>
      </c>
      <c r="C6" s="4"/>
      <c r="D6" s="46"/>
      <c r="E6" s="46"/>
      <c r="F6" s="46"/>
      <c r="G6" s="46"/>
      <c r="H6" s="46"/>
      <c r="I6" s="46"/>
      <c r="J6" s="46"/>
      <c r="L6" s="50"/>
    </row>
    <row r="7" spans="1:13" s="10" customFormat="1" ht="75" x14ac:dyDescent="0.25">
      <c r="B7" s="25" t="s">
        <v>6</v>
      </c>
      <c r="C7" s="412" t="s">
        <v>158</v>
      </c>
      <c r="D7" s="412" t="s">
        <v>159</v>
      </c>
      <c r="E7" s="412" t="s">
        <v>811</v>
      </c>
      <c r="F7" s="412" t="s">
        <v>182</v>
      </c>
      <c r="G7" s="412" t="s">
        <v>183</v>
      </c>
      <c r="H7" s="412" t="s">
        <v>128</v>
      </c>
      <c r="I7" s="412" t="s">
        <v>285</v>
      </c>
      <c r="J7" s="297" t="s">
        <v>160</v>
      </c>
      <c r="K7" s="14"/>
      <c r="L7" s="50"/>
    </row>
    <row r="8" spans="1:13" s="10" customFormat="1" x14ac:dyDescent="0.25">
      <c r="B8" s="19" t="s">
        <v>7</v>
      </c>
      <c r="C8" s="63">
        <f>IFERROR(AVERAGEIFS($E$36:$E$155,$C$36:$C$155,"="&amp;B8), "NA")</f>
        <v>3.6666666666666665</v>
      </c>
      <c r="D8" s="63">
        <f>IFERROR(AVERAGEIFS($E$163:$E$386,$C$163:$C$386,"="&amp;B8), "NA")</f>
        <v>3.9375</v>
      </c>
      <c r="E8" s="38">
        <f>IFERROR(ABS(D8-C8), "NA")</f>
        <v>0.27083333333333348</v>
      </c>
      <c r="F8" s="35">
        <f t="shared" ref="F8:F19" si="0">COUNTIFS($C$36:$C$159, "="&amp;B8,$E$36:$E$159,"&gt;=0")</f>
        <v>6</v>
      </c>
      <c r="G8" s="35">
        <f t="shared" ref="G8:G19" si="1">COUNTIFS($E$163:$E$386, "&gt;=0", $C$163:$C$386, "="&amp;B8)</f>
        <v>16</v>
      </c>
      <c r="H8" s="116" t="s">
        <v>126</v>
      </c>
      <c r="I8" s="37">
        <f t="shared" ref="I8:I19" si="2">IF(AND(ISNUMBER(C8),ISNUMBER(D8)),IF(H8="Average All",((F8*C8)+(G8*D8))/(F8+G8),AVERAGE(C8:D8)), IF(AND(C8="NA", ISNUMBER(D8)), D8, "NA"))</f>
        <v>3.802083333333333</v>
      </c>
      <c r="J8" s="43">
        <f>I8</f>
        <v>3.802083333333333</v>
      </c>
      <c r="K8"/>
      <c r="L8" s="50"/>
    </row>
    <row r="9" spans="1:13" s="10" customFormat="1" ht="18" customHeight="1" x14ac:dyDescent="0.25">
      <c r="B9" s="19" t="s">
        <v>34</v>
      </c>
      <c r="C9" s="63" t="str">
        <f t="shared" ref="C9:C19" si="3">IFERROR(AVERAGEIFS($E$36:$E$155,$C$36:$C$155,"="&amp;B9), "NA")</f>
        <v>NA</v>
      </c>
      <c r="D9" s="63" t="str">
        <f t="shared" ref="D9:D19" si="4">IFERROR(AVERAGEIFS($E$163:$E$386,$C$163:$C$386,"="&amp;B9), "NA")</f>
        <v>NA</v>
      </c>
      <c r="E9" s="38" t="str">
        <f t="shared" ref="E9:E19" si="5">IFERROR(ABS(D9-C9), "NA")</f>
        <v>NA</v>
      </c>
      <c r="F9" s="35">
        <f t="shared" si="0"/>
        <v>0</v>
      </c>
      <c r="G9" s="35">
        <f t="shared" si="1"/>
        <v>0</v>
      </c>
      <c r="H9" s="116" t="s">
        <v>125</v>
      </c>
      <c r="I9" s="37" t="str">
        <f t="shared" si="2"/>
        <v>NA</v>
      </c>
      <c r="J9" s="43" t="str">
        <f t="shared" ref="J9:J19" si="6">I9</f>
        <v>NA</v>
      </c>
      <c r="K9"/>
      <c r="L9" s="50"/>
    </row>
    <row r="10" spans="1:13" s="10" customFormat="1" ht="18" customHeight="1" x14ac:dyDescent="0.25">
      <c r="B10" s="19" t="s">
        <v>8</v>
      </c>
      <c r="C10" s="63">
        <f t="shared" si="3"/>
        <v>5</v>
      </c>
      <c r="D10" s="63">
        <f t="shared" si="4"/>
        <v>4.1875</v>
      </c>
      <c r="E10" s="38">
        <f t="shared" si="5"/>
        <v>0.8125</v>
      </c>
      <c r="F10" s="35">
        <f t="shared" si="0"/>
        <v>1</v>
      </c>
      <c r="G10" s="35">
        <f t="shared" si="1"/>
        <v>16</v>
      </c>
      <c r="H10" s="116" t="s">
        <v>125</v>
      </c>
      <c r="I10" s="37">
        <f t="shared" si="2"/>
        <v>4.2352941176470589</v>
      </c>
      <c r="J10" s="43">
        <f t="shared" si="6"/>
        <v>4.2352941176470589</v>
      </c>
      <c r="K10"/>
      <c r="L10" s="50"/>
    </row>
    <row r="11" spans="1:13" s="10" customFormat="1" ht="18" customHeight="1" x14ac:dyDescent="0.25">
      <c r="B11" s="19" t="s">
        <v>9</v>
      </c>
      <c r="C11" s="63">
        <f t="shared" si="3"/>
        <v>5</v>
      </c>
      <c r="D11" s="63">
        <f t="shared" si="4"/>
        <v>4.9375</v>
      </c>
      <c r="E11" s="38">
        <f t="shared" si="5"/>
        <v>6.25E-2</v>
      </c>
      <c r="F11" s="35">
        <f t="shared" si="0"/>
        <v>9</v>
      </c>
      <c r="G11" s="35">
        <f t="shared" si="1"/>
        <v>16</v>
      </c>
      <c r="H11" s="116" t="s">
        <v>126</v>
      </c>
      <c r="I11" s="37">
        <f t="shared" si="2"/>
        <v>4.96875</v>
      </c>
      <c r="J11" s="43">
        <f t="shared" si="6"/>
        <v>4.96875</v>
      </c>
      <c r="K11"/>
      <c r="L11" s="50"/>
    </row>
    <row r="12" spans="1:13" s="14" customFormat="1" x14ac:dyDescent="0.25">
      <c r="A12"/>
      <c r="B12" s="19" t="s">
        <v>10</v>
      </c>
      <c r="C12" s="63" t="str">
        <f t="shared" si="3"/>
        <v>NA</v>
      </c>
      <c r="D12" s="63">
        <f t="shared" si="4"/>
        <v>2.8125</v>
      </c>
      <c r="E12" s="38" t="str">
        <f t="shared" si="5"/>
        <v>NA</v>
      </c>
      <c r="F12" s="35">
        <f t="shared" si="0"/>
        <v>0</v>
      </c>
      <c r="G12" s="35">
        <f t="shared" si="1"/>
        <v>16</v>
      </c>
      <c r="H12" s="116" t="s">
        <v>125</v>
      </c>
      <c r="I12" s="37">
        <f t="shared" si="2"/>
        <v>2.8125</v>
      </c>
      <c r="J12" s="43">
        <f t="shared" si="6"/>
        <v>2.8125</v>
      </c>
      <c r="K12"/>
      <c r="L12" s="50"/>
      <c r="M12" s="13"/>
    </row>
    <row r="13" spans="1:13" x14ac:dyDescent="0.25">
      <c r="A13" s="16"/>
      <c r="B13" s="19" t="s">
        <v>11</v>
      </c>
      <c r="C13" s="63">
        <f t="shared" si="3"/>
        <v>4.8</v>
      </c>
      <c r="D13" s="63">
        <f t="shared" si="4"/>
        <v>4.875</v>
      </c>
      <c r="E13" s="38">
        <f t="shared" si="5"/>
        <v>7.5000000000000178E-2</v>
      </c>
      <c r="F13" s="35">
        <f t="shared" si="0"/>
        <v>10</v>
      </c>
      <c r="G13" s="35">
        <f t="shared" si="1"/>
        <v>16</v>
      </c>
      <c r="H13" s="116" t="s">
        <v>126</v>
      </c>
      <c r="I13" s="37">
        <f t="shared" si="2"/>
        <v>4.8375000000000004</v>
      </c>
      <c r="J13" s="43">
        <f t="shared" si="6"/>
        <v>4.8375000000000004</v>
      </c>
      <c r="L13" s="50"/>
    </row>
    <row r="14" spans="1:13" x14ac:dyDescent="0.25">
      <c r="B14" s="19" t="s">
        <v>12</v>
      </c>
      <c r="C14" s="63">
        <f t="shared" si="3"/>
        <v>4.875</v>
      </c>
      <c r="D14" s="63">
        <f t="shared" si="4"/>
        <v>4.9375</v>
      </c>
      <c r="E14" s="38">
        <f t="shared" si="5"/>
        <v>6.25E-2</v>
      </c>
      <c r="F14" s="35">
        <f t="shared" si="0"/>
        <v>16</v>
      </c>
      <c r="G14" s="35">
        <f t="shared" si="1"/>
        <v>16</v>
      </c>
      <c r="H14" s="116" t="s">
        <v>126</v>
      </c>
      <c r="I14" s="37">
        <f t="shared" si="2"/>
        <v>4.90625</v>
      </c>
      <c r="J14" s="43">
        <f t="shared" si="6"/>
        <v>4.90625</v>
      </c>
      <c r="L14" s="50"/>
    </row>
    <row r="15" spans="1:13" x14ac:dyDescent="0.25">
      <c r="B15" s="19" t="s">
        <v>13</v>
      </c>
      <c r="C15" s="63">
        <f t="shared" si="3"/>
        <v>5</v>
      </c>
      <c r="D15" s="63">
        <f t="shared" si="4"/>
        <v>5</v>
      </c>
      <c r="E15" s="38">
        <f t="shared" si="5"/>
        <v>0</v>
      </c>
      <c r="F15" s="35">
        <f t="shared" si="0"/>
        <v>2</v>
      </c>
      <c r="G15" s="35">
        <f t="shared" si="1"/>
        <v>16</v>
      </c>
      <c r="H15" s="116" t="s">
        <v>125</v>
      </c>
      <c r="I15" s="37">
        <f t="shared" si="2"/>
        <v>5</v>
      </c>
      <c r="J15" s="43">
        <f t="shared" si="6"/>
        <v>5</v>
      </c>
      <c r="L15" s="50"/>
    </row>
    <row r="16" spans="1:13" x14ac:dyDescent="0.25">
      <c r="B16" s="19" t="s">
        <v>14</v>
      </c>
      <c r="C16" s="63">
        <f t="shared" si="3"/>
        <v>3.6153846153846154</v>
      </c>
      <c r="D16" s="63">
        <f t="shared" si="4"/>
        <v>3.4375</v>
      </c>
      <c r="E16" s="38">
        <f t="shared" si="5"/>
        <v>0.17788461538461542</v>
      </c>
      <c r="F16" s="35">
        <f t="shared" si="0"/>
        <v>13</v>
      </c>
      <c r="G16" s="35">
        <f t="shared" si="1"/>
        <v>16</v>
      </c>
      <c r="H16" s="116" t="s">
        <v>126</v>
      </c>
      <c r="I16" s="37">
        <f t="shared" si="2"/>
        <v>3.5264423076923075</v>
      </c>
      <c r="J16" s="43">
        <f t="shared" si="6"/>
        <v>3.5264423076923075</v>
      </c>
      <c r="L16" s="51"/>
    </row>
    <row r="17" spans="2:12" x14ac:dyDescent="0.25">
      <c r="B17" s="19" t="s">
        <v>15</v>
      </c>
      <c r="C17" s="63">
        <f t="shared" si="3"/>
        <v>5</v>
      </c>
      <c r="D17" s="63">
        <f t="shared" si="4"/>
        <v>4.75</v>
      </c>
      <c r="E17" s="38">
        <f t="shared" si="5"/>
        <v>0.25</v>
      </c>
      <c r="F17" s="35">
        <f t="shared" si="0"/>
        <v>2</v>
      </c>
      <c r="G17" s="35">
        <f t="shared" si="1"/>
        <v>16</v>
      </c>
      <c r="H17" s="116" t="s">
        <v>125</v>
      </c>
      <c r="I17" s="37">
        <f t="shared" si="2"/>
        <v>4.7777777777777777</v>
      </c>
      <c r="J17" s="43">
        <f t="shared" si="6"/>
        <v>4.7777777777777777</v>
      </c>
    </row>
    <row r="18" spans="2:12" x14ac:dyDescent="0.25">
      <c r="B18" s="19" t="s">
        <v>16</v>
      </c>
      <c r="C18" s="63">
        <f t="shared" si="3"/>
        <v>4.2</v>
      </c>
      <c r="D18" s="63">
        <f t="shared" si="4"/>
        <v>4.3125</v>
      </c>
      <c r="E18" s="38">
        <f t="shared" si="5"/>
        <v>0.11249999999999982</v>
      </c>
      <c r="F18" s="35">
        <f t="shared" si="0"/>
        <v>5</v>
      </c>
      <c r="G18" s="35">
        <f t="shared" si="1"/>
        <v>16</v>
      </c>
      <c r="H18" s="116" t="s">
        <v>126</v>
      </c>
      <c r="I18" s="37">
        <f t="shared" si="2"/>
        <v>4.2562499999999996</v>
      </c>
      <c r="J18" s="43">
        <f t="shared" si="6"/>
        <v>4.2562499999999996</v>
      </c>
      <c r="L18" s="52"/>
    </row>
    <row r="19" spans="2:12" ht="15.75" thickBot="1" x14ac:dyDescent="0.3">
      <c r="B19" s="20" t="s">
        <v>17</v>
      </c>
      <c r="C19" s="64">
        <f t="shared" si="3"/>
        <v>3.8333333333333335</v>
      </c>
      <c r="D19" s="64">
        <f t="shared" si="4"/>
        <v>3.875</v>
      </c>
      <c r="E19" s="41">
        <f t="shared" si="5"/>
        <v>4.1666666666666519E-2</v>
      </c>
      <c r="F19" s="36">
        <f t="shared" si="0"/>
        <v>6</v>
      </c>
      <c r="G19" s="36">
        <f t="shared" si="1"/>
        <v>16</v>
      </c>
      <c r="H19" s="117" t="s">
        <v>126</v>
      </c>
      <c r="I19" s="40">
        <f t="shared" si="2"/>
        <v>3.854166666666667</v>
      </c>
      <c r="J19" s="44">
        <f t="shared" si="6"/>
        <v>3.854166666666667</v>
      </c>
    </row>
    <row r="20" spans="2:12" x14ac:dyDescent="0.25">
      <c r="L20" s="52"/>
    </row>
    <row r="21" spans="2:12" ht="15.75" hidden="1" thickBot="1" x14ac:dyDescent="0.3">
      <c r="B21" s="1" t="s">
        <v>846</v>
      </c>
      <c r="L21" s="52"/>
    </row>
    <row r="22" spans="2:12" hidden="1" x14ac:dyDescent="0.25">
      <c r="B22" s="494" t="s">
        <v>851</v>
      </c>
      <c r="C22" s="457"/>
      <c r="D22" s="457"/>
      <c r="E22" s="457"/>
      <c r="F22" s="457"/>
      <c r="G22" s="457"/>
      <c r="H22" s="457"/>
      <c r="I22" s="457"/>
      <c r="J22" s="458"/>
      <c r="L22" s="52"/>
    </row>
    <row r="23" spans="2:12" hidden="1" x14ac:dyDescent="0.25">
      <c r="B23" s="463" t="s">
        <v>848</v>
      </c>
      <c r="C23" s="11"/>
      <c r="D23" s="11"/>
      <c r="E23" s="11"/>
      <c r="F23" s="11"/>
      <c r="G23" s="11"/>
      <c r="H23" s="11"/>
      <c r="I23" s="241">
        <f>MAX(I8:I19)</f>
        <v>5</v>
      </c>
      <c r="J23" s="465">
        <f>MAX(J8:J19)</f>
        <v>5</v>
      </c>
      <c r="L23" s="52"/>
    </row>
    <row r="24" spans="2:12" ht="30" hidden="1" x14ac:dyDescent="0.25">
      <c r="B24" s="463" t="s">
        <v>849</v>
      </c>
      <c r="C24" s="81"/>
      <c r="D24" s="81"/>
      <c r="E24" s="81"/>
      <c r="F24" s="81"/>
      <c r="G24" s="81"/>
      <c r="H24" s="81"/>
      <c r="I24" s="461" t="str">
        <f>INDEX($B8:$B19,MATCH(I23,I8:I19,0))</f>
        <v>Seawater Desalination</v>
      </c>
      <c r="J24" s="462" t="str">
        <f>INDEX($B$8:$B$19,MATCH(J23,J8:J19,0))</f>
        <v>Seawater Desalination</v>
      </c>
      <c r="L24" s="52"/>
    </row>
    <row r="25" spans="2:12" hidden="1" x14ac:dyDescent="0.25">
      <c r="B25" s="504" t="s">
        <v>861</v>
      </c>
      <c r="C25" s="495"/>
      <c r="D25" s="495"/>
      <c r="E25" s="495"/>
      <c r="F25" s="495"/>
      <c r="G25" s="495"/>
      <c r="H25" s="495"/>
      <c r="I25" s="497">
        <f>LARGE(I8:I19,2)</f>
        <v>4.96875</v>
      </c>
      <c r="J25" s="498">
        <f>LARGE(J8:J19,2)</f>
        <v>4.96875</v>
      </c>
      <c r="L25" s="52"/>
    </row>
    <row r="26" spans="2:12" hidden="1" x14ac:dyDescent="0.25">
      <c r="B26" s="505" t="s">
        <v>862</v>
      </c>
      <c r="C26" s="496"/>
      <c r="D26" s="496"/>
      <c r="E26" s="496"/>
      <c r="F26" s="496"/>
      <c r="G26" s="496"/>
      <c r="H26" s="496"/>
      <c r="I26" s="499" t="str">
        <f>INDEX($B8:$B19,MATCH(I25,I8:I19,0))</f>
        <v>Groundwater</v>
      </c>
      <c r="J26" s="500" t="str">
        <f>INDEX($B8:$B19,MATCH(J25,J8:J19,0))</f>
        <v>Groundwater</v>
      </c>
      <c r="L26" s="52"/>
    </row>
    <row r="27" spans="2:12" hidden="1" x14ac:dyDescent="0.25">
      <c r="B27" s="463" t="s">
        <v>847</v>
      </c>
      <c r="C27" s="11"/>
      <c r="D27" s="11"/>
      <c r="E27" s="11"/>
      <c r="F27" s="11"/>
      <c r="G27" s="11"/>
      <c r="H27" s="11"/>
      <c r="I27" s="241">
        <f>MIN(I8:I19)</f>
        <v>2.8125</v>
      </c>
      <c r="J27" s="464">
        <f>MIN(J8:J19)</f>
        <v>2.8125</v>
      </c>
      <c r="L27" s="52"/>
    </row>
    <row r="28" spans="2:12" ht="30" hidden="1" x14ac:dyDescent="0.25">
      <c r="B28" s="505" t="s">
        <v>850</v>
      </c>
      <c r="C28" s="496"/>
      <c r="D28" s="496"/>
      <c r="E28" s="496"/>
      <c r="F28" s="496"/>
      <c r="G28" s="496"/>
      <c r="H28" s="496"/>
      <c r="I28" s="499" t="str">
        <f>INDEX($B8:$B19,MATCH(I27,I8:I19,0))</f>
        <v>Imported Water Purchases</v>
      </c>
      <c r="J28" s="500" t="str">
        <f>INDEX($B$8:$B$19,MATCH(J$27,$I$8:$I$19,0))</f>
        <v>Imported Water Purchases</v>
      </c>
      <c r="L28" s="52"/>
    </row>
    <row r="29" spans="2:12" hidden="1" x14ac:dyDescent="0.25">
      <c r="B29" s="504" t="s">
        <v>864</v>
      </c>
      <c r="C29" s="495"/>
      <c r="D29" s="495"/>
      <c r="E29" s="495"/>
      <c r="F29" s="495"/>
      <c r="G29" s="495"/>
      <c r="H29" s="495"/>
      <c r="I29" s="497">
        <f>SMALL(I8:I19,2)</f>
        <v>3.5264423076923075</v>
      </c>
      <c r="J29" s="498">
        <f>SMALL(J8:J19,2)</f>
        <v>3.5264423076923075</v>
      </c>
      <c r="L29" s="52"/>
    </row>
    <row r="30" spans="2:12" hidden="1" x14ac:dyDescent="0.25">
      <c r="B30" s="505" t="s">
        <v>863</v>
      </c>
      <c r="C30" s="496"/>
      <c r="D30" s="496"/>
      <c r="E30" s="496"/>
      <c r="F30" s="496"/>
      <c r="G30" s="496"/>
      <c r="H30" s="496"/>
      <c r="I30" s="499" t="str">
        <f>INDEX($B8:$B19,MATCH(I29,I8:I19,0))</f>
        <v>Stormwater BMPs</v>
      </c>
      <c r="J30" s="500" t="str">
        <f>INDEX($B8:$B19,MATCH(J29,J8:J19,0))</f>
        <v>Stormwater BMPs</v>
      </c>
      <c r="L30" s="52"/>
    </row>
    <row r="31" spans="2:12" hidden="1" x14ac:dyDescent="0.25">
      <c r="B31" s="506" t="s">
        <v>844</v>
      </c>
      <c r="C31" s="501"/>
      <c r="D31" s="501"/>
      <c r="E31" s="501"/>
      <c r="F31" s="501"/>
      <c r="G31" s="501"/>
      <c r="H31" s="501"/>
      <c r="I31" s="502">
        <f>I23-I27</f>
        <v>2.1875</v>
      </c>
      <c r="J31" s="503">
        <f>J23-J27</f>
        <v>2.1875</v>
      </c>
      <c r="L31" s="52"/>
    </row>
    <row r="32" spans="2:12" ht="15.75" hidden="1" thickBot="1" x14ac:dyDescent="0.3">
      <c r="B32" s="507" t="s">
        <v>865</v>
      </c>
      <c r="C32" s="316"/>
      <c r="D32" s="316"/>
      <c r="E32" s="316"/>
      <c r="F32" s="316"/>
      <c r="G32" s="316"/>
      <c r="H32" s="316"/>
      <c r="I32" s="41">
        <f>AVERAGE(I8:I19)</f>
        <v>4.270637654828831</v>
      </c>
      <c r="J32" s="44">
        <f>AVERAGE(J8:J19)</f>
        <v>4.270637654828831</v>
      </c>
      <c r="L32" s="52"/>
    </row>
    <row r="33" spans="2:12" hidden="1" x14ac:dyDescent="0.25">
      <c r="L33" s="52"/>
    </row>
    <row r="34" spans="2:12" ht="15.75" hidden="1" thickBot="1" x14ac:dyDescent="0.3">
      <c r="B34" s="1" t="s">
        <v>752</v>
      </c>
      <c r="H34" s="87"/>
    </row>
    <row r="35" spans="2:12" ht="45.75" hidden="1" thickBot="1" x14ac:dyDescent="0.3">
      <c r="B35" s="346" t="s">
        <v>37</v>
      </c>
      <c r="C35" s="414" t="s">
        <v>6</v>
      </c>
      <c r="D35" s="415"/>
      <c r="E35" s="347" t="s">
        <v>753</v>
      </c>
    </row>
    <row r="36" spans="2:12" hidden="1" x14ac:dyDescent="0.25">
      <c r="B36" s="329" t="str">
        <f>'Project-Level Data'!B22</f>
        <v>Dulzura Conduit Refurbishment</v>
      </c>
      <c r="C36" s="474" t="str">
        <f>'Project-Level Data'!C22</f>
        <v>Conveyance Improvement</v>
      </c>
      <c r="D36" s="477"/>
      <c r="E36" s="398">
        <f>'Project-Level Data'!Y22</f>
        <v>5</v>
      </c>
      <c r="G36" s="4"/>
      <c r="L36" s="52"/>
    </row>
    <row r="37" spans="2:12" hidden="1" x14ac:dyDescent="0.25">
      <c r="B37" s="227" t="str">
        <f>'Project-Level Data'!B53</f>
        <v>Mission Trails Projects Alternative 1</v>
      </c>
      <c r="C37" s="475" t="str">
        <f>'Project-Level Data'!C53</f>
        <v>Conveyance Improvement</v>
      </c>
      <c r="D37" s="477"/>
      <c r="E37" s="381">
        <f>'Project-Level Data'!Y53</f>
        <v>3</v>
      </c>
    </row>
    <row r="38" spans="2:12" hidden="1" x14ac:dyDescent="0.25">
      <c r="B38" s="227" t="str">
        <f>'Project-Level Data'!B72</f>
        <v>Pipeline 3/Pipeline 4 Conversion</v>
      </c>
      <c r="C38" s="475" t="str">
        <f>'Project-Level Data'!C72</f>
        <v>Conveyance Improvement</v>
      </c>
      <c r="D38" s="477"/>
      <c r="E38" s="381">
        <f>'Project-Level Data'!Y72</f>
        <v>3</v>
      </c>
      <c r="L38" s="52"/>
    </row>
    <row r="39" spans="2:12" hidden="1" x14ac:dyDescent="0.25">
      <c r="B39" s="227" t="str">
        <f>'Project-Level Data'!B89</f>
        <v>San Diego County Reservoir Intertie</v>
      </c>
      <c r="C39" s="475" t="str">
        <f>'Project-Level Data'!C89</f>
        <v>Conveyance Improvement</v>
      </c>
      <c r="D39" s="477"/>
      <c r="E39" s="381">
        <f>'Project-Level Data'!Y89</f>
        <v>5</v>
      </c>
      <c r="L39" s="52"/>
    </row>
    <row r="40" spans="2:12" hidden="1" x14ac:dyDescent="0.25">
      <c r="B40" s="227" t="str">
        <f>'Project-Level Data'!B100</f>
        <v>San Vicente 3rd Pump Drive and Power</v>
      </c>
      <c r="C40" s="475" t="str">
        <f>'Project-Level Data'!C100</f>
        <v>Conveyance Improvement</v>
      </c>
      <c r="D40" s="477"/>
      <c r="E40" s="381">
        <f>'Project-Level Data'!Y100</f>
        <v>3</v>
      </c>
    </row>
    <row r="41" spans="2:12" hidden="1" x14ac:dyDescent="0.25">
      <c r="B41" s="227" t="str">
        <f>'Project-Level Data'!B103</f>
        <v>Second Crossover Pipeline</v>
      </c>
      <c r="C41" s="475" t="str">
        <f>'Project-Level Data'!C103</f>
        <v>Conveyance Improvement</v>
      </c>
      <c r="D41" s="477"/>
      <c r="E41" s="381">
        <f>'Project-Level Data'!Y103</f>
        <v>3</v>
      </c>
    </row>
    <row r="42" spans="2:12" hidden="1" x14ac:dyDescent="0.25">
      <c r="B42" s="227" t="str">
        <f>'Project-Level Data'!B27</f>
        <v xml:space="preserve">Enhanced Conservation </v>
      </c>
      <c r="C42" s="475" t="str">
        <f>'Project-Level Data'!C27</f>
        <v>Enhanced Conservation</v>
      </c>
      <c r="D42" s="477"/>
      <c r="E42" s="381" t="str">
        <f>'Project-Level Data'!Y27</f>
        <v>REMOVED</v>
      </c>
    </row>
    <row r="43" spans="2:12" ht="25.5" hidden="1" x14ac:dyDescent="0.25">
      <c r="B43" s="227" t="str">
        <f>'Project-Level Data'!B21</f>
        <v>Conservation Home Makeover in the Chollas Creek Watershed</v>
      </c>
      <c r="C43" s="475" t="str">
        <f>'Project-Level Data'!C21</f>
        <v>Gray Water Use</v>
      </c>
      <c r="D43" s="477"/>
      <c r="E43" s="381" t="str">
        <f>'Project-Level Data'!Y21</f>
        <v>No Response</v>
      </c>
    </row>
    <row r="44" spans="2:12" hidden="1" x14ac:dyDescent="0.25">
      <c r="B44" s="227" t="str">
        <f>'Project-Level Data'!B33</f>
        <v>Graywater pilot project</v>
      </c>
      <c r="C44" s="475" t="str">
        <f>'Project-Level Data'!C33</f>
        <v>Gray Water Use</v>
      </c>
      <c r="D44" s="477"/>
      <c r="E44" s="381">
        <f>'Project-Level Data'!Y33</f>
        <v>5</v>
      </c>
    </row>
    <row r="45" spans="2:12" hidden="1" x14ac:dyDescent="0.25">
      <c r="B45" s="227" t="str">
        <f>'Project-Level Data'!B34</f>
        <v>Groundwater Extraction Santee/El Monte</v>
      </c>
      <c r="C45" s="475" t="str">
        <f>'Project-Level Data'!C34</f>
        <v>Groundwater</v>
      </c>
      <c r="D45" s="477"/>
      <c r="E45" s="381">
        <f>'Project-Level Data'!Y34</f>
        <v>5</v>
      </c>
    </row>
    <row r="46" spans="2:12" ht="25.5" hidden="1" x14ac:dyDescent="0.25">
      <c r="B46" s="227" t="str">
        <f>'Project-Level Data'!B52</f>
        <v>Middle Sweetwater River Basin Groundwater Well System</v>
      </c>
      <c r="C46" s="475" t="str">
        <f>'Project-Level Data'!C52</f>
        <v>Groundwater</v>
      </c>
      <c r="D46" s="477"/>
      <c r="E46" s="381">
        <f>'Project-Level Data'!Y52</f>
        <v>5</v>
      </c>
    </row>
    <row r="47" spans="2:12" hidden="1" x14ac:dyDescent="0.25">
      <c r="B47" s="227" t="str">
        <f>'Project-Level Data'!B54</f>
        <v>Mission Valley Brackish Groundwater Recovery Project</v>
      </c>
      <c r="C47" s="475" t="str">
        <f>'Project-Level Data'!C54</f>
        <v>Groundwater</v>
      </c>
      <c r="D47" s="477"/>
      <c r="E47" s="381">
        <f>'Project-Level Data'!Y54</f>
        <v>5</v>
      </c>
    </row>
    <row r="48" spans="2:12" hidden="1" x14ac:dyDescent="0.25">
      <c r="B48" s="227" t="str">
        <f>'Project-Level Data'!B67</f>
        <v>Otay Mesa Lot 7 Groundwater Well System (capacity)</v>
      </c>
      <c r="C48" s="475" t="str">
        <f>'Project-Level Data'!C67</f>
        <v>Groundwater</v>
      </c>
      <c r="D48" s="477"/>
      <c r="E48" s="381">
        <f>'Project-Level Data'!Y67</f>
        <v>5</v>
      </c>
    </row>
    <row r="49" spans="2:5" ht="25.5" hidden="1" x14ac:dyDescent="0.25">
      <c r="B49" s="227" t="str">
        <f>'Project-Level Data'!B68</f>
        <v>Otay River Valley GW Aquifer Studies &amp; Field Investigations</v>
      </c>
      <c r="C49" s="475" t="str">
        <f>'Project-Level Data'!C68</f>
        <v>Groundwater</v>
      </c>
      <c r="D49" s="477"/>
      <c r="E49" s="381">
        <f>'Project-Level Data'!Y68</f>
        <v>5</v>
      </c>
    </row>
    <row r="50" spans="2:5" ht="25.5" hidden="1" x14ac:dyDescent="0.25">
      <c r="B50" s="227" t="str">
        <f>'Project-Level Data'!B79</f>
        <v>Rancho del Rey Groundwater Well Development (capacity)</v>
      </c>
      <c r="C50" s="475" t="str">
        <f>'Project-Level Data'!C79</f>
        <v>Groundwater</v>
      </c>
      <c r="D50" s="477"/>
      <c r="E50" s="381">
        <f>'Project-Level Data'!Y79</f>
        <v>5</v>
      </c>
    </row>
    <row r="51" spans="2:5" ht="25.5" hidden="1" x14ac:dyDescent="0.25">
      <c r="B51" s="227" t="str">
        <f>'Project-Level Data'!B90</f>
        <v>San Diego Formation - Southeaster San Diego, including Mt Hope</v>
      </c>
      <c r="C51" s="475" t="str">
        <f>'Project-Level Data'!C90</f>
        <v>Groundwater</v>
      </c>
      <c r="D51" s="477"/>
      <c r="E51" s="381">
        <f>'Project-Level Data'!Y90</f>
        <v>5</v>
      </c>
    </row>
    <row r="52" spans="2:5" ht="25.5" hidden="1" x14ac:dyDescent="0.25">
      <c r="B52" s="227" t="str">
        <f>'Project-Level Data'!B94</f>
        <v>San Dieguito River Basin Brackish GW Recovery and Treatment</v>
      </c>
      <c r="C52" s="475" t="str">
        <f>'Project-Level Data'!C94</f>
        <v>Groundwater</v>
      </c>
      <c r="D52" s="477"/>
      <c r="E52" s="381">
        <f>'Project-Level Data'!Y94</f>
        <v>5</v>
      </c>
    </row>
    <row r="53" spans="2:5" hidden="1" x14ac:dyDescent="0.25">
      <c r="B53" s="227" t="str">
        <f>'Project-Level Data'!B95</f>
        <v>San Luis Rey Groundwater Study</v>
      </c>
      <c r="C53" s="475" t="str">
        <f>'Project-Level Data'!C95</f>
        <v>Groundwater</v>
      </c>
      <c r="D53" s="477"/>
      <c r="E53" s="381" t="str">
        <f>'Project-Level Data'!Y95</f>
        <v>No Response</v>
      </c>
    </row>
    <row r="54" spans="2:5" hidden="1" x14ac:dyDescent="0.25">
      <c r="B54" s="227" t="str">
        <f>'Project-Level Data'!B99</f>
        <v>San Pasqual Brackish Groundwater Recovery Project</v>
      </c>
      <c r="C54" s="475" t="str">
        <f>'Project-Level Data'!C99</f>
        <v>Groundwater</v>
      </c>
      <c r="D54" s="477"/>
      <c r="E54" s="381">
        <f>'Project-Level Data'!Y99</f>
        <v>5</v>
      </c>
    </row>
    <row r="55" spans="2:5" ht="38.25" hidden="1" x14ac:dyDescent="0.25">
      <c r="B55" s="227" t="str">
        <f>'Project-Level Data'!B101</f>
        <v>Santa Margarita Conjunctive-Use Project - Local surface water recharge and expansion of Camp Pendleton groundwater recovery program</v>
      </c>
      <c r="C55" s="475" t="str">
        <f>'Project-Level Data'!C101</f>
        <v>Groundwater</v>
      </c>
      <c r="D55" s="477"/>
      <c r="E55" s="381" t="str">
        <f>'Project-Level Data'!Y101</f>
        <v>No Response</v>
      </c>
    </row>
    <row r="56" spans="2:5" hidden="1" x14ac:dyDescent="0.25">
      <c r="B56" s="227" t="str">
        <f>'Project-Level Data'!B14</f>
        <v>Cadiz additional imported supplies</v>
      </c>
      <c r="C56" s="475" t="str">
        <f>'Project-Level Data'!C14</f>
        <v>Imported Water Purchases</v>
      </c>
      <c r="D56" s="477"/>
      <c r="E56" s="381" t="str">
        <f>'Project-Level Data'!Y14</f>
        <v>REMOVED</v>
      </c>
    </row>
    <row r="57" spans="2:5" ht="25.5" hidden="1" x14ac:dyDescent="0.25">
      <c r="B57" s="227" t="str">
        <f>'Project-Level Data'!B23</f>
        <v>East County Advanced Water Purification Program Phase 1</v>
      </c>
      <c r="C57" s="475" t="str">
        <f>'Project-Level Data'!C23</f>
        <v>Potable Reuse</v>
      </c>
      <c r="D57" s="477"/>
      <c r="E57" s="381">
        <f>'Project-Level Data'!Y23</f>
        <v>5</v>
      </c>
    </row>
    <row r="58" spans="2:5" ht="25.5" hidden="1" x14ac:dyDescent="0.25">
      <c r="B58" s="227" t="str">
        <f>'Project-Level Data'!B24</f>
        <v>East County Advanced Water Purification Program Phase 2</v>
      </c>
      <c r="C58" s="475" t="str">
        <f>'Project-Level Data'!C24</f>
        <v>Potable Reuse</v>
      </c>
      <c r="D58" s="477"/>
      <c r="E58" s="381">
        <f>'Project-Level Data'!Y24</f>
        <v>5</v>
      </c>
    </row>
    <row r="59" spans="2:5" ht="25.5" hidden="1" x14ac:dyDescent="0.25">
      <c r="B59" s="227" t="str">
        <f>'Project-Level Data'!B25</f>
        <v>East County Advanced Water Purification Program Phase 3</v>
      </c>
      <c r="C59" s="475" t="str">
        <f>'Project-Level Data'!C25</f>
        <v>Potable Reuse</v>
      </c>
      <c r="D59" s="477"/>
      <c r="E59" s="381">
        <f>'Project-Level Data'!Y25</f>
        <v>5</v>
      </c>
    </row>
    <row r="60" spans="2:5" hidden="1" x14ac:dyDescent="0.25">
      <c r="B60" s="227" t="str">
        <f>'Project-Level Data'!B26</f>
        <v>Encina Wastewater Water Reuse Project</v>
      </c>
      <c r="C60" s="475" t="str">
        <f>'Project-Level Data'!C26</f>
        <v>Potable Reuse</v>
      </c>
      <c r="D60" s="477"/>
      <c r="E60" s="381">
        <f>'Project-Level Data'!Y26</f>
        <v>5</v>
      </c>
    </row>
    <row r="61" spans="2:5" ht="25.5" hidden="1" x14ac:dyDescent="0.25">
      <c r="B61" s="227" t="str">
        <f>'Project-Level Data'!B59</f>
        <v>New Local Supply Rincon del Diablo - Hale Avenue RRF/ City of Escondido/WRFs</v>
      </c>
      <c r="C61" s="475" t="str">
        <f>'Project-Level Data'!C59</f>
        <v>Potable Reuse</v>
      </c>
      <c r="D61" s="477"/>
      <c r="E61" s="381" t="str">
        <f>'Project-Level Data'!Y59</f>
        <v>No Response</v>
      </c>
    </row>
    <row r="62" spans="2:5" ht="25.5" hidden="1" x14ac:dyDescent="0.25">
      <c r="B62" s="227" t="str">
        <f>'Project-Level Data'!B73</f>
        <v xml:space="preserve">Potable Reuse/Hale Avenue Resource Recovery Facility (HARRF) </v>
      </c>
      <c r="C62" s="475" t="str">
        <f>'Project-Level Data'!C73</f>
        <v>Potable Reuse</v>
      </c>
      <c r="D62" s="477"/>
      <c r="E62" s="381" t="str">
        <f>'Project-Level Data'!Y73</f>
        <v>No Response</v>
      </c>
    </row>
    <row r="63" spans="2:5" hidden="1" x14ac:dyDescent="0.25">
      <c r="B63" s="227" t="str">
        <f>'Project-Level Data'!B75</f>
        <v xml:space="preserve">Pure Water San Diego Phase 1 - North City </v>
      </c>
      <c r="C63" s="475" t="str">
        <f>'Project-Level Data'!C75</f>
        <v>Potable Reuse</v>
      </c>
      <c r="D63" s="477"/>
      <c r="E63" s="381">
        <f>'Project-Level Data'!Y75</f>
        <v>5</v>
      </c>
    </row>
    <row r="64" spans="2:5" hidden="1" x14ac:dyDescent="0.25">
      <c r="B64" s="227" t="str">
        <f>'Project-Level Data'!B76</f>
        <v>Pure Water San Diego Phase 2 - Central</v>
      </c>
      <c r="C64" s="475" t="str">
        <f>'Project-Level Data'!C76</f>
        <v>Potable Reuse</v>
      </c>
      <c r="D64" s="477"/>
      <c r="E64" s="381">
        <f>'Project-Level Data'!Y76</f>
        <v>5</v>
      </c>
    </row>
    <row r="65" spans="2:5" hidden="1" x14ac:dyDescent="0.25">
      <c r="B65" s="227" t="str">
        <f>'Project-Level Data'!B104</f>
        <v>SFID/SDWD/SEJPA Potable Reuse Project</v>
      </c>
      <c r="C65" s="475" t="str">
        <f>'Project-Level Data'!C104</f>
        <v>Potable Reuse</v>
      </c>
      <c r="D65" s="477"/>
      <c r="E65" s="381">
        <f>'Project-Level Data'!Y104</f>
        <v>5</v>
      </c>
    </row>
    <row r="66" spans="2:5" hidden="1" x14ac:dyDescent="0.25">
      <c r="B66" s="227" t="str">
        <f>'Project-Level Data'!B108</f>
        <v>South WWTP - Indirect Potable Recharge</v>
      </c>
      <c r="C66" s="475" t="str">
        <f>'Project-Level Data'!C108</f>
        <v>Potable Reuse</v>
      </c>
      <c r="D66" s="477"/>
      <c r="E66" s="381">
        <f>'Project-Level Data'!Y108</f>
        <v>5</v>
      </c>
    </row>
    <row r="67" spans="2:5" hidden="1" x14ac:dyDescent="0.25">
      <c r="B67" s="227" t="str">
        <f>'Project-Level Data'!B109</f>
        <v>South WWTP - Injection to Las Flores Basin</v>
      </c>
      <c r="C67" s="475" t="str">
        <f>'Project-Level Data'!C109</f>
        <v>Potable Reuse</v>
      </c>
      <c r="D67" s="477"/>
      <c r="E67" s="381">
        <f>'Project-Level Data'!Y109</f>
        <v>3</v>
      </c>
    </row>
    <row r="68" spans="2:5" hidden="1" x14ac:dyDescent="0.25">
      <c r="B68" s="227" t="str">
        <f>'Project-Level Data'!B110</f>
        <v>South WWTP - Injection to Santa Margarita Basin</v>
      </c>
      <c r="C68" s="475" t="str">
        <f>'Project-Level Data'!C110</f>
        <v>Potable Reuse</v>
      </c>
      <c r="D68" s="477"/>
      <c r="E68" s="381">
        <f>'Project-Level Data'!Y110</f>
        <v>5</v>
      </c>
    </row>
    <row r="69" spans="2:5" hidden="1" x14ac:dyDescent="0.25">
      <c r="B69" s="227" t="str">
        <f>'Project-Level Data'!B17</f>
        <v>Carlsbad WRF - Landscape, Agriculture 2025</v>
      </c>
      <c r="C69" s="475" t="str">
        <f>'Project-Level Data'!C17</f>
        <v>Recycled Water</v>
      </c>
      <c r="D69" s="477"/>
      <c r="E69" s="381">
        <f>'Project-Level Data'!Y17</f>
        <v>5</v>
      </c>
    </row>
    <row r="70" spans="2:5" hidden="1" x14ac:dyDescent="0.25">
      <c r="B70" s="227" t="str">
        <f>'Project-Level Data'!B18</f>
        <v>Carlsbad WRF - Landscape, Agriculture 2050</v>
      </c>
      <c r="C70" s="475" t="str">
        <f>'Project-Level Data'!C18</f>
        <v>Recycled Water</v>
      </c>
      <c r="D70" s="477"/>
      <c r="E70" s="381">
        <f>'Project-Level Data'!Y18</f>
        <v>5</v>
      </c>
    </row>
    <row r="71" spans="2:5" hidden="1" x14ac:dyDescent="0.25">
      <c r="B71" s="227" t="str">
        <f>'Project-Level Data'!B28</f>
        <v>Extension 153 Phase I</v>
      </c>
      <c r="C71" s="475" t="str">
        <f>'Project-Level Data'!C28</f>
        <v>Recycled Water</v>
      </c>
      <c r="D71" s="477"/>
      <c r="E71" s="381">
        <f>'Project-Level Data'!Y28</f>
        <v>5</v>
      </c>
    </row>
    <row r="72" spans="2:5" hidden="1" x14ac:dyDescent="0.25">
      <c r="B72" s="227" t="str">
        <f>'Project-Level Data'!B29</f>
        <v>Extension 153 Phase II</v>
      </c>
      <c r="C72" s="475" t="str">
        <f>'Project-Level Data'!C29</f>
        <v>Recycled Water</v>
      </c>
      <c r="D72" s="477"/>
      <c r="E72" s="381">
        <f>'Project-Level Data'!Y29</f>
        <v>5</v>
      </c>
    </row>
    <row r="73" spans="2:5" ht="25.5" hidden="1" x14ac:dyDescent="0.25">
      <c r="B73" s="227" t="str">
        <f>'Project-Level Data'!B35</f>
        <v>Hale Avenue Resource Recovery Facility (HARRF) - Landscape, Agriculture, Industrial, PR</v>
      </c>
      <c r="C73" s="475" t="str">
        <f>'Project-Level Data'!C35</f>
        <v>Recycled Water</v>
      </c>
      <c r="D73" s="477"/>
      <c r="E73" s="381" t="str">
        <f>'Project-Level Data'!Y35</f>
        <v>No Response</v>
      </c>
    </row>
    <row r="74" spans="2:5" ht="25.5" hidden="1" x14ac:dyDescent="0.25">
      <c r="B74" s="227" t="str">
        <f>'Project-Level Data'!B36</f>
        <v>Integrated Water Resource Solutions for the Carlsbad Watershed</v>
      </c>
      <c r="C74" s="475" t="str">
        <f>'Project-Level Data'!C36</f>
        <v>Recycled Water</v>
      </c>
      <c r="D74" s="477"/>
      <c r="E74" s="381">
        <f>'Project-Level Data'!Y36</f>
        <v>5</v>
      </c>
    </row>
    <row r="75" spans="2:5" ht="25.5" hidden="1" x14ac:dyDescent="0.25">
      <c r="B75" s="227" t="str">
        <f>'Project-Level Data'!B37</f>
        <v>Intergrated Water Resource Solutions for the Carlsbad Watershed</v>
      </c>
      <c r="C75" s="475" t="str">
        <f>'Project-Level Data'!C37</f>
        <v>Recycled Water</v>
      </c>
      <c r="D75" s="477"/>
      <c r="E75" s="381">
        <f>'Project-Level Data'!Y37</f>
        <v>5</v>
      </c>
    </row>
    <row r="76" spans="2:5" hidden="1" x14ac:dyDescent="0.25">
      <c r="B76" s="227" t="str">
        <f>'Project-Level Data'!B38</f>
        <v>Joint RW Transmission Project with SFID and OMWD</v>
      </c>
      <c r="C76" s="475" t="str">
        <f>'Project-Level Data'!C38</f>
        <v>Recycled Water</v>
      </c>
      <c r="D76" s="477"/>
      <c r="E76" s="381">
        <f>'Project-Level Data'!Y38</f>
        <v>5</v>
      </c>
    </row>
    <row r="77" spans="2:5" hidden="1" x14ac:dyDescent="0.25">
      <c r="B77" s="227" t="str">
        <f>'Project-Level Data'!B42</f>
        <v>Lilac Hills Ranch WRF</v>
      </c>
      <c r="C77" s="475" t="str">
        <f>'Project-Level Data'!C42</f>
        <v>Recycled Water</v>
      </c>
      <c r="D77" s="477"/>
      <c r="E77" s="381" t="str">
        <f>'Project-Level Data'!Y42</f>
        <v>No Response</v>
      </c>
    </row>
    <row r="78" spans="2:5" hidden="1" x14ac:dyDescent="0.25">
      <c r="B78" s="227" t="str">
        <f>'Project-Level Data'!B45</f>
        <v>Lower Moosa Canyon WRF</v>
      </c>
      <c r="C78" s="475" t="str">
        <f>'Project-Level Data'!C45</f>
        <v>Recycled Water</v>
      </c>
      <c r="D78" s="477"/>
      <c r="E78" s="381" t="str">
        <f>'Project-Level Data'!Y45</f>
        <v>No Response</v>
      </c>
    </row>
    <row r="79" spans="2:5" hidden="1" x14ac:dyDescent="0.25">
      <c r="B79" s="227" t="str">
        <f>'Project-Level Data'!B50</f>
        <v>Meadowlark WRF</v>
      </c>
      <c r="C79" s="475" t="str">
        <f>'Project-Level Data'!C50</f>
        <v>Recycled Water</v>
      </c>
      <c r="D79" s="477"/>
      <c r="E79" s="381" t="str">
        <f>'Project-Level Data'!Y50</f>
        <v>No Response</v>
      </c>
    </row>
    <row r="80" spans="2:5" hidden="1" x14ac:dyDescent="0.25">
      <c r="B80" s="227" t="str">
        <f>'Project-Level Data'!B51</f>
        <v>Meadowood WRF</v>
      </c>
      <c r="C80" s="475" t="str">
        <f>'Project-Level Data'!C51</f>
        <v>Recycled Water</v>
      </c>
      <c r="D80" s="477"/>
      <c r="E80" s="381" t="str">
        <f>'Project-Level Data'!Y51</f>
        <v>No Response</v>
      </c>
    </row>
    <row r="81" spans="2:5" hidden="1" x14ac:dyDescent="0.25">
      <c r="B81" s="227" t="str">
        <f>'Project-Level Data'!B61</f>
        <v>North City WRP - Project 1</v>
      </c>
      <c r="C81" s="475" t="str">
        <f>'Project-Level Data'!C61</f>
        <v>Recycled Water</v>
      </c>
      <c r="D81" s="477"/>
      <c r="E81" s="381">
        <f>'Project-Level Data'!Y61</f>
        <v>4</v>
      </c>
    </row>
    <row r="82" spans="2:5" hidden="1" x14ac:dyDescent="0.25">
      <c r="B82" s="227" t="str">
        <f>'Project-Level Data'!B62</f>
        <v>North City WRP - Project 2</v>
      </c>
      <c r="C82" s="475" t="str">
        <f>'Project-Level Data'!C62</f>
        <v>Recycled Water</v>
      </c>
      <c r="D82" s="477"/>
      <c r="E82" s="381">
        <f>'Project-Level Data'!Y62</f>
        <v>4</v>
      </c>
    </row>
    <row r="83" spans="2:5" hidden="1" x14ac:dyDescent="0.25">
      <c r="B83" s="227" t="str">
        <f>'Project-Level Data'!B63</f>
        <v>North District Recycled System/RW Chapman WRF</v>
      </c>
      <c r="C83" s="475" t="str">
        <f>'Project-Level Data'!C63</f>
        <v>Recycled Water</v>
      </c>
      <c r="D83" s="477"/>
      <c r="E83" s="381">
        <f>'Project-Level Data'!Y63</f>
        <v>5</v>
      </c>
    </row>
    <row r="84" spans="2:5" ht="25.5" hidden="1" x14ac:dyDescent="0.25">
      <c r="B84" s="227" t="str">
        <f>'Project-Level Data'!B64</f>
        <v>North San Diego County Regional Recycled Water Project-Phase ll</v>
      </c>
      <c r="C84" s="475" t="str">
        <f>'Project-Level Data'!C64</f>
        <v>Recycled Water</v>
      </c>
      <c r="D84" s="477"/>
      <c r="E84" s="381">
        <f>'Project-Level Data'!Y64</f>
        <v>5</v>
      </c>
    </row>
    <row r="85" spans="2:5" hidden="1" x14ac:dyDescent="0.25">
      <c r="B85" s="227" t="str">
        <f>'Project-Level Data'!B65</f>
        <v>North Village WRF</v>
      </c>
      <c r="C85" s="475" t="str">
        <f>'Project-Level Data'!C65</f>
        <v>Recycled Water</v>
      </c>
      <c r="D85" s="477"/>
      <c r="E85" s="381" t="str">
        <f>'Project-Level Data'!Y65</f>
        <v>No Response</v>
      </c>
    </row>
    <row r="86" spans="2:5" hidden="1" x14ac:dyDescent="0.25">
      <c r="B86" s="227" t="str">
        <f>'Project-Level Data'!B66</f>
        <v>North WWTP Landscape Application</v>
      </c>
      <c r="C86" s="475" t="str">
        <f>'Project-Level Data'!C66</f>
        <v>Recycled Water</v>
      </c>
      <c r="D86" s="477"/>
      <c r="E86" s="381">
        <f>'Project-Level Data'!Y66</f>
        <v>5</v>
      </c>
    </row>
    <row r="87" spans="2:5" hidden="1" x14ac:dyDescent="0.25">
      <c r="B87" s="227" t="str">
        <f>'Project-Level Data'!B78</f>
        <v>Rancho Cielo</v>
      </c>
      <c r="C87" s="475" t="str">
        <f>'Project-Level Data'!C78</f>
        <v>Recycled Water</v>
      </c>
      <c r="D87" s="477"/>
      <c r="E87" s="381">
        <f>'Project-Level Data'!Y78</f>
        <v>5</v>
      </c>
    </row>
    <row r="88" spans="2:5" hidden="1" x14ac:dyDescent="0.25">
      <c r="B88" s="227" t="str">
        <f>'Project-Level Data'!B80</f>
        <v>Ray Stoyer WRF - Landscape, Irrigation, Dust Control</v>
      </c>
      <c r="C88" s="475" t="str">
        <f>'Project-Level Data'!C80</f>
        <v>Recycled Water</v>
      </c>
      <c r="D88" s="477"/>
      <c r="E88" s="381">
        <f>'Project-Level Data'!Y80</f>
        <v>5</v>
      </c>
    </row>
    <row r="89" spans="2:5" hidden="1" x14ac:dyDescent="0.25">
      <c r="B89" s="227" t="str">
        <f>'Project-Level Data'!B86</f>
        <v>Safari Drought Response and Outreach</v>
      </c>
      <c r="C89" s="475" t="str">
        <f>'Project-Level Data'!C86</f>
        <v>Recycled Water</v>
      </c>
      <c r="D89" s="477"/>
      <c r="E89" s="381" t="str">
        <f>'Project-Level Data'!Y86</f>
        <v>No Response</v>
      </c>
    </row>
    <row r="90" spans="2:5" hidden="1" x14ac:dyDescent="0.25">
      <c r="B90" s="227" t="str">
        <f>'Project-Level Data'!B102</f>
        <v>Santa Maria WRP</v>
      </c>
      <c r="C90" s="475" t="str">
        <f>'Project-Level Data'!C102</f>
        <v>Recycled Water</v>
      </c>
      <c r="D90" s="477"/>
      <c r="E90" s="381" t="str">
        <f>'Project-Level Data'!Y102</f>
        <v>No Response</v>
      </c>
    </row>
    <row r="91" spans="2:5" hidden="1" x14ac:dyDescent="0.25">
      <c r="B91" s="227" t="str">
        <f>'Project-Level Data'!B105</f>
        <v>Shadowridge WRP</v>
      </c>
      <c r="C91" s="475" t="str">
        <f>'Project-Level Data'!C105</f>
        <v>Recycled Water</v>
      </c>
      <c r="D91" s="477"/>
      <c r="E91" s="381" t="str">
        <f>'Project-Level Data'!Y105</f>
        <v>No Response</v>
      </c>
    </row>
    <row r="92" spans="2:5" ht="25.5" hidden="1" x14ac:dyDescent="0.25">
      <c r="B92" s="227" t="str">
        <f>'Project-Level Data'!B118</f>
        <v>TBD - Evaluation Multiple Options/TBD - Supply/ Source Treatment Plant/Agency for recycled water</v>
      </c>
      <c r="C92" s="475" t="str">
        <f>'Project-Level Data'!C118</f>
        <v>Recycled Water</v>
      </c>
      <c r="D92" s="477"/>
      <c r="E92" s="381">
        <f>'Project-Level Data'!Y118</f>
        <v>5</v>
      </c>
    </row>
    <row r="93" spans="2:5" hidden="1" x14ac:dyDescent="0.25">
      <c r="B93" s="227" t="str">
        <f>'Project-Level Data'!B122</f>
        <v>Village Park Recycled Water Expansion Project</v>
      </c>
      <c r="C93" s="475" t="str">
        <f>'Project-Level Data'!C122</f>
        <v>Recycled Water</v>
      </c>
      <c r="D93" s="477"/>
      <c r="E93" s="381">
        <f>'Project-Level Data'!Y122</f>
        <v>5</v>
      </c>
    </row>
    <row r="94" spans="2:5" hidden="1" x14ac:dyDescent="0.25">
      <c r="B94" s="227" t="str">
        <f>'Project-Level Data'!B123</f>
        <v>W+157:181RP/Recycled Water Distribution System</v>
      </c>
      <c r="C94" s="475" t="str">
        <f>'Project-Level Data'!C123</f>
        <v>Recycled Water</v>
      </c>
      <c r="D94" s="477"/>
      <c r="E94" s="381" t="str">
        <f>'Project-Level Data'!Y123</f>
        <v>No Response</v>
      </c>
    </row>
    <row r="95" spans="2:5" hidden="1" x14ac:dyDescent="0.25">
      <c r="B95" s="227" t="str">
        <f>'Project-Level Data'!B124</f>
        <v>Welk WRF</v>
      </c>
      <c r="C95" s="475" t="str">
        <f>'Project-Level Data'!C124</f>
        <v>Recycled Water</v>
      </c>
      <c r="D95" s="477"/>
      <c r="E95" s="381" t="str">
        <f>'Project-Level Data'!Y124</f>
        <v>No Response</v>
      </c>
    </row>
    <row r="96" spans="2:5" hidden="1" x14ac:dyDescent="0.25">
      <c r="B96" s="227" t="str">
        <f>'Project-Level Data'!B125</f>
        <v>Woods Valley Ranch WRF Phase 3</v>
      </c>
      <c r="C96" s="475" t="str">
        <f>'Project-Level Data'!C125</f>
        <v>Recycled Water</v>
      </c>
      <c r="D96" s="477"/>
      <c r="E96" s="381" t="str">
        <f>'Project-Level Data'!Y125</f>
        <v>No Response</v>
      </c>
    </row>
    <row r="97" spans="1:5" hidden="1" x14ac:dyDescent="0.25">
      <c r="B97" s="227" t="str">
        <f>'Project-Level Data'!B15</f>
        <v>Camp Pendleton Desalination Facility</v>
      </c>
      <c r="C97" s="475" t="str">
        <f>'Project-Level Data'!C15</f>
        <v>Seawater Desalination</v>
      </c>
      <c r="D97" s="477"/>
      <c r="E97" s="381">
        <f>'Project-Level Data'!Y15</f>
        <v>5</v>
      </c>
    </row>
    <row r="98" spans="1:5" hidden="1" x14ac:dyDescent="0.25">
      <c r="B98" s="227" t="str">
        <f>'Project-Level Data'!B83</f>
        <v>Re-rating of Carlsbad Desalination for higher flow</v>
      </c>
      <c r="C98" s="475" t="str">
        <f>'Project-Level Data'!C83</f>
        <v>Seawater Desalination</v>
      </c>
      <c r="D98" s="477"/>
      <c r="E98" s="381" t="str">
        <f>'Project-Level Data'!Y83</f>
        <v>No Response</v>
      </c>
    </row>
    <row r="99" spans="1:5" hidden="1" x14ac:dyDescent="0.25">
      <c r="B99" s="227" t="str">
        <f>'Project-Level Data'!B85</f>
        <v>Rosarito Beach Desalination</v>
      </c>
      <c r="C99" s="475" t="str">
        <f>'Project-Level Data'!C85</f>
        <v>Seawater Desalination</v>
      </c>
      <c r="D99" s="477"/>
      <c r="E99" s="381">
        <f>'Project-Level Data'!Y85</f>
        <v>5</v>
      </c>
    </row>
    <row r="100" spans="1:5" ht="38.25" hidden="1" x14ac:dyDescent="0.25">
      <c r="B100" s="227" t="str">
        <f>'Project-Level Data'!B9</f>
        <v>Alternative Compliance Retrofit Project El Norte Parkway and Rincon
Villa Drive, Escondido</v>
      </c>
      <c r="C100" s="475" t="str">
        <f>'Project-Level Data'!C9</f>
        <v>Stormwater BMPs</v>
      </c>
      <c r="D100" s="477"/>
      <c r="E100" s="381" t="str">
        <f>'Project-Level Data'!Y9</f>
        <v>No Response</v>
      </c>
    </row>
    <row r="101" spans="1:5" ht="25.5" hidden="1" x14ac:dyDescent="0.25">
      <c r="B101" s="227" t="str">
        <f>'Project-Level Data'!B10</f>
        <v>Alternative Compliance Retrofit Project Mountain View Park, Escondido</v>
      </c>
      <c r="C101" s="475" t="str">
        <f>'Project-Level Data'!C10</f>
        <v>Stormwater BMPs</v>
      </c>
      <c r="D101" s="477"/>
      <c r="E101" s="381" t="str">
        <f>'Project-Level Data'!Y10</f>
        <v>No Response</v>
      </c>
    </row>
    <row r="102" spans="1:5" hidden="1" x14ac:dyDescent="0.25">
      <c r="B102" s="227" t="str">
        <f>'Project-Level Data'!B11</f>
        <v>Bakersfield Street and San Altos Channel Restoration</v>
      </c>
      <c r="C102" s="475" t="str">
        <f>'Project-Level Data'!C11</f>
        <v>Stormwater BMPs</v>
      </c>
      <c r="D102" s="477"/>
      <c r="E102" s="381" t="str">
        <f>'Project-Level Data'!Y11</f>
        <v>MISSING</v>
      </c>
    </row>
    <row r="103" spans="1:5" ht="38.25" hidden="1" x14ac:dyDescent="0.25">
      <c r="A103" s="16"/>
      <c r="B103" s="227" t="str">
        <f>'Project-Level Data'!B12</f>
        <v>Broadway Channel Flood Risk Reduction and Water Quality
Improvements</v>
      </c>
      <c r="C103" s="475" t="str">
        <f>'Project-Level Data'!C12</f>
        <v>Stormwater BMPs</v>
      </c>
      <c r="D103" s="477"/>
      <c r="E103" s="381">
        <f>'Project-Level Data'!Y12</f>
        <v>3</v>
      </c>
    </row>
    <row r="104" spans="1:5" hidden="1" x14ac:dyDescent="0.25">
      <c r="B104" s="227" t="str">
        <f>'Project-Level Data'!B20</f>
        <v>City of Oceanside Loma Alta Slough Restoration Project</v>
      </c>
      <c r="C104" s="475" t="str">
        <f>'Project-Level Data'!C20</f>
        <v>Stormwater BMPs</v>
      </c>
      <c r="D104" s="477"/>
      <c r="E104" s="381" t="str">
        <f>'Project-Level Data'!Y20</f>
        <v>No Response</v>
      </c>
    </row>
    <row r="105" spans="1:5" hidden="1" x14ac:dyDescent="0.25">
      <c r="B105" s="227" t="str">
        <f>'Project-Level Data'!B32</f>
        <v>Golden Ave Green Street</v>
      </c>
      <c r="C105" s="475" t="str">
        <f>'Project-Level Data'!C32</f>
        <v>Stormwater BMPs</v>
      </c>
      <c r="D105" s="477"/>
      <c r="E105" s="381" t="str">
        <f>'Project-Level Data'!Y32</f>
        <v>MISSING</v>
      </c>
    </row>
    <row r="106" spans="1:5" hidden="1" x14ac:dyDescent="0.25">
      <c r="B106" s="227" t="str">
        <f>'Project-Level Data'!B39</f>
        <v>Las Colinas Channel Improvments</v>
      </c>
      <c r="C106" s="475" t="str">
        <f>'Project-Level Data'!C39</f>
        <v>Stormwater BMPs</v>
      </c>
      <c r="D106" s="477"/>
      <c r="E106" s="381">
        <f>'Project-Level Data'!Y39</f>
        <v>3</v>
      </c>
    </row>
    <row r="107" spans="1:5" hidden="1" x14ac:dyDescent="0.25">
      <c r="B107" s="227" t="str">
        <f>'Project-Level Data'!B40</f>
        <v>Lemon Grove Avenue Green Streets</v>
      </c>
      <c r="C107" s="475" t="str">
        <f>'Project-Level Data'!C40</f>
        <v>Stormwater BMPs</v>
      </c>
      <c r="D107" s="477"/>
      <c r="E107" s="381">
        <f>'Project-Level Data'!Y40</f>
        <v>3</v>
      </c>
    </row>
    <row r="108" spans="1:5" ht="25.5" hidden="1" x14ac:dyDescent="0.25">
      <c r="B108" s="227" t="str">
        <f>'Project-Level Data'!B41</f>
        <v>Leucadia Roadside Park Stormwater Capture/Reuse Project</v>
      </c>
      <c r="C108" s="475" t="str">
        <f>'Project-Level Data'!C41</f>
        <v>Stormwater BMPs</v>
      </c>
      <c r="D108" s="477"/>
      <c r="E108" s="381">
        <f>'Project-Level Data'!Y41</f>
        <v>4</v>
      </c>
    </row>
    <row r="109" spans="1:5" hidden="1" x14ac:dyDescent="0.25">
      <c r="B109" s="227" t="str">
        <f>'Project-Level Data'!B43</f>
        <v>Lincoln St Green Street</v>
      </c>
      <c r="C109" s="475" t="str">
        <f>'Project-Level Data'!C43</f>
        <v>Stormwater BMPs</v>
      </c>
      <c r="D109" s="477"/>
      <c r="E109" s="381" t="str">
        <f>'Project-Level Data'!Y43</f>
        <v>MISSING</v>
      </c>
    </row>
    <row r="110" spans="1:5" ht="25.5" hidden="1" x14ac:dyDescent="0.25">
      <c r="B110" s="227" t="str">
        <f>'Project-Level Data'!B44</f>
        <v xml:space="preserve">Low Impact Development Urban Runoff Control Projects for the Tijuana Estuary </v>
      </c>
      <c r="C110" s="475" t="str">
        <f>'Project-Level Data'!C44</f>
        <v>Stormwater BMPs</v>
      </c>
      <c r="D110" s="477"/>
      <c r="E110" s="381">
        <f>'Project-Level Data'!Y44</f>
        <v>4</v>
      </c>
    </row>
    <row r="111" spans="1:5" hidden="1" x14ac:dyDescent="0.25">
      <c r="B111" s="227" t="str">
        <f>'Project-Level Data'!B46</f>
        <v>Madera St Green Street</v>
      </c>
      <c r="C111" s="475" t="str">
        <f>'Project-Level Data'!C46</f>
        <v>Stormwater BMPs</v>
      </c>
      <c r="D111" s="477"/>
      <c r="E111" s="381" t="str">
        <f>'Project-Level Data'!Y46</f>
        <v>MISSING</v>
      </c>
    </row>
    <row r="112" spans="1:5" hidden="1" x14ac:dyDescent="0.25">
      <c r="B112" s="227" t="str">
        <f>'Project-Level Data'!B47</f>
        <v>Main Street Promenade Extension</v>
      </c>
      <c r="C112" s="475" t="str">
        <f>'Project-Level Data'!C47</f>
        <v>Stormwater BMPs</v>
      </c>
      <c r="D112" s="477"/>
      <c r="E112" s="381" t="str">
        <f>'Project-Level Data'!Y47</f>
        <v>MISSING</v>
      </c>
    </row>
    <row r="113" spans="2:5" ht="25.5" hidden="1" x14ac:dyDescent="0.25">
      <c r="B113" s="227" t="str">
        <f>'Project-Level Data'!B48</f>
        <v>Mapleview Street ‐ Green Infrastructure and Stormwater QualityImprovement Project</v>
      </c>
      <c r="C113" s="475" t="str">
        <f>'Project-Level Data'!C48</f>
        <v>Stormwater BMPs</v>
      </c>
      <c r="D113" s="477"/>
      <c r="E113" s="381">
        <f>'Project-Level Data'!Y48</f>
        <v>3</v>
      </c>
    </row>
    <row r="114" spans="2:5" ht="25.5" hidden="1" x14ac:dyDescent="0.25">
      <c r="B114" s="227" t="str">
        <f>'Project-Level Data'!B71</f>
        <v>Paradise Valley Creek Water Quality and Community Enhancement</v>
      </c>
      <c r="C114" s="475" t="str">
        <f>'Project-Level Data'!C71</f>
        <v>Stormwater BMPs</v>
      </c>
      <c r="D114" s="477"/>
      <c r="E114" s="381">
        <f>'Project-Level Data'!Y71</f>
        <v>5</v>
      </c>
    </row>
    <row r="115" spans="2:5" ht="25.5" hidden="1" x14ac:dyDescent="0.25">
      <c r="B115" s="227" t="str">
        <f>'Project-Level Data'!B74</f>
        <v>Pure Water - Los Penasquitos Creek Urban Dry-Weather Water Harvesting</v>
      </c>
      <c r="C115" s="475" t="str">
        <f>'Project-Level Data'!C74</f>
        <v>Stormwater BMPs</v>
      </c>
      <c r="D115" s="477"/>
      <c r="E115" s="381">
        <f>'Project-Level Data'!Y74</f>
        <v>5</v>
      </c>
    </row>
    <row r="116" spans="2:5" hidden="1" x14ac:dyDescent="0.25">
      <c r="B116" s="227" t="str">
        <f>'Project-Level Data'!B87</f>
        <v>Safari Park Storm Water Capture and Reuse Project</v>
      </c>
      <c r="C116" s="475" t="str">
        <f>'Project-Level Data'!C87</f>
        <v>Stormwater BMPs</v>
      </c>
      <c r="D116" s="477"/>
      <c r="E116" s="381" t="str">
        <f>'Project-Level Data'!Y87</f>
        <v>No Response</v>
      </c>
    </row>
    <row r="117" spans="2:5" ht="25.5" hidden="1" x14ac:dyDescent="0.25">
      <c r="B117" s="227" t="str">
        <f>'Project-Level Data'!B88</f>
        <v>Safari Park Water Reuse Sustainability and Watershed Protection Prgram</v>
      </c>
      <c r="C117" s="475" t="str">
        <f>'Project-Level Data'!C88</f>
        <v>Stormwater BMPs</v>
      </c>
      <c r="D117" s="477"/>
      <c r="E117" s="381" t="str">
        <f>'Project-Level Data'!Y88</f>
        <v>No Response</v>
      </c>
    </row>
    <row r="118" spans="2:5" ht="25.5" hidden="1" x14ac:dyDescent="0.25">
      <c r="B118" s="227" t="str">
        <f>'Project-Level Data'!B96</f>
        <v>San Marino Drive Green Street and Dry Weather Flow Management Sweetwater</v>
      </c>
      <c r="C118" s="475" t="str">
        <f>'Project-Level Data'!C96</f>
        <v>Stormwater BMPs</v>
      </c>
      <c r="D118" s="477"/>
      <c r="E118" s="381">
        <f>'Project-Level Data'!Y96</f>
        <v>3</v>
      </c>
    </row>
    <row r="119" spans="2:5" ht="25.5" hidden="1" x14ac:dyDescent="0.25">
      <c r="B119" s="227" t="str">
        <f>'Project-Level Data'!B97</f>
        <v>San Marino Drive Green Street and Dry Weather Flow Management Vallecitos</v>
      </c>
      <c r="C119" s="475" t="str">
        <f>'Project-Level Data'!C97</f>
        <v>Stormwater BMPs</v>
      </c>
      <c r="D119" s="477"/>
      <c r="E119" s="381">
        <f>'Project-Level Data'!Y97</f>
        <v>3</v>
      </c>
    </row>
    <row r="120" spans="2:5" hidden="1" x14ac:dyDescent="0.25">
      <c r="B120" s="227" t="str">
        <f>'Project-Level Data'!B98</f>
        <v>San Miguel Green Street</v>
      </c>
      <c r="C120" s="475" t="str">
        <f>'Project-Level Data'!C98</f>
        <v>Stormwater BMPs</v>
      </c>
      <c r="D120" s="477"/>
      <c r="E120" s="381" t="str">
        <f>'Project-Level Data'!Y98</f>
        <v>No Response</v>
      </c>
    </row>
    <row r="121" spans="2:5" hidden="1" x14ac:dyDescent="0.25">
      <c r="B121" s="227" t="str">
        <f>'Project-Level Data'!B106</f>
        <v>Skyline Dr and Kempt St Green Streets</v>
      </c>
      <c r="C121" s="475" t="str">
        <f>'Project-Level Data'!C106</f>
        <v>Stormwater BMPs</v>
      </c>
      <c r="D121" s="477"/>
      <c r="E121" s="381" t="str">
        <f>'Project-Level Data'!Y106</f>
        <v>MISSING</v>
      </c>
    </row>
    <row r="122" spans="2:5" hidden="1" x14ac:dyDescent="0.25">
      <c r="B122" s="227" t="str">
        <f>'Project-Level Data'!B107</f>
        <v>South Santa Fe Green Street Project</v>
      </c>
      <c r="C122" s="475" t="str">
        <f>'Project-Level Data'!C107</f>
        <v>Stormwater BMPs</v>
      </c>
      <c r="D122" s="477"/>
      <c r="E122" s="381">
        <f>'Project-Level Data'!Y107</f>
        <v>4</v>
      </c>
    </row>
    <row r="123" spans="2:5" hidden="1" x14ac:dyDescent="0.25">
      <c r="B123" s="227" t="str">
        <f>'Project-Level Data'!B111</f>
        <v>Spruce Street Channel Improvement Project</v>
      </c>
      <c r="C123" s="475" t="str">
        <f>'Project-Level Data'!C111</f>
        <v>Stormwater BMPs</v>
      </c>
      <c r="D123" s="477"/>
      <c r="E123" s="381" t="str">
        <f>'Project-Level Data'!Y111</f>
        <v>No Response</v>
      </c>
    </row>
    <row r="124" spans="2:5" ht="25.5" hidden="1" x14ac:dyDescent="0.25">
      <c r="B124" s="227" t="str">
        <f>'Project-Level Data'!B112</f>
        <v>Storm water Capture off San Diego River along Alvarado Canyon and Fairmont Canyon to Fish and Wildlife site</v>
      </c>
      <c r="C124" s="475" t="str">
        <f>'Project-Level Data'!C112</f>
        <v>Stormwater BMPs</v>
      </c>
      <c r="D124" s="477"/>
      <c r="E124" s="381">
        <f>'Project-Level Data'!Y112</f>
        <v>4</v>
      </c>
    </row>
    <row r="125" spans="2:5" hidden="1" x14ac:dyDescent="0.25">
      <c r="B125" s="227" t="str">
        <f>'Project-Level Data'!B114</f>
        <v>Sweetwater Rd Green Street</v>
      </c>
      <c r="C125" s="475" t="str">
        <f>'Project-Level Data'!C114</f>
        <v>Stormwater BMPs</v>
      </c>
      <c r="D125" s="477"/>
      <c r="E125" s="381" t="str">
        <f>'Project-Level Data'!Y114</f>
        <v>MISSING</v>
      </c>
    </row>
    <row r="126" spans="2:5" hidden="1" x14ac:dyDescent="0.25">
      <c r="B126" s="227" t="str">
        <f>'Project-Level Data'!B116</f>
        <v>Sweetwater River Park Bioretention</v>
      </c>
      <c r="C126" s="475" t="str">
        <f>'Project-Level Data'!C116</f>
        <v>Stormwater BMPs</v>
      </c>
      <c r="D126" s="477"/>
      <c r="E126" s="381" t="str">
        <f>'Project-Level Data'!Y116</f>
        <v>No Response</v>
      </c>
    </row>
    <row r="127" spans="2:5" hidden="1" x14ac:dyDescent="0.25">
      <c r="B127" s="227" t="str">
        <f>'Project-Level Data'!B119</f>
        <v>Telegraph Canyon Channel Improvement Project</v>
      </c>
      <c r="C127" s="475" t="str">
        <f>'Project-Level Data'!C119</f>
        <v>Stormwater BMPs</v>
      </c>
      <c r="D127" s="477"/>
      <c r="E127" s="381" t="str">
        <f>'Project-Level Data'!Y119</f>
        <v>No Response</v>
      </c>
    </row>
    <row r="128" spans="2:5" hidden="1" x14ac:dyDescent="0.25">
      <c r="B128" s="227" t="str">
        <f>'Project-Level Data'!B126</f>
        <v>Woodside Avenue Complete Green Street</v>
      </c>
      <c r="C128" s="475" t="str">
        <f>'Project-Level Data'!C126</f>
        <v>Stormwater BMPs</v>
      </c>
      <c r="D128" s="477"/>
      <c r="E128" s="381">
        <f>'Project-Level Data'!Y126</f>
        <v>3</v>
      </c>
    </row>
    <row r="129" spans="1:5" hidden="1" x14ac:dyDescent="0.25">
      <c r="B129" s="227" t="str">
        <f>'Project-Level Data'!B57</f>
        <v>Murray Urban Runoff Diversion System Capture</v>
      </c>
      <c r="C129" s="475" t="str">
        <f>'Project-Level Data'!C57</f>
        <v>Stormwater Capture</v>
      </c>
      <c r="D129" s="477"/>
      <c r="E129" s="381">
        <f>'Project-Level Data'!Y57</f>
        <v>5</v>
      </c>
    </row>
    <row r="130" spans="1:5" hidden="1" x14ac:dyDescent="0.25">
      <c r="B130" s="227" t="str">
        <f>'Project-Level Data'!B77</f>
        <v>Rainwater harvesting</v>
      </c>
      <c r="C130" s="475" t="str">
        <f>'Project-Level Data'!C77</f>
        <v>Stormwater Capture</v>
      </c>
      <c r="D130" s="477"/>
      <c r="E130" s="381">
        <f>'Project-Level Data'!Y77</f>
        <v>5</v>
      </c>
    </row>
    <row r="131" spans="1:5" hidden="1" x14ac:dyDescent="0.25">
      <c r="B131" s="227" t="str">
        <f>'Project-Level Data'!B55</f>
        <v xml:space="preserve">Ms. Smarty-Plants Grows Water-Wise Schools </v>
      </c>
      <c r="C131" s="475" t="str">
        <f>'Project-Level Data'!C55</f>
        <v>Urban and Agricultural Water Use Efficiency</v>
      </c>
      <c r="D131" s="477"/>
      <c r="E131" s="381" t="str">
        <f>'Project-Level Data'!Y55</f>
        <v>No Response</v>
      </c>
    </row>
    <row r="132" spans="1:5" hidden="1" x14ac:dyDescent="0.25">
      <c r="B132" s="227" t="str">
        <f>'Project-Level Data'!B81</f>
        <v>Regional Demand Management Program Expansion</v>
      </c>
      <c r="C132" s="475" t="str">
        <f>'Project-Level Data'!C81</f>
        <v>Urban and Agricultural Water Use Efficiency</v>
      </c>
      <c r="D132" s="477"/>
      <c r="E132" s="381">
        <f>'Project-Level Data'!Y81</f>
        <v>4</v>
      </c>
    </row>
    <row r="133" spans="1:5" hidden="1" x14ac:dyDescent="0.25">
      <c r="A133" s="14"/>
      <c r="B133" s="227" t="str">
        <f>'Project-Level Data'!B82</f>
        <v>Regional Drought Resilience Program</v>
      </c>
      <c r="C133" s="475" t="str">
        <f>'Project-Level Data'!C82</f>
        <v>Urban and Agricultural Water Use Efficiency</v>
      </c>
      <c r="D133" s="477"/>
      <c r="E133" s="381">
        <f>'Project-Level Data'!Y82</f>
        <v>4</v>
      </c>
    </row>
    <row r="134" spans="1:5" hidden="1" x14ac:dyDescent="0.25">
      <c r="B134" s="227" t="str">
        <f>'Project-Level Data'!B84</f>
        <v>Rincon Customer-Driven Demand Management Program</v>
      </c>
      <c r="C134" s="475" t="str">
        <f>'Project-Level Data'!C84</f>
        <v>Urban and Agricultural Water Use Efficiency</v>
      </c>
      <c r="D134" s="477"/>
      <c r="E134" s="381" t="str">
        <f>'Project-Level Data'!Y84</f>
        <v>No Response</v>
      </c>
    </row>
    <row r="135" spans="1:5" hidden="1" x14ac:dyDescent="0.25">
      <c r="B135" s="227" t="str">
        <f>'Project-Level Data'!B92</f>
        <v>San Diego Water Conservation Program</v>
      </c>
      <c r="C135" s="475" t="str">
        <f>'Project-Level Data'!C92</f>
        <v>Urban and Agricultural Water Use Efficiency</v>
      </c>
      <c r="D135" s="477"/>
      <c r="E135" s="381">
        <f>'Project-Level Data'!Y92</f>
        <v>4</v>
      </c>
    </row>
    <row r="136" spans="1:5" hidden="1" x14ac:dyDescent="0.25">
      <c r="B136" s="227" t="str">
        <f>'Project-Level Data'!B93</f>
        <v>San Diego Water Use Reduction Program</v>
      </c>
      <c r="C136" s="475" t="str">
        <f>'Project-Level Data'!C93</f>
        <v>Urban and Agricultural Water Use Efficiency</v>
      </c>
      <c r="D136" s="477"/>
      <c r="E136" s="381">
        <f>'Project-Level Data'!Y93</f>
        <v>4</v>
      </c>
    </row>
    <row r="137" spans="1:5" ht="25.5" hidden="1" x14ac:dyDescent="0.25">
      <c r="B137" s="227" t="str">
        <f>'Project-Level Data'!B121</f>
        <v>UC San Diego Water Conservation and Watershed Protection</v>
      </c>
      <c r="C137" s="475" t="str">
        <f>'Project-Level Data'!C121</f>
        <v>Urban and Agricultural Water Use Efficiency</v>
      </c>
      <c r="D137" s="477"/>
      <c r="E137" s="381">
        <f>'Project-Level Data'!Y121</f>
        <v>5</v>
      </c>
    </row>
    <row r="138" spans="1:5" hidden="1" x14ac:dyDescent="0.25">
      <c r="B138" s="227" t="str">
        <f>'Project-Level Data'!B7</f>
        <v>69th St Green Street</v>
      </c>
      <c r="C138" s="475" t="str">
        <f>'Project-Level Data'!C7</f>
        <v>Watershed and Ecosystem Management</v>
      </c>
      <c r="D138" s="477"/>
      <c r="E138" s="381" t="str">
        <f>'Project-Level Data'!Y7</f>
        <v>MISSING</v>
      </c>
    </row>
    <row r="139" spans="1:5" ht="38.25" hidden="1" x14ac:dyDescent="0.25">
      <c r="B139" s="227" t="str">
        <f>'Project-Level Data'!B8</f>
        <v>Alternative Compliance Retrofit Project Avenida Del Diablo Park,
Escondido</v>
      </c>
      <c r="C139" s="475" t="str">
        <f>'Project-Level Data'!C8</f>
        <v>Watershed and Ecosystem Management</v>
      </c>
      <c r="D139" s="477"/>
      <c r="E139" s="381" t="str">
        <f>'Project-Level Data'!Y8</f>
        <v>No Response</v>
      </c>
    </row>
    <row r="140" spans="1:5" hidden="1" x14ac:dyDescent="0.25">
      <c r="B140" s="227" t="str">
        <f>'Project-Level Data'!B13</f>
        <v>Broadway/Federal Blvd Green Street</v>
      </c>
      <c r="C140" s="475" t="str">
        <f>'Project-Level Data'!C13</f>
        <v>Watershed and Ecosystem Management</v>
      </c>
      <c r="D140" s="477"/>
      <c r="E140" s="381" t="str">
        <f>'Project-Level Data'!Y13</f>
        <v>MISSING</v>
      </c>
    </row>
    <row r="141" spans="1:5" hidden="1" x14ac:dyDescent="0.25">
      <c r="B141" s="227" t="str">
        <f>'Project-Level Data'!B16</f>
        <v>Canton Dr Green Street</v>
      </c>
      <c r="C141" s="475" t="str">
        <f>'Project-Level Data'!C16</f>
        <v>Watershed and Ecosystem Management</v>
      </c>
      <c r="D141" s="477"/>
      <c r="E141" s="381" t="str">
        <f>'Project-Level Data'!Y16</f>
        <v>MISSING</v>
      </c>
    </row>
    <row r="142" spans="1:5" hidden="1" x14ac:dyDescent="0.25">
      <c r="B142" s="227" t="str">
        <f>'Project-Level Data'!B19</f>
        <v>Central Avenue Green Street</v>
      </c>
      <c r="C142" s="475" t="str">
        <f>'Project-Level Data'!C19</f>
        <v>Watershed and Ecosystem Management</v>
      </c>
      <c r="D142" s="477"/>
      <c r="E142" s="381" t="str">
        <f>'Project-Level Data'!Y19</f>
        <v>MISSING</v>
      </c>
    </row>
    <row r="143" spans="1:5" hidden="1" x14ac:dyDescent="0.25">
      <c r="B143" s="227" t="str">
        <f>'Project-Level Data'!B30</f>
        <v>Federal Blvd Channel</v>
      </c>
      <c r="C143" s="475" t="str">
        <f>'Project-Level Data'!C30</f>
        <v>Watershed and Ecosystem Management</v>
      </c>
      <c r="D143" s="477"/>
      <c r="E143" s="381">
        <f>'Project-Level Data'!Y30</f>
        <v>3</v>
      </c>
    </row>
    <row r="144" spans="1:5" hidden="1" x14ac:dyDescent="0.25">
      <c r="B144" s="227" t="str">
        <f>'Project-Level Data'!B31</f>
        <v>Hodges Water Quality Improvement Program</v>
      </c>
      <c r="C144" s="475" t="str">
        <f>'Project-Level Data'!C31</f>
        <v>Watershed and Ecosystem Management</v>
      </c>
      <c r="D144" s="477"/>
      <c r="E144" s="381">
        <f>'Project-Level Data'!Y31</f>
        <v>5</v>
      </c>
    </row>
    <row r="145" spans="2:5" hidden="1" x14ac:dyDescent="0.25">
      <c r="B145" s="227" t="str">
        <f>'Project-Level Data'!B49</f>
        <v>Massachusetts Blvd Green Street</v>
      </c>
      <c r="C145" s="475" t="str">
        <f>'Project-Level Data'!C49</f>
        <v>Watershed and Ecosystem Management</v>
      </c>
      <c r="D145" s="477"/>
      <c r="E145" s="381" t="str">
        <f>'Project-Level Data'!Y49</f>
        <v>MISSING</v>
      </c>
    </row>
    <row r="146" spans="2:5" hidden="1" x14ac:dyDescent="0.25">
      <c r="B146" s="227" t="str">
        <f>'Project-Level Data'!B56</f>
        <v>Mt. Vernon St Green Street</v>
      </c>
      <c r="C146" s="475" t="str">
        <f>'Project-Level Data'!C56</f>
        <v>Watershed and Ecosystem Management</v>
      </c>
      <c r="D146" s="477"/>
      <c r="E146" s="381" t="str">
        <f>'Project-Level Data'!Y56</f>
        <v>MISSING</v>
      </c>
    </row>
    <row r="147" spans="2:5" hidden="1" x14ac:dyDescent="0.25">
      <c r="B147" s="227" t="str">
        <f>'Project-Level Data'!B58</f>
        <v>Nestor Creek Channel Restoration</v>
      </c>
      <c r="C147" s="475" t="str">
        <f>'Project-Level Data'!C58</f>
        <v>Watershed and Ecosystem Management</v>
      </c>
      <c r="D147" s="477"/>
      <c r="E147" s="381" t="str">
        <f>'Project-Level Data'!Y58</f>
        <v>No Response</v>
      </c>
    </row>
    <row r="148" spans="2:5" hidden="1" x14ac:dyDescent="0.25">
      <c r="B148" s="227" t="str">
        <f>'Project-Level Data'!B60</f>
        <v>North Ave and Grove Green Street</v>
      </c>
      <c r="C148" s="475" t="str">
        <f>'Project-Level Data'!C60</f>
        <v>Watershed and Ecosystem Management</v>
      </c>
      <c r="D148" s="477"/>
      <c r="E148" s="381" t="str">
        <f>'Project-Level Data'!Y60</f>
        <v>MISSING</v>
      </c>
    </row>
    <row r="149" spans="2:5" hidden="1" x14ac:dyDescent="0.25">
      <c r="B149" s="227" t="str">
        <f>'Project-Level Data'!B69</f>
        <v>Palm St Green Street</v>
      </c>
      <c r="C149" s="475" t="str">
        <f>'Project-Level Data'!C69</f>
        <v>Watershed and Ecosystem Management</v>
      </c>
      <c r="D149" s="477"/>
      <c r="E149" s="381" t="str">
        <f>'Project-Level Data'!Y69</f>
        <v>MISSING</v>
      </c>
    </row>
    <row r="150" spans="2:5" hidden="1" x14ac:dyDescent="0.25">
      <c r="B150" s="227" t="str">
        <f>'Project-Level Data'!B70</f>
        <v>Paradise Creek Restoration Phase II</v>
      </c>
      <c r="C150" s="475" t="str">
        <f>'Project-Level Data'!C70</f>
        <v>Watershed and Ecosystem Management</v>
      </c>
      <c r="D150" s="477"/>
      <c r="E150" s="381">
        <f>'Project-Level Data'!Y70</f>
        <v>5</v>
      </c>
    </row>
    <row r="151" spans="2:5" hidden="1" x14ac:dyDescent="0.25">
      <c r="B151" s="227" t="str">
        <f>'Project-Level Data'!B91</f>
        <v>San Diego Healthy Headwaters Restoration</v>
      </c>
      <c r="C151" s="475" t="str">
        <f>'Project-Level Data'!C91</f>
        <v>Watershed and Ecosystem Management</v>
      </c>
      <c r="D151" s="477"/>
      <c r="E151" s="381">
        <f>'Project-Level Data'!Y91</f>
        <v>4</v>
      </c>
    </row>
    <row r="152" spans="2:5" ht="25.5" hidden="1" x14ac:dyDescent="0.25">
      <c r="B152" s="227" t="str">
        <f>'Project-Level Data'!B113</f>
        <v>Sustaining Healthy Tributaries to the Upper San Diego River and Protecting Local Water Supplies</v>
      </c>
      <c r="C152" s="475" t="str">
        <f>'Project-Level Data'!C113</f>
        <v>Watershed and Ecosystem Management</v>
      </c>
      <c r="D152" s="477"/>
      <c r="E152" s="381" t="str">
        <f>'Project-Level Data'!Y113</f>
        <v>No Response</v>
      </c>
    </row>
    <row r="153" spans="2:5" hidden="1" x14ac:dyDescent="0.25">
      <c r="B153" s="227" t="str">
        <f>'Project-Level Data'!B115</f>
        <v>Sweetwater Reservoir Wetlands Habitat Recovery</v>
      </c>
      <c r="C153" s="475" t="str">
        <f>'Project-Level Data'!C115</f>
        <v>Watershed and Ecosystem Management</v>
      </c>
      <c r="D153" s="477"/>
      <c r="E153" s="381">
        <f>'Project-Level Data'!Y115</f>
        <v>3</v>
      </c>
    </row>
    <row r="154" spans="2:5" hidden="1" x14ac:dyDescent="0.25">
      <c r="B154" s="227" t="str">
        <f>'Project-Level Data'!B117</f>
        <v>Sycamore Creek Restoration</v>
      </c>
      <c r="C154" s="475" t="str">
        <f>'Project-Level Data'!C117</f>
        <v>Watershed and Ecosystem Management</v>
      </c>
      <c r="D154" s="477"/>
      <c r="E154" s="381">
        <f>'Project-Level Data'!Y117</f>
        <v>3</v>
      </c>
    </row>
    <row r="155" spans="2:5" ht="15.75" hidden="1" thickBot="1" x14ac:dyDescent="0.3">
      <c r="B155" s="227" t="str">
        <f>'Project-Level Data'!B120</f>
        <v>Tijuana River Floating Trash Capture System</v>
      </c>
      <c r="C155" s="509" t="str">
        <f>'Project-Level Data'!C120</f>
        <v>Watershed and Ecosystem Management</v>
      </c>
      <c r="D155" s="510"/>
      <c r="E155" s="381" t="str">
        <f>'Project-Level Data'!Y120</f>
        <v>No Response</v>
      </c>
    </row>
    <row r="156" spans="2:5" hidden="1" x14ac:dyDescent="0.25">
      <c r="B156" s="370"/>
      <c r="C156" s="515" t="s">
        <v>855</v>
      </c>
      <c r="D156" s="515"/>
      <c r="E156" s="398">
        <f>COUNTIFS(E36:E155, "=MISSING")</f>
        <v>15</v>
      </c>
    </row>
    <row r="157" spans="2:5" hidden="1" x14ac:dyDescent="0.25">
      <c r="B157" s="227"/>
      <c r="C157" s="516" t="s">
        <v>856</v>
      </c>
      <c r="D157" s="516"/>
      <c r="E157" s="381">
        <f>COUNTIFS(E36:E155, "=No Response")</f>
        <v>33</v>
      </c>
    </row>
    <row r="158" spans="2:5" hidden="1" x14ac:dyDescent="0.25">
      <c r="B158" s="227"/>
      <c r="C158" s="516" t="s">
        <v>858</v>
      </c>
      <c r="D158" s="516"/>
      <c r="E158" s="381">
        <f>COUNTIFS(E36:E155, "=REMOVED")</f>
        <v>2</v>
      </c>
    </row>
    <row r="159" spans="2:5" ht="15.75" hidden="1" thickBot="1" x14ac:dyDescent="0.3">
      <c r="B159" s="328"/>
      <c r="C159" s="517" t="s">
        <v>859</v>
      </c>
      <c r="D159" s="517"/>
      <c r="E159" s="385">
        <f>COUNTIFS(E36:E155, "&gt;0")</f>
        <v>70</v>
      </c>
    </row>
    <row r="160" spans="2:5" hidden="1" x14ac:dyDescent="0.25">
      <c r="B160" s="11"/>
      <c r="C160" s="84"/>
      <c r="D160" s="84"/>
    </row>
    <row r="161" spans="2:5" ht="15.75" hidden="1" thickBot="1" x14ac:dyDescent="0.3">
      <c r="B161" s="1" t="s">
        <v>729</v>
      </c>
    </row>
    <row r="162" spans="2:5" ht="45.75" hidden="1" thickBot="1" x14ac:dyDescent="0.3">
      <c r="B162" s="363" t="s">
        <v>374</v>
      </c>
      <c r="C162" s="798" t="s">
        <v>6</v>
      </c>
      <c r="D162" s="799"/>
      <c r="E162" s="347" t="s">
        <v>754</v>
      </c>
    </row>
    <row r="163" spans="2:5" hidden="1" x14ac:dyDescent="0.25">
      <c r="B163" s="370" t="str">
        <f>'Concept-Level Data'!A7</f>
        <v>Respondent 1</v>
      </c>
      <c r="C163" s="805" t="str">
        <f>'Concept-Level Data'!B7</f>
        <v>Conveyance Improvement</v>
      </c>
      <c r="D163" s="806"/>
      <c r="E163" s="377">
        <f>'Concept-Level Data'!L7</f>
        <v>3</v>
      </c>
    </row>
    <row r="164" spans="2:5" hidden="1" x14ac:dyDescent="0.25">
      <c r="B164" s="227" t="str">
        <f>'Concept-Level Data'!A8</f>
        <v>Respondent 1</v>
      </c>
      <c r="C164" s="793" t="str">
        <f>'Concept-Level Data'!B8</f>
        <v>Drought Restriction/Allocation</v>
      </c>
      <c r="D164" s="794"/>
      <c r="E164" s="381">
        <f>'Concept-Level Data'!L8</f>
        <v>4</v>
      </c>
    </row>
    <row r="165" spans="2:5" hidden="1" x14ac:dyDescent="0.25">
      <c r="B165" s="227" t="str">
        <f>'Concept-Level Data'!A9</f>
        <v>Respondent 1</v>
      </c>
      <c r="C165" s="793" t="str">
        <f>'Concept-Level Data'!B9</f>
        <v>Firm Water Supply Agreements</v>
      </c>
      <c r="D165" s="794"/>
      <c r="E165" s="381">
        <f>'Concept-Level Data'!L9</f>
        <v>4</v>
      </c>
    </row>
    <row r="166" spans="2:5" hidden="1" x14ac:dyDescent="0.25">
      <c r="B166" s="227" t="str">
        <f>'Concept-Level Data'!A10</f>
        <v>Respondent 1</v>
      </c>
      <c r="C166" s="793" t="str">
        <f>'Concept-Level Data'!B10</f>
        <v>Gray Water Use</v>
      </c>
      <c r="D166" s="794"/>
      <c r="E166" s="381">
        <f>'Concept-Level Data'!L10</f>
        <v>5</v>
      </c>
    </row>
    <row r="167" spans="2:5" hidden="1" x14ac:dyDescent="0.25">
      <c r="B167" s="227" t="str">
        <f>'Concept-Level Data'!A11</f>
        <v>Respondent 1</v>
      </c>
      <c r="C167" s="793" t="str">
        <f>'Concept-Level Data'!B11</f>
        <v>Groundwater</v>
      </c>
      <c r="D167" s="794"/>
      <c r="E167" s="381">
        <f>'Concept-Level Data'!L11</f>
        <v>5</v>
      </c>
    </row>
    <row r="168" spans="2:5" hidden="1" x14ac:dyDescent="0.25">
      <c r="B168" s="227" t="str">
        <f>'Concept-Level Data'!A12</f>
        <v>Respondent 1</v>
      </c>
      <c r="C168" s="793" t="str">
        <f>'Concept-Level Data'!B12</f>
        <v>Imported Water Purchases</v>
      </c>
      <c r="D168" s="794"/>
      <c r="E168" s="381">
        <f>'Concept-Level Data'!L12</f>
        <v>3</v>
      </c>
    </row>
    <row r="169" spans="2:5" hidden="1" x14ac:dyDescent="0.25">
      <c r="B169" s="227" t="str">
        <f>'Concept-Level Data'!A13</f>
        <v>Respondent 1</v>
      </c>
      <c r="C169" s="793" t="str">
        <f>'Concept-Level Data'!B13</f>
        <v>Local Surface Water Reservoirs</v>
      </c>
      <c r="D169" s="794"/>
      <c r="E169" s="381">
        <f>'Concept-Level Data'!L13</f>
        <v>5</v>
      </c>
    </row>
    <row r="170" spans="2:5" hidden="1" x14ac:dyDescent="0.25">
      <c r="B170" s="227" t="str">
        <f>'Concept-Level Data'!A14</f>
        <v>Respondent 1</v>
      </c>
      <c r="C170" s="793" t="str">
        <f>'Concept-Level Data'!B14</f>
        <v>Potable Reuse</v>
      </c>
      <c r="D170" s="794"/>
      <c r="E170" s="381">
        <f>'Concept-Level Data'!L14</f>
        <v>5</v>
      </c>
    </row>
    <row r="171" spans="2:5" hidden="1" x14ac:dyDescent="0.25">
      <c r="B171" s="227" t="str">
        <f>'Concept-Level Data'!A15</f>
        <v>Respondent 1</v>
      </c>
      <c r="C171" s="793" t="str">
        <f>'Concept-Level Data'!B15</f>
        <v>Recycled Water</v>
      </c>
      <c r="D171" s="794"/>
      <c r="E171" s="381">
        <f>'Concept-Level Data'!L15</f>
        <v>5</v>
      </c>
    </row>
    <row r="172" spans="2:5" hidden="1" x14ac:dyDescent="0.25">
      <c r="B172" s="227" t="str">
        <f>'Concept-Level Data'!A16</f>
        <v>Respondent 1</v>
      </c>
      <c r="C172" s="793" t="str">
        <f>'Concept-Level Data'!B16</f>
        <v>Seawater Desalination</v>
      </c>
      <c r="D172" s="794"/>
      <c r="E172" s="381">
        <f>'Concept-Level Data'!L16</f>
        <v>5</v>
      </c>
    </row>
    <row r="173" spans="2:5" hidden="1" x14ac:dyDescent="0.25">
      <c r="B173" s="227" t="str">
        <f>'Concept-Level Data'!A17</f>
        <v>Respondent 1</v>
      </c>
      <c r="C173" s="793" t="str">
        <f>'Concept-Level Data'!B17</f>
        <v>Stormwater BMPs</v>
      </c>
      <c r="D173" s="794"/>
      <c r="E173" s="381">
        <f>'Concept-Level Data'!L17</f>
        <v>3</v>
      </c>
    </row>
    <row r="174" spans="2:5" hidden="1" x14ac:dyDescent="0.25">
      <c r="B174" s="227" t="str">
        <f>'Concept-Level Data'!A18</f>
        <v>Respondent 1</v>
      </c>
      <c r="C174" s="793" t="str">
        <f>'Concept-Level Data'!B18</f>
        <v>Stormwater Capture</v>
      </c>
      <c r="D174" s="794"/>
      <c r="E174" s="381">
        <f>'Concept-Level Data'!L18</f>
        <v>5</v>
      </c>
    </row>
    <row r="175" spans="2:5" hidden="1" x14ac:dyDescent="0.25">
      <c r="B175" s="227" t="str">
        <f>'Concept-Level Data'!A19</f>
        <v>Respondent 1</v>
      </c>
      <c r="C175" s="793" t="str">
        <f>'Concept-Level Data'!B19</f>
        <v>Urban and Agricultural Water Use Efficiency</v>
      </c>
      <c r="D175" s="794"/>
      <c r="E175" s="381">
        <f>'Concept-Level Data'!L19</f>
        <v>5</v>
      </c>
    </row>
    <row r="176" spans="2:5" hidden="1" x14ac:dyDescent="0.25">
      <c r="B176" s="227" t="str">
        <f>'Concept-Level Data'!A20</f>
        <v>Respondent 1</v>
      </c>
      <c r="C176" s="793" t="str">
        <f>'Concept-Level Data'!B20</f>
        <v>Watershed and Ecosystem Management</v>
      </c>
      <c r="D176" s="794"/>
      <c r="E176" s="381">
        <f>'Concept-Level Data'!L20</f>
        <v>4</v>
      </c>
    </row>
    <row r="177" spans="2:5" hidden="1" x14ac:dyDescent="0.25">
      <c r="B177" s="227" t="str">
        <f>'Concept-Level Data'!A21</f>
        <v>Respondent 2</v>
      </c>
      <c r="C177" s="793" t="str">
        <f>'Concept-Level Data'!B21</f>
        <v>Conveyance Improvement</v>
      </c>
      <c r="D177" s="794"/>
      <c r="E177" s="381">
        <f>'Concept-Level Data'!L21</f>
        <v>5</v>
      </c>
    </row>
    <row r="178" spans="2:5" hidden="1" x14ac:dyDescent="0.25">
      <c r="B178" s="227" t="str">
        <f>'Concept-Level Data'!A22</f>
        <v>Respondent 2</v>
      </c>
      <c r="C178" s="793" t="str">
        <f>'Concept-Level Data'!B22</f>
        <v>Drought Restriction/Allocation</v>
      </c>
      <c r="D178" s="794"/>
      <c r="E178" s="381">
        <f>'Concept-Level Data'!L22</f>
        <v>4</v>
      </c>
    </row>
    <row r="179" spans="2:5" hidden="1" x14ac:dyDescent="0.25">
      <c r="B179" s="227" t="str">
        <f>'Concept-Level Data'!A23</f>
        <v>Respondent 2</v>
      </c>
      <c r="C179" s="793" t="str">
        <f>'Concept-Level Data'!B23</f>
        <v>Firm Water Supply Agreements</v>
      </c>
      <c r="D179" s="794"/>
      <c r="E179" s="381">
        <f>'Concept-Level Data'!L23</f>
        <v>4</v>
      </c>
    </row>
    <row r="180" spans="2:5" hidden="1" x14ac:dyDescent="0.25">
      <c r="B180" s="227" t="str">
        <f>'Concept-Level Data'!A24</f>
        <v>Respondent 2</v>
      </c>
      <c r="C180" s="793" t="str">
        <f>'Concept-Level Data'!B24</f>
        <v>Gray Water Use</v>
      </c>
      <c r="D180" s="794"/>
      <c r="E180" s="381">
        <f>'Concept-Level Data'!L24</f>
        <v>4</v>
      </c>
    </row>
    <row r="181" spans="2:5" hidden="1" x14ac:dyDescent="0.25">
      <c r="B181" s="227" t="str">
        <f>'Concept-Level Data'!A25</f>
        <v>Respondent 2</v>
      </c>
      <c r="C181" s="793" t="str">
        <f>'Concept-Level Data'!B25</f>
        <v>Groundwater</v>
      </c>
      <c r="D181" s="794"/>
      <c r="E181" s="381">
        <f>'Concept-Level Data'!L25</f>
        <v>5</v>
      </c>
    </row>
    <row r="182" spans="2:5" hidden="1" x14ac:dyDescent="0.25">
      <c r="B182" s="227" t="str">
        <f>'Concept-Level Data'!A26</f>
        <v>Respondent 2</v>
      </c>
      <c r="C182" s="793" t="str">
        <f>'Concept-Level Data'!B26</f>
        <v>Imported Water Purchases</v>
      </c>
      <c r="D182" s="794"/>
      <c r="E182" s="381">
        <f>'Concept-Level Data'!L26</f>
        <v>3</v>
      </c>
    </row>
    <row r="183" spans="2:5" hidden="1" x14ac:dyDescent="0.25">
      <c r="B183" s="227" t="str">
        <f>'Concept-Level Data'!A27</f>
        <v>Respondent 2</v>
      </c>
      <c r="C183" s="793" t="str">
        <f>'Concept-Level Data'!B27</f>
        <v>Local Surface Water Reservoirs</v>
      </c>
      <c r="D183" s="794"/>
      <c r="E183" s="381">
        <f>'Concept-Level Data'!L27</f>
        <v>5</v>
      </c>
    </row>
    <row r="184" spans="2:5" hidden="1" x14ac:dyDescent="0.25">
      <c r="B184" s="227" t="str">
        <f>'Concept-Level Data'!A28</f>
        <v>Respondent 2</v>
      </c>
      <c r="C184" s="793" t="str">
        <f>'Concept-Level Data'!B28</f>
        <v>Potable Reuse</v>
      </c>
      <c r="D184" s="794"/>
      <c r="E184" s="381">
        <f>'Concept-Level Data'!L28</f>
        <v>5</v>
      </c>
    </row>
    <row r="185" spans="2:5" hidden="1" x14ac:dyDescent="0.25">
      <c r="B185" s="227" t="str">
        <f>'Concept-Level Data'!A29</f>
        <v>Respondent 2</v>
      </c>
      <c r="C185" s="793" t="str">
        <f>'Concept-Level Data'!B29</f>
        <v>Recycled Water</v>
      </c>
      <c r="D185" s="794"/>
      <c r="E185" s="381">
        <f>'Concept-Level Data'!L29</f>
        <v>5</v>
      </c>
    </row>
    <row r="186" spans="2:5" hidden="1" x14ac:dyDescent="0.25">
      <c r="B186" s="227" t="str">
        <f>'Concept-Level Data'!A30</f>
        <v>Respondent 2</v>
      </c>
      <c r="C186" s="793" t="str">
        <f>'Concept-Level Data'!B30</f>
        <v>Seawater Desalination</v>
      </c>
      <c r="D186" s="794"/>
      <c r="E186" s="381">
        <f>'Concept-Level Data'!L30</f>
        <v>5</v>
      </c>
    </row>
    <row r="187" spans="2:5" hidden="1" x14ac:dyDescent="0.25">
      <c r="B187" s="227" t="str">
        <f>'Concept-Level Data'!A31</f>
        <v>Respondent 2</v>
      </c>
      <c r="C187" s="793" t="str">
        <f>'Concept-Level Data'!B31</f>
        <v>Stormwater BMPs</v>
      </c>
      <c r="D187" s="794"/>
      <c r="E187" s="381">
        <f>'Concept-Level Data'!L31</f>
        <v>4</v>
      </c>
    </row>
    <row r="188" spans="2:5" hidden="1" x14ac:dyDescent="0.25">
      <c r="B188" s="227" t="str">
        <f>'Concept-Level Data'!A32</f>
        <v>Respondent 2</v>
      </c>
      <c r="C188" s="793" t="str">
        <f>'Concept-Level Data'!B32</f>
        <v>Stormwater Capture</v>
      </c>
      <c r="D188" s="794"/>
      <c r="E188" s="381">
        <f>'Concept-Level Data'!L32</f>
        <v>5</v>
      </c>
    </row>
    <row r="189" spans="2:5" hidden="1" x14ac:dyDescent="0.25">
      <c r="B189" s="227" t="str">
        <f>'Concept-Level Data'!A33</f>
        <v>Respondent 2</v>
      </c>
      <c r="C189" s="793" t="str">
        <f>'Concept-Level Data'!B33</f>
        <v>Urban and Agricultural Water Use Efficiency</v>
      </c>
      <c r="D189" s="794"/>
      <c r="E189" s="381">
        <f>'Concept-Level Data'!L33</f>
        <v>4</v>
      </c>
    </row>
    <row r="190" spans="2:5" hidden="1" x14ac:dyDescent="0.25">
      <c r="B190" s="227" t="str">
        <f>'Concept-Level Data'!A34</f>
        <v>Respondent 2</v>
      </c>
      <c r="C190" s="793" t="str">
        <f>'Concept-Level Data'!B34</f>
        <v>Watershed and Ecosystem Management</v>
      </c>
      <c r="D190" s="794"/>
      <c r="E190" s="381">
        <f>'Concept-Level Data'!L34</f>
        <v>4</v>
      </c>
    </row>
    <row r="191" spans="2:5" hidden="1" x14ac:dyDescent="0.25">
      <c r="B191" s="227" t="str">
        <f>'Concept-Level Data'!A35</f>
        <v>Respondent 3</v>
      </c>
      <c r="C191" s="793" t="str">
        <f>'Concept-Level Data'!B35</f>
        <v>Conveyance Improvement</v>
      </c>
      <c r="D191" s="794"/>
      <c r="E191" s="381">
        <f>'Concept-Level Data'!L35</f>
        <v>4</v>
      </c>
    </row>
    <row r="192" spans="2:5" hidden="1" x14ac:dyDescent="0.25">
      <c r="B192" s="227" t="str">
        <f>'Concept-Level Data'!A36</f>
        <v>Respondent 3</v>
      </c>
      <c r="C192" s="793" t="str">
        <f>'Concept-Level Data'!B36</f>
        <v>Drought Restriction/Allocation</v>
      </c>
      <c r="D192" s="794"/>
      <c r="E192" s="381">
        <f>'Concept-Level Data'!L36</f>
        <v>3</v>
      </c>
    </row>
    <row r="193" spans="2:5" hidden="1" x14ac:dyDescent="0.25">
      <c r="B193" s="227" t="str">
        <f>'Concept-Level Data'!A37</f>
        <v>Respondent 3</v>
      </c>
      <c r="C193" s="793" t="str">
        <f>'Concept-Level Data'!B37</f>
        <v>Firm Water Supply Agreements</v>
      </c>
      <c r="D193" s="794"/>
      <c r="E193" s="381">
        <f>'Concept-Level Data'!L37</f>
        <v>5</v>
      </c>
    </row>
    <row r="194" spans="2:5" hidden="1" x14ac:dyDescent="0.25">
      <c r="B194" s="227" t="str">
        <f>'Concept-Level Data'!A38</f>
        <v>Respondent 3</v>
      </c>
      <c r="C194" s="793" t="str">
        <f>'Concept-Level Data'!B38</f>
        <v>Gray Water Use</v>
      </c>
      <c r="D194" s="794"/>
      <c r="E194" s="381">
        <f>'Concept-Level Data'!L38</f>
        <v>3</v>
      </c>
    </row>
    <row r="195" spans="2:5" hidden="1" x14ac:dyDescent="0.25">
      <c r="B195" s="227" t="str">
        <f>'Concept-Level Data'!A39</f>
        <v>Respondent 3</v>
      </c>
      <c r="C195" s="793" t="str">
        <f>'Concept-Level Data'!B39</f>
        <v>Groundwater</v>
      </c>
      <c r="D195" s="794"/>
      <c r="E195" s="381">
        <f>'Concept-Level Data'!L39</f>
        <v>5</v>
      </c>
    </row>
    <row r="196" spans="2:5" hidden="1" x14ac:dyDescent="0.25">
      <c r="B196" s="227" t="str">
        <f>'Concept-Level Data'!A40</f>
        <v>Respondent 3</v>
      </c>
      <c r="C196" s="793" t="str">
        <f>'Concept-Level Data'!B40</f>
        <v>Imported Water Purchases</v>
      </c>
      <c r="D196" s="794"/>
      <c r="E196" s="381">
        <f>'Concept-Level Data'!L40</f>
        <v>5</v>
      </c>
    </row>
    <row r="197" spans="2:5" hidden="1" x14ac:dyDescent="0.25">
      <c r="B197" s="227" t="str">
        <f>'Concept-Level Data'!A41</f>
        <v>Respondent 3</v>
      </c>
      <c r="C197" s="793" t="str">
        <f>'Concept-Level Data'!B41</f>
        <v>Local Surface Water Reservoirs</v>
      </c>
      <c r="D197" s="794"/>
      <c r="E197" s="381">
        <f>'Concept-Level Data'!L41</f>
        <v>5</v>
      </c>
    </row>
    <row r="198" spans="2:5" hidden="1" x14ac:dyDescent="0.25">
      <c r="B198" s="227" t="str">
        <f>'Concept-Level Data'!A42</f>
        <v>Respondent 3</v>
      </c>
      <c r="C198" s="793" t="str">
        <f>'Concept-Level Data'!B42</f>
        <v>Potable Reuse</v>
      </c>
      <c r="D198" s="794"/>
      <c r="E198" s="381">
        <f>'Concept-Level Data'!L42</f>
        <v>5</v>
      </c>
    </row>
    <row r="199" spans="2:5" hidden="1" x14ac:dyDescent="0.25">
      <c r="B199" s="227" t="str">
        <f>'Concept-Level Data'!A43</f>
        <v>Respondent 3</v>
      </c>
      <c r="C199" s="793" t="str">
        <f>'Concept-Level Data'!B43</f>
        <v>Recycled Water</v>
      </c>
      <c r="D199" s="794"/>
      <c r="E199" s="381">
        <f>'Concept-Level Data'!L43</f>
        <v>5</v>
      </c>
    </row>
    <row r="200" spans="2:5" hidden="1" x14ac:dyDescent="0.25">
      <c r="B200" s="227" t="str">
        <f>'Concept-Level Data'!A44</f>
        <v>Respondent 3</v>
      </c>
      <c r="C200" s="793" t="str">
        <f>'Concept-Level Data'!B44</f>
        <v>Seawater Desalination</v>
      </c>
      <c r="D200" s="794"/>
      <c r="E200" s="381">
        <f>'Concept-Level Data'!L44</f>
        <v>5</v>
      </c>
    </row>
    <row r="201" spans="2:5" hidden="1" x14ac:dyDescent="0.25">
      <c r="B201" s="227" t="str">
        <f>'Concept-Level Data'!A45</f>
        <v>Respondent 3</v>
      </c>
      <c r="C201" s="793" t="str">
        <f>'Concept-Level Data'!B45</f>
        <v>Stormwater BMPs</v>
      </c>
      <c r="D201" s="794"/>
      <c r="E201" s="381">
        <f>'Concept-Level Data'!L45</f>
        <v>3</v>
      </c>
    </row>
    <row r="202" spans="2:5" hidden="1" x14ac:dyDescent="0.25">
      <c r="B202" s="227" t="str">
        <f>'Concept-Level Data'!A46</f>
        <v>Respondent 3</v>
      </c>
      <c r="C202" s="793" t="str">
        <f>'Concept-Level Data'!B46</f>
        <v>Stormwater Capture</v>
      </c>
      <c r="D202" s="794"/>
      <c r="E202" s="381">
        <f>'Concept-Level Data'!L46</f>
        <v>5</v>
      </c>
    </row>
    <row r="203" spans="2:5" hidden="1" x14ac:dyDescent="0.25">
      <c r="B203" s="227" t="str">
        <f>'Concept-Level Data'!A47</f>
        <v>Respondent 3</v>
      </c>
      <c r="C203" s="793" t="str">
        <f>'Concept-Level Data'!B47</f>
        <v>Urban and Agricultural Water Use Efficiency</v>
      </c>
      <c r="D203" s="794"/>
      <c r="E203" s="381">
        <f>'Concept-Level Data'!L47</f>
        <v>4</v>
      </c>
    </row>
    <row r="204" spans="2:5" hidden="1" x14ac:dyDescent="0.25">
      <c r="B204" s="227" t="str">
        <f>'Concept-Level Data'!A48</f>
        <v>Respondent 3</v>
      </c>
      <c r="C204" s="793" t="str">
        <f>'Concept-Level Data'!B48</f>
        <v>Watershed and Ecosystem Management</v>
      </c>
      <c r="D204" s="794"/>
      <c r="E204" s="381">
        <f>'Concept-Level Data'!L48</f>
        <v>3</v>
      </c>
    </row>
    <row r="205" spans="2:5" hidden="1" x14ac:dyDescent="0.25">
      <c r="B205" s="227" t="str">
        <f>'Concept-Level Data'!A49</f>
        <v>Respondent 4</v>
      </c>
      <c r="C205" s="793" t="str">
        <f>'Concept-Level Data'!B49</f>
        <v>Conveyance Improvement</v>
      </c>
      <c r="D205" s="794"/>
      <c r="E205" s="381">
        <f>'Concept-Level Data'!L49</f>
        <v>5</v>
      </c>
    </row>
    <row r="206" spans="2:5" hidden="1" x14ac:dyDescent="0.25">
      <c r="B206" s="227" t="str">
        <f>'Concept-Level Data'!A50</f>
        <v>Respondent 4</v>
      </c>
      <c r="C206" s="793" t="str">
        <f>'Concept-Level Data'!B50</f>
        <v>Drought Restriction/Allocation</v>
      </c>
      <c r="D206" s="794"/>
      <c r="E206" s="381">
        <f>'Concept-Level Data'!L50</f>
        <v>4</v>
      </c>
    </row>
    <row r="207" spans="2:5" hidden="1" x14ac:dyDescent="0.25">
      <c r="B207" s="227" t="str">
        <f>'Concept-Level Data'!A51</f>
        <v>Respondent 4</v>
      </c>
      <c r="C207" s="793" t="str">
        <f>'Concept-Level Data'!B51</f>
        <v>Firm Water Supply Agreements</v>
      </c>
      <c r="D207" s="794"/>
      <c r="E207" s="381">
        <f>'Concept-Level Data'!L51</f>
        <v>5</v>
      </c>
    </row>
    <row r="208" spans="2:5" hidden="1" x14ac:dyDescent="0.25">
      <c r="B208" s="227" t="str">
        <f>'Concept-Level Data'!A52</f>
        <v>Respondent 4</v>
      </c>
      <c r="C208" s="793" t="str">
        <f>'Concept-Level Data'!B52</f>
        <v>Gray Water Use</v>
      </c>
      <c r="D208" s="794"/>
      <c r="E208" s="381">
        <f>'Concept-Level Data'!L52</f>
        <v>5</v>
      </c>
    </row>
    <row r="209" spans="2:5" hidden="1" x14ac:dyDescent="0.25">
      <c r="B209" s="227" t="str">
        <f>'Concept-Level Data'!A53</f>
        <v>Respondent 4</v>
      </c>
      <c r="C209" s="793" t="str">
        <f>'Concept-Level Data'!B53</f>
        <v>Groundwater</v>
      </c>
      <c r="D209" s="794"/>
      <c r="E209" s="381">
        <f>'Concept-Level Data'!L53</f>
        <v>5</v>
      </c>
    </row>
    <row r="210" spans="2:5" hidden="1" x14ac:dyDescent="0.25">
      <c r="B210" s="227" t="str">
        <f>'Concept-Level Data'!A54</f>
        <v>Respondent 4</v>
      </c>
      <c r="C210" s="793" t="str">
        <f>'Concept-Level Data'!B54</f>
        <v>Imported Water Purchases</v>
      </c>
      <c r="D210" s="794"/>
      <c r="E210" s="381">
        <f>'Concept-Level Data'!L54</f>
        <v>5</v>
      </c>
    </row>
    <row r="211" spans="2:5" hidden="1" x14ac:dyDescent="0.25">
      <c r="B211" s="227" t="str">
        <f>'Concept-Level Data'!A55</f>
        <v>Respondent 4</v>
      </c>
      <c r="C211" s="793" t="str">
        <f>'Concept-Level Data'!B55</f>
        <v>Local Surface Water Reservoirs</v>
      </c>
      <c r="D211" s="794"/>
      <c r="E211" s="381">
        <f>'Concept-Level Data'!L55</f>
        <v>5</v>
      </c>
    </row>
    <row r="212" spans="2:5" hidden="1" x14ac:dyDescent="0.25">
      <c r="B212" s="227" t="str">
        <f>'Concept-Level Data'!A56</f>
        <v>Respondent 4</v>
      </c>
      <c r="C212" s="793" t="str">
        <f>'Concept-Level Data'!B56</f>
        <v>Potable Reuse</v>
      </c>
      <c r="D212" s="794"/>
      <c r="E212" s="381">
        <f>'Concept-Level Data'!L56</f>
        <v>5</v>
      </c>
    </row>
    <row r="213" spans="2:5" hidden="1" x14ac:dyDescent="0.25">
      <c r="B213" s="227" t="str">
        <f>'Concept-Level Data'!A57</f>
        <v>Respondent 4</v>
      </c>
      <c r="C213" s="793" t="str">
        <f>'Concept-Level Data'!B57</f>
        <v>Recycled Water</v>
      </c>
      <c r="D213" s="794"/>
      <c r="E213" s="381">
        <f>'Concept-Level Data'!L57</f>
        <v>4</v>
      </c>
    </row>
    <row r="214" spans="2:5" hidden="1" x14ac:dyDescent="0.25">
      <c r="B214" s="227" t="str">
        <f>'Concept-Level Data'!A58</f>
        <v>Respondent 4</v>
      </c>
      <c r="C214" s="793" t="str">
        <f>'Concept-Level Data'!B58</f>
        <v>Seawater Desalination</v>
      </c>
      <c r="D214" s="794"/>
      <c r="E214" s="381">
        <f>'Concept-Level Data'!L58</f>
        <v>5</v>
      </c>
    </row>
    <row r="215" spans="2:5" hidden="1" x14ac:dyDescent="0.25">
      <c r="B215" s="227" t="str">
        <f>'Concept-Level Data'!A59</f>
        <v>Respondent 4</v>
      </c>
      <c r="C215" s="793" t="str">
        <f>'Concept-Level Data'!B59</f>
        <v>Stormwater BMPs</v>
      </c>
      <c r="D215" s="794"/>
      <c r="E215" s="381">
        <f>'Concept-Level Data'!L59</f>
        <v>3</v>
      </c>
    </row>
    <row r="216" spans="2:5" hidden="1" x14ac:dyDescent="0.25">
      <c r="B216" s="227" t="str">
        <f>'Concept-Level Data'!A60</f>
        <v>Respondent 4</v>
      </c>
      <c r="C216" s="793" t="str">
        <f>'Concept-Level Data'!B60</f>
        <v>Stormwater Capture</v>
      </c>
      <c r="D216" s="794"/>
      <c r="E216" s="381">
        <f>'Concept-Level Data'!L60</f>
        <v>5</v>
      </c>
    </row>
    <row r="217" spans="2:5" hidden="1" x14ac:dyDescent="0.25">
      <c r="B217" s="227" t="str">
        <f>'Concept-Level Data'!A61</f>
        <v>Respondent 4</v>
      </c>
      <c r="C217" s="793" t="str">
        <f>'Concept-Level Data'!B61</f>
        <v>Urban and Agricultural Water Use Efficiency</v>
      </c>
      <c r="D217" s="794"/>
      <c r="E217" s="381">
        <f>'Concept-Level Data'!L61</f>
        <v>5</v>
      </c>
    </row>
    <row r="218" spans="2:5" hidden="1" x14ac:dyDescent="0.25">
      <c r="B218" s="227" t="str">
        <f>'Concept-Level Data'!A62</f>
        <v>Respondent 4</v>
      </c>
      <c r="C218" s="793" t="str">
        <f>'Concept-Level Data'!B62</f>
        <v>Watershed and Ecosystem Management</v>
      </c>
      <c r="D218" s="794"/>
      <c r="E218" s="381">
        <f>'Concept-Level Data'!L62</f>
        <v>4</v>
      </c>
    </row>
    <row r="219" spans="2:5" hidden="1" x14ac:dyDescent="0.25">
      <c r="B219" s="227" t="str">
        <f>'Concept-Level Data'!A63</f>
        <v>Respondent 5</v>
      </c>
      <c r="C219" s="793" t="str">
        <f>'Concept-Level Data'!B63</f>
        <v>Conveyance Improvement</v>
      </c>
      <c r="D219" s="794"/>
      <c r="E219" s="381">
        <f>'Concept-Level Data'!L63</f>
        <v>3</v>
      </c>
    </row>
    <row r="220" spans="2:5" hidden="1" x14ac:dyDescent="0.25">
      <c r="B220" s="227" t="str">
        <f>'Concept-Level Data'!A64</f>
        <v>Respondent 5</v>
      </c>
      <c r="C220" s="793" t="str">
        <f>'Concept-Level Data'!B64</f>
        <v>Drought Restriction/Allocation</v>
      </c>
      <c r="D220" s="794"/>
      <c r="E220" s="381">
        <f>'Concept-Level Data'!L64</f>
        <v>3</v>
      </c>
    </row>
    <row r="221" spans="2:5" hidden="1" x14ac:dyDescent="0.25">
      <c r="B221" s="227" t="str">
        <f>'Concept-Level Data'!A65</f>
        <v>Respondent 5</v>
      </c>
      <c r="C221" s="793" t="str">
        <f>'Concept-Level Data'!B65</f>
        <v>Firm Water Supply Agreements</v>
      </c>
      <c r="D221" s="794"/>
      <c r="E221" s="381">
        <f>'Concept-Level Data'!L65</f>
        <v>3</v>
      </c>
    </row>
    <row r="222" spans="2:5" hidden="1" x14ac:dyDescent="0.25">
      <c r="B222" s="227" t="str">
        <f>'Concept-Level Data'!A66</f>
        <v>Respondent 5</v>
      </c>
      <c r="C222" s="793" t="str">
        <f>'Concept-Level Data'!B66</f>
        <v>Gray Water Use</v>
      </c>
      <c r="D222" s="794"/>
      <c r="E222" s="381">
        <f>'Concept-Level Data'!L66</f>
        <v>4</v>
      </c>
    </row>
    <row r="223" spans="2:5" hidden="1" x14ac:dyDescent="0.25">
      <c r="B223" s="227" t="str">
        <f>'Concept-Level Data'!A67</f>
        <v>Respondent 5</v>
      </c>
      <c r="C223" s="793" t="str">
        <f>'Concept-Level Data'!B67</f>
        <v>Groundwater</v>
      </c>
      <c r="D223" s="794"/>
      <c r="E223" s="381">
        <f>'Concept-Level Data'!L67</f>
        <v>5</v>
      </c>
    </row>
    <row r="224" spans="2:5" hidden="1" x14ac:dyDescent="0.25">
      <c r="B224" s="227" t="str">
        <f>'Concept-Level Data'!A68</f>
        <v>Respondent 5</v>
      </c>
      <c r="C224" s="793" t="str">
        <f>'Concept-Level Data'!B68</f>
        <v>Imported Water Purchases</v>
      </c>
      <c r="D224" s="794"/>
      <c r="E224" s="381">
        <f>'Concept-Level Data'!L68</f>
        <v>3</v>
      </c>
    </row>
    <row r="225" spans="2:5" hidden="1" x14ac:dyDescent="0.25">
      <c r="B225" s="227" t="str">
        <f>'Concept-Level Data'!A69</f>
        <v>Respondent 5</v>
      </c>
      <c r="C225" s="793" t="str">
        <f>'Concept-Level Data'!B69</f>
        <v>Local Surface Water Reservoirs</v>
      </c>
      <c r="D225" s="794"/>
      <c r="E225" s="381">
        <f>'Concept-Level Data'!L69</f>
        <v>5</v>
      </c>
    </row>
    <row r="226" spans="2:5" hidden="1" x14ac:dyDescent="0.25">
      <c r="B226" s="227" t="str">
        <f>'Concept-Level Data'!A70</f>
        <v>Respondent 5</v>
      </c>
      <c r="C226" s="793" t="str">
        <f>'Concept-Level Data'!B70</f>
        <v>Potable Reuse</v>
      </c>
      <c r="D226" s="794"/>
      <c r="E226" s="381">
        <f>'Concept-Level Data'!L70</f>
        <v>5</v>
      </c>
    </row>
    <row r="227" spans="2:5" hidden="1" x14ac:dyDescent="0.25">
      <c r="B227" s="227" t="str">
        <f>'Concept-Level Data'!A71</f>
        <v>Respondent 5</v>
      </c>
      <c r="C227" s="793" t="str">
        <f>'Concept-Level Data'!B71</f>
        <v>Recycled Water</v>
      </c>
      <c r="D227" s="794"/>
      <c r="E227" s="381">
        <f>'Concept-Level Data'!L71</f>
        <v>5</v>
      </c>
    </row>
    <row r="228" spans="2:5" hidden="1" x14ac:dyDescent="0.25">
      <c r="B228" s="227" t="str">
        <f>'Concept-Level Data'!A72</f>
        <v>Respondent 5</v>
      </c>
      <c r="C228" s="793" t="str">
        <f>'Concept-Level Data'!B72</f>
        <v>Seawater Desalination</v>
      </c>
      <c r="D228" s="794"/>
      <c r="E228" s="381">
        <f>'Concept-Level Data'!L72</f>
        <v>5</v>
      </c>
    </row>
    <row r="229" spans="2:5" hidden="1" x14ac:dyDescent="0.25">
      <c r="B229" s="227" t="str">
        <f>'Concept-Level Data'!A73</f>
        <v>Respondent 5</v>
      </c>
      <c r="C229" s="793" t="str">
        <f>'Concept-Level Data'!B73</f>
        <v>Stormwater BMPs</v>
      </c>
      <c r="D229" s="794"/>
      <c r="E229" s="381">
        <f>'Concept-Level Data'!L73</f>
        <v>4</v>
      </c>
    </row>
    <row r="230" spans="2:5" hidden="1" x14ac:dyDescent="0.25">
      <c r="B230" s="227" t="str">
        <f>'Concept-Level Data'!A74</f>
        <v>Respondent 5</v>
      </c>
      <c r="C230" s="793" t="str">
        <f>'Concept-Level Data'!B74</f>
        <v>Stormwater Capture</v>
      </c>
      <c r="D230" s="794"/>
      <c r="E230" s="381">
        <f>'Concept-Level Data'!L74</f>
        <v>5</v>
      </c>
    </row>
    <row r="231" spans="2:5" hidden="1" x14ac:dyDescent="0.25">
      <c r="B231" s="227" t="str">
        <f>'Concept-Level Data'!A75</f>
        <v>Respondent 5</v>
      </c>
      <c r="C231" s="793" t="str">
        <f>'Concept-Level Data'!B75</f>
        <v>Urban and Agricultural Water Use Efficiency</v>
      </c>
      <c r="D231" s="794"/>
      <c r="E231" s="381">
        <f>'Concept-Level Data'!L75</f>
        <v>5</v>
      </c>
    </row>
    <row r="232" spans="2:5" hidden="1" x14ac:dyDescent="0.25">
      <c r="B232" s="227" t="str">
        <f>'Concept-Level Data'!A76</f>
        <v>Respondent 5</v>
      </c>
      <c r="C232" s="793" t="str">
        <f>'Concept-Level Data'!B76</f>
        <v>Watershed and Ecosystem Management</v>
      </c>
      <c r="D232" s="794"/>
      <c r="E232" s="381">
        <f>'Concept-Level Data'!L76</f>
        <v>5</v>
      </c>
    </row>
    <row r="233" spans="2:5" hidden="1" x14ac:dyDescent="0.25">
      <c r="B233" s="227" t="str">
        <f>'Concept-Level Data'!A77</f>
        <v>Respondent 6</v>
      </c>
      <c r="C233" s="793" t="str">
        <f>'Concept-Level Data'!B77</f>
        <v>Conveyance Improvement</v>
      </c>
      <c r="D233" s="794"/>
      <c r="E233" s="381">
        <f>'Concept-Level Data'!L77</f>
        <v>3</v>
      </c>
    </row>
    <row r="234" spans="2:5" hidden="1" x14ac:dyDescent="0.25">
      <c r="B234" s="227" t="str">
        <f>'Concept-Level Data'!A78</f>
        <v>Respondent 6</v>
      </c>
      <c r="C234" s="793" t="str">
        <f>'Concept-Level Data'!B78</f>
        <v>Drought Restriction/Allocation</v>
      </c>
      <c r="D234" s="794"/>
      <c r="E234" s="381">
        <f>'Concept-Level Data'!L78</f>
        <v>4</v>
      </c>
    </row>
    <row r="235" spans="2:5" hidden="1" x14ac:dyDescent="0.25">
      <c r="B235" s="227" t="str">
        <f>'Concept-Level Data'!A79</f>
        <v>Respondent 6</v>
      </c>
      <c r="C235" s="793" t="str">
        <f>'Concept-Level Data'!B79</f>
        <v>Firm Water Supply Agreements</v>
      </c>
      <c r="D235" s="794"/>
      <c r="E235" s="381">
        <f>'Concept-Level Data'!L79</f>
        <v>5</v>
      </c>
    </row>
    <row r="236" spans="2:5" hidden="1" x14ac:dyDescent="0.25">
      <c r="B236" s="227" t="str">
        <f>'Concept-Level Data'!A80</f>
        <v>Respondent 6</v>
      </c>
      <c r="C236" s="793" t="str">
        <f>'Concept-Level Data'!B80</f>
        <v>Gray Water Use</v>
      </c>
      <c r="D236" s="794"/>
      <c r="E236" s="381">
        <f>'Concept-Level Data'!L80</f>
        <v>5</v>
      </c>
    </row>
    <row r="237" spans="2:5" hidden="1" x14ac:dyDescent="0.25">
      <c r="B237" s="227" t="str">
        <f>'Concept-Level Data'!A81</f>
        <v>Respondent 6</v>
      </c>
      <c r="C237" s="793" t="str">
        <f>'Concept-Level Data'!B81</f>
        <v>Groundwater</v>
      </c>
      <c r="D237" s="794"/>
      <c r="E237" s="381">
        <f>'Concept-Level Data'!L81</f>
        <v>5</v>
      </c>
    </row>
    <row r="238" spans="2:5" hidden="1" x14ac:dyDescent="0.25">
      <c r="B238" s="227" t="str">
        <f>'Concept-Level Data'!A82</f>
        <v>Respondent 6</v>
      </c>
      <c r="C238" s="793" t="str">
        <f>'Concept-Level Data'!B82</f>
        <v>Imported Water Purchases</v>
      </c>
      <c r="D238" s="794"/>
      <c r="E238" s="381">
        <f>'Concept-Level Data'!L82</f>
        <v>5</v>
      </c>
    </row>
    <row r="239" spans="2:5" hidden="1" x14ac:dyDescent="0.25">
      <c r="B239" s="227" t="str">
        <f>'Concept-Level Data'!A83</f>
        <v>Respondent 6</v>
      </c>
      <c r="C239" s="793" t="str">
        <f>'Concept-Level Data'!B83</f>
        <v>Local Surface Water Reservoirs</v>
      </c>
      <c r="D239" s="794"/>
      <c r="E239" s="381">
        <f>'Concept-Level Data'!L83</f>
        <v>5</v>
      </c>
    </row>
    <row r="240" spans="2:5" hidden="1" x14ac:dyDescent="0.25">
      <c r="B240" s="227" t="str">
        <f>'Concept-Level Data'!A84</f>
        <v>Respondent 6</v>
      </c>
      <c r="C240" s="793" t="str">
        <f>'Concept-Level Data'!B84</f>
        <v>Potable Reuse</v>
      </c>
      <c r="D240" s="794"/>
      <c r="E240" s="381">
        <f>'Concept-Level Data'!L84</f>
        <v>5</v>
      </c>
    </row>
    <row r="241" spans="2:5" hidden="1" x14ac:dyDescent="0.25">
      <c r="B241" s="227" t="str">
        <f>'Concept-Level Data'!A85</f>
        <v>Respondent 6</v>
      </c>
      <c r="C241" s="793" t="str">
        <f>'Concept-Level Data'!B85</f>
        <v>Recycled Water</v>
      </c>
      <c r="D241" s="794"/>
      <c r="E241" s="381">
        <f>'Concept-Level Data'!L85</f>
        <v>5</v>
      </c>
    </row>
    <row r="242" spans="2:5" hidden="1" x14ac:dyDescent="0.25">
      <c r="B242" s="227" t="str">
        <f>'Concept-Level Data'!A86</f>
        <v>Respondent 6</v>
      </c>
      <c r="C242" s="793" t="str">
        <f>'Concept-Level Data'!B86</f>
        <v>Seawater Desalination</v>
      </c>
      <c r="D242" s="794"/>
      <c r="E242" s="381">
        <f>'Concept-Level Data'!L86</f>
        <v>5</v>
      </c>
    </row>
    <row r="243" spans="2:5" hidden="1" x14ac:dyDescent="0.25">
      <c r="B243" s="227" t="str">
        <f>'Concept-Level Data'!A87</f>
        <v>Respondent 6</v>
      </c>
      <c r="C243" s="793" t="str">
        <f>'Concept-Level Data'!B87</f>
        <v>Stormwater BMPs</v>
      </c>
      <c r="D243" s="794"/>
      <c r="E243" s="381">
        <f>'Concept-Level Data'!L87</f>
        <v>5</v>
      </c>
    </row>
    <row r="244" spans="2:5" hidden="1" x14ac:dyDescent="0.25">
      <c r="B244" s="227" t="str">
        <f>'Concept-Level Data'!A88</f>
        <v>Respondent 6</v>
      </c>
      <c r="C244" s="793" t="str">
        <f>'Concept-Level Data'!B88</f>
        <v>Stormwater Capture</v>
      </c>
      <c r="D244" s="794"/>
      <c r="E244" s="381">
        <f>'Concept-Level Data'!L88</f>
        <v>5</v>
      </c>
    </row>
    <row r="245" spans="2:5" hidden="1" x14ac:dyDescent="0.25">
      <c r="B245" s="227" t="str">
        <f>'Concept-Level Data'!A89</f>
        <v>Respondent 6</v>
      </c>
      <c r="C245" s="793" t="str">
        <f>'Concept-Level Data'!B89</f>
        <v>Urban and Agricultural Water Use Efficiency</v>
      </c>
      <c r="D245" s="794"/>
      <c r="E245" s="381">
        <f>'Concept-Level Data'!L89</f>
        <v>5</v>
      </c>
    </row>
    <row r="246" spans="2:5" hidden="1" x14ac:dyDescent="0.25">
      <c r="B246" s="227" t="str">
        <f>'Concept-Level Data'!A90</f>
        <v>Respondent 6</v>
      </c>
      <c r="C246" s="793" t="str">
        <f>'Concept-Level Data'!B90</f>
        <v>Watershed and Ecosystem Management</v>
      </c>
      <c r="D246" s="794"/>
      <c r="E246" s="381">
        <f>'Concept-Level Data'!L90</f>
        <v>5</v>
      </c>
    </row>
    <row r="247" spans="2:5" hidden="1" x14ac:dyDescent="0.25">
      <c r="B247" s="227" t="str">
        <f>'Concept-Level Data'!A91</f>
        <v>Respondent 7</v>
      </c>
      <c r="C247" s="793" t="str">
        <f>'Concept-Level Data'!B91</f>
        <v>Conveyance Improvement</v>
      </c>
      <c r="D247" s="794"/>
      <c r="E247" s="381">
        <f>'Concept-Level Data'!L91</f>
        <v>3</v>
      </c>
    </row>
    <row r="248" spans="2:5" hidden="1" x14ac:dyDescent="0.25">
      <c r="B248" s="227" t="str">
        <f>'Concept-Level Data'!A92</f>
        <v>Respondent 7</v>
      </c>
      <c r="C248" s="793" t="str">
        <f>'Concept-Level Data'!B92</f>
        <v>Drought Restriction/Allocation</v>
      </c>
      <c r="D248" s="794"/>
      <c r="E248" s="381">
        <f>'Concept-Level Data'!L92</f>
        <v>5</v>
      </c>
    </row>
    <row r="249" spans="2:5" hidden="1" x14ac:dyDescent="0.25">
      <c r="B249" s="227" t="str">
        <f>'Concept-Level Data'!A93</f>
        <v>Respondent 7</v>
      </c>
      <c r="C249" s="793" t="str">
        <f>'Concept-Level Data'!B93</f>
        <v>Firm Water Supply Agreements</v>
      </c>
      <c r="D249" s="794"/>
      <c r="E249" s="381">
        <f>'Concept-Level Data'!L93</f>
        <v>2</v>
      </c>
    </row>
    <row r="250" spans="2:5" hidden="1" x14ac:dyDescent="0.25">
      <c r="B250" s="227" t="str">
        <f>'Concept-Level Data'!A94</f>
        <v>Respondent 7</v>
      </c>
      <c r="C250" s="793" t="str">
        <f>'Concept-Level Data'!B94</f>
        <v>Gray Water Use</v>
      </c>
      <c r="D250" s="794"/>
      <c r="E250" s="381">
        <f>'Concept-Level Data'!L94</f>
        <v>4</v>
      </c>
    </row>
    <row r="251" spans="2:5" hidden="1" x14ac:dyDescent="0.25">
      <c r="B251" s="227" t="str">
        <f>'Concept-Level Data'!A95</f>
        <v>Respondent 7</v>
      </c>
      <c r="C251" s="793" t="str">
        <f>'Concept-Level Data'!B95</f>
        <v>Groundwater</v>
      </c>
      <c r="D251" s="794"/>
      <c r="E251" s="381">
        <f>'Concept-Level Data'!L95</f>
        <v>5</v>
      </c>
    </row>
    <row r="252" spans="2:5" hidden="1" x14ac:dyDescent="0.25">
      <c r="B252" s="227" t="str">
        <f>'Concept-Level Data'!A96</f>
        <v>Respondent 7</v>
      </c>
      <c r="C252" s="793" t="str">
        <f>'Concept-Level Data'!B96</f>
        <v>Imported Water Purchases</v>
      </c>
      <c r="D252" s="794"/>
      <c r="E252" s="381">
        <f>'Concept-Level Data'!L96</f>
        <v>2</v>
      </c>
    </row>
    <row r="253" spans="2:5" hidden="1" x14ac:dyDescent="0.25">
      <c r="B253" s="227" t="str">
        <f>'Concept-Level Data'!A97</f>
        <v>Respondent 7</v>
      </c>
      <c r="C253" s="793" t="str">
        <f>'Concept-Level Data'!B97</f>
        <v>Local Surface Water Reservoirs</v>
      </c>
      <c r="D253" s="794"/>
      <c r="E253" s="381">
        <f>'Concept-Level Data'!L97</f>
        <v>5</v>
      </c>
    </row>
    <row r="254" spans="2:5" hidden="1" x14ac:dyDescent="0.25">
      <c r="B254" s="227" t="str">
        <f>'Concept-Level Data'!A98</f>
        <v>Respondent 7</v>
      </c>
      <c r="C254" s="793" t="str">
        <f>'Concept-Level Data'!B98</f>
        <v>Potable Reuse</v>
      </c>
      <c r="D254" s="794"/>
      <c r="E254" s="381">
        <f>'Concept-Level Data'!L98</f>
        <v>5</v>
      </c>
    </row>
    <row r="255" spans="2:5" hidden="1" x14ac:dyDescent="0.25">
      <c r="B255" s="227" t="str">
        <f>'Concept-Level Data'!A99</f>
        <v>Respondent 7</v>
      </c>
      <c r="C255" s="793" t="str">
        <f>'Concept-Level Data'!B99</f>
        <v>Recycled Water</v>
      </c>
      <c r="D255" s="794"/>
      <c r="E255" s="381">
        <f>'Concept-Level Data'!L99</f>
        <v>5</v>
      </c>
    </row>
    <row r="256" spans="2:5" hidden="1" x14ac:dyDescent="0.25">
      <c r="B256" s="227" t="str">
        <f>'Concept-Level Data'!A100</f>
        <v>Respondent 7</v>
      </c>
      <c r="C256" s="793" t="str">
        <f>'Concept-Level Data'!B100</f>
        <v>Seawater Desalination</v>
      </c>
      <c r="D256" s="794"/>
      <c r="E256" s="381">
        <f>'Concept-Level Data'!L100</f>
        <v>5</v>
      </c>
    </row>
    <row r="257" spans="2:5" hidden="1" x14ac:dyDescent="0.25">
      <c r="B257" s="227" t="str">
        <f>'Concept-Level Data'!A101</f>
        <v>Respondent 7</v>
      </c>
      <c r="C257" s="793" t="str">
        <f>'Concept-Level Data'!B101</f>
        <v>Stormwater BMPs</v>
      </c>
      <c r="D257" s="794"/>
      <c r="E257" s="381">
        <f>'Concept-Level Data'!L101</f>
        <v>3</v>
      </c>
    </row>
    <row r="258" spans="2:5" hidden="1" x14ac:dyDescent="0.25">
      <c r="B258" s="227" t="str">
        <f>'Concept-Level Data'!A102</f>
        <v>Respondent 7</v>
      </c>
      <c r="C258" s="793" t="str">
        <f>'Concept-Level Data'!B102</f>
        <v>Stormwater Capture</v>
      </c>
      <c r="D258" s="794"/>
      <c r="E258" s="381">
        <f>'Concept-Level Data'!L102</f>
        <v>5</v>
      </c>
    </row>
    <row r="259" spans="2:5" hidden="1" x14ac:dyDescent="0.25">
      <c r="B259" s="227" t="str">
        <f>'Concept-Level Data'!A103</f>
        <v>Respondent 7</v>
      </c>
      <c r="C259" s="793" t="str">
        <f>'Concept-Level Data'!B103</f>
        <v>Urban and Agricultural Water Use Efficiency</v>
      </c>
      <c r="D259" s="794"/>
      <c r="E259" s="381">
        <f>'Concept-Level Data'!L103</f>
        <v>5</v>
      </c>
    </row>
    <row r="260" spans="2:5" hidden="1" x14ac:dyDescent="0.25">
      <c r="B260" s="227" t="str">
        <f>'Concept-Level Data'!A104</f>
        <v>Respondent 7</v>
      </c>
      <c r="C260" s="793" t="str">
        <f>'Concept-Level Data'!B104</f>
        <v>Watershed and Ecosystem Management</v>
      </c>
      <c r="D260" s="794"/>
      <c r="E260" s="381">
        <f>'Concept-Level Data'!L104</f>
        <v>4</v>
      </c>
    </row>
    <row r="261" spans="2:5" hidden="1" x14ac:dyDescent="0.25">
      <c r="B261" s="227" t="str">
        <f>'Concept-Level Data'!A105</f>
        <v>Respondent 8</v>
      </c>
      <c r="C261" s="793" t="str">
        <f>'Concept-Level Data'!B105</f>
        <v>Conveyance Improvement</v>
      </c>
      <c r="D261" s="794"/>
      <c r="E261" s="381">
        <f>'Concept-Level Data'!L105</f>
        <v>4</v>
      </c>
    </row>
    <row r="262" spans="2:5" hidden="1" x14ac:dyDescent="0.25">
      <c r="B262" s="227" t="str">
        <f>'Concept-Level Data'!A106</f>
        <v>Respondent 8</v>
      </c>
      <c r="C262" s="793" t="str">
        <f>'Concept-Level Data'!B106</f>
        <v>Drought Restriction/Allocation</v>
      </c>
      <c r="D262" s="794"/>
      <c r="E262" s="381">
        <f>'Concept-Level Data'!L106</f>
        <v>4</v>
      </c>
    </row>
    <row r="263" spans="2:5" hidden="1" x14ac:dyDescent="0.25">
      <c r="B263" s="227" t="str">
        <f>'Concept-Level Data'!A107</f>
        <v>Respondent 8</v>
      </c>
      <c r="C263" s="793" t="str">
        <f>'Concept-Level Data'!B107</f>
        <v>Firm Water Supply Agreements</v>
      </c>
      <c r="D263" s="794"/>
      <c r="E263" s="381">
        <f>'Concept-Level Data'!L107</f>
        <v>3</v>
      </c>
    </row>
    <row r="264" spans="2:5" hidden="1" x14ac:dyDescent="0.25">
      <c r="B264" s="227" t="str">
        <f>'Concept-Level Data'!A108</f>
        <v>Respondent 8</v>
      </c>
      <c r="C264" s="793" t="str">
        <f>'Concept-Level Data'!B108</f>
        <v>Gray Water Use</v>
      </c>
      <c r="D264" s="794"/>
      <c r="E264" s="381">
        <f>'Concept-Level Data'!L108</f>
        <v>4</v>
      </c>
    </row>
    <row r="265" spans="2:5" hidden="1" x14ac:dyDescent="0.25">
      <c r="B265" s="227" t="str">
        <f>'Concept-Level Data'!A109</f>
        <v>Respondent 8</v>
      </c>
      <c r="C265" s="793" t="str">
        <f>'Concept-Level Data'!B109</f>
        <v>Groundwater</v>
      </c>
      <c r="D265" s="794"/>
      <c r="E265" s="381">
        <f>'Concept-Level Data'!L109</f>
        <v>5</v>
      </c>
    </row>
    <row r="266" spans="2:5" hidden="1" x14ac:dyDescent="0.25">
      <c r="B266" s="227" t="str">
        <f>'Concept-Level Data'!A110</f>
        <v>Respondent 8</v>
      </c>
      <c r="C266" s="793" t="str">
        <f>'Concept-Level Data'!B110</f>
        <v>Imported Water Purchases</v>
      </c>
      <c r="D266" s="794"/>
      <c r="E266" s="381">
        <f>'Concept-Level Data'!L110</f>
        <v>3</v>
      </c>
    </row>
    <row r="267" spans="2:5" hidden="1" x14ac:dyDescent="0.25">
      <c r="B267" s="227" t="str">
        <f>'Concept-Level Data'!A111</f>
        <v>Respondent 8</v>
      </c>
      <c r="C267" s="793" t="str">
        <f>'Concept-Level Data'!B111</f>
        <v>Local Surface Water Reservoirs</v>
      </c>
      <c r="D267" s="794"/>
      <c r="E267" s="381">
        <f>'Concept-Level Data'!L111</f>
        <v>5</v>
      </c>
    </row>
    <row r="268" spans="2:5" hidden="1" x14ac:dyDescent="0.25">
      <c r="B268" s="227" t="str">
        <f>'Concept-Level Data'!A112</f>
        <v>Respondent 8</v>
      </c>
      <c r="C268" s="793" t="str">
        <f>'Concept-Level Data'!B112</f>
        <v>Potable Reuse</v>
      </c>
      <c r="D268" s="794"/>
      <c r="E268" s="381">
        <f>'Concept-Level Data'!L112</f>
        <v>5</v>
      </c>
    </row>
    <row r="269" spans="2:5" hidden="1" x14ac:dyDescent="0.25">
      <c r="B269" s="227" t="str">
        <f>'Concept-Level Data'!A113</f>
        <v>Respondent 8</v>
      </c>
      <c r="C269" s="793" t="str">
        <f>'Concept-Level Data'!B113</f>
        <v>Recycled Water</v>
      </c>
      <c r="D269" s="794"/>
      <c r="E269" s="381">
        <f>'Concept-Level Data'!L113</f>
        <v>5</v>
      </c>
    </row>
    <row r="270" spans="2:5" hidden="1" x14ac:dyDescent="0.25">
      <c r="B270" s="227" t="str">
        <f>'Concept-Level Data'!A114</f>
        <v>Respondent 8</v>
      </c>
      <c r="C270" s="793" t="str">
        <f>'Concept-Level Data'!B114</f>
        <v>Seawater Desalination</v>
      </c>
      <c r="D270" s="794"/>
      <c r="E270" s="381">
        <f>'Concept-Level Data'!L114</f>
        <v>5</v>
      </c>
    </row>
    <row r="271" spans="2:5" hidden="1" x14ac:dyDescent="0.25">
      <c r="B271" s="227" t="str">
        <f>'Concept-Level Data'!A115</f>
        <v>Respondent 8</v>
      </c>
      <c r="C271" s="793" t="str">
        <f>'Concept-Level Data'!B115</f>
        <v>Stormwater BMPs</v>
      </c>
      <c r="D271" s="794"/>
      <c r="E271" s="381">
        <f>'Concept-Level Data'!L115</f>
        <v>3</v>
      </c>
    </row>
    <row r="272" spans="2:5" hidden="1" x14ac:dyDescent="0.25">
      <c r="B272" s="227" t="str">
        <f>'Concept-Level Data'!A116</f>
        <v>Respondent 8</v>
      </c>
      <c r="C272" s="793" t="str">
        <f>'Concept-Level Data'!B116</f>
        <v>Stormwater Capture</v>
      </c>
      <c r="D272" s="794"/>
      <c r="E272" s="381">
        <f>'Concept-Level Data'!L116</f>
        <v>4</v>
      </c>
    </row>
    <row r="273" spans="2:5" hidden="1" x14ac:dyDescent="0.25">
      <c r="B273" s="227" t="str">
        <f>'Concept-Level Data'!A117</f>
        <v>Respondent 8</v>
      </c>
      <c r="C273" s="793" t="str">
        <f>'Concept-Level Data'!B117</f>
        <v>Urban and Agricultural Water Use Efficiency</v>
      </c>
      <c r="D273" s="794"/>
      <c r="E273" s="381">
        <f>'Concept-Level Data'!L117</f>
        <v>5</v>
      </c>
    </row>
    <row r="274" spans="2:5" hidden="1" x14ac:dyDescent="0.25">
      <c r="B274" s="227" t="str">
        <f>'Concept-Level Data'!A118</f>
        <v>Respondent 8</v>
      </c>
      <c r="C274" s="793" t="str">
        <f>'Concept-Level Data'!B118</f>
        <v>Watershed and Ecosystem Management</v>
      </c>
      <c r="D274" s="794"/>
      <c r="E274" s="381">
        <f>'Concept-Level Data'!L118</f>
        <v>5</v>
      </c>
    </row>
    <row r="275" spans="2:5" hidden="1" x14ac:dyDescent="0.25">
      <c r="B275" s="227" t="str">
        <f>'Concept-Level Data'!A119</f>
        <v>Respondent 9</v>
      </c>
      <c r="C275" s="793" t="str">
        <f>'Concept-Level Data'!B119</f>
        <v>Conveyance Improvement</v>
      </c>
      <c r="D275" s="794"/>
      <c r="E275" s="381">
        <f>'Concept-Level Data'!L119</f>
        <v>5</v>
      </c>
    </row>
    <row r="276" spans="2:5" hidden="1" x14ac:dyDescent="0.25">
      <c r="B276" s="227" t="str">
        <f>'Concept-Level Data'!A120</f>
        <v>Respondent 9</v>
      </c>
      <c r="C276" s="793" t="str">
        <f>'Concept-Level Data'!B120</f>
        <v>Drought Restriction/Allocation</v>
      </c>
      <c r="D276" s="794"/>
      <c r="E276" s="381">
        <f>'Concept-Level Data'!L120</f>
        <v>5</v>
      </c>
    </row>
    <row r="277" spans="2:5" hidden="1" x14ac:dyDescent="0.25">
      <c r="B277" s="227" t="str">
        <f>'Concept-Level Data'!A121</f>
        <v>Respondent 9</v>
      </c>
      <c r="C277" s="793" t="str">
        <f>'Concept-Level Data'!B121</f>
        <v>Firm Water Supply Agreements</v>
      </c>
      <c r="D277" s="794"/>
      <c r="E277" s="381">
        <f>'Concept-Level Data'!L121</f>
        <v>1</v>
      </c>
    </row>
    <row r="278" spans="2:5" hidden="1" x14ac:dyDescent="0.25">
      <c r="B278" s="227" t="str">
        <f>'Concept-Level Data'!A122</f>
        <v>Respondent 9</v>
      </c>
      <c r="C278" s="793" t="str">
        <f>'Concept-Level Data'!B122</f>
        <v>Gray Water Use</v>
      </c>
      <c r="D278" s="794"/>
      <c r="E278" s="381">
        <f>'Concept-Level Data'!L122</f>
        <v>5</v>
      </c>
    </row>
    <row r="279" spans="2:5" hidden="1" x14ac:dyDescent="0.25">
      <c r="B279" s="227" t="str">
        <f>'Concept-Level Data'!A123</f>
        <v>Respondent 9</v>
      </c>
      <c r="C279" s="793" t="str">
        <f>'Concept-Level Data'!B123</f>
        <v>Groundwater</v>
      </c>
      <c r="D279" s="794"/>
      <c r="E279" s="381">
        <f>'Concept-Level Data'!L123</f>
        <v>5</v>
      </c>
    </row>
    <row r="280" spans="2:5" hidden="1" x14ac:dyDescent="0.25">
      <c r="B280" s="227" t="str">
        <f>'Concept-Level Data'!A124</f>
        <v>Respondent 9</v>
      </c>
      <c r="C280" s="793" t="str">
        <f>'Concept-Level Data'!B124</f>
        <v>Imported Water Purchases</v>
      </c>
      <c r="D280" s="794"/>
      <c r="E280" s="381">
        <f>'Concept-Level Data'!L124</f>
        <v>1</v>
      </c>
    </row>
    <row r="281" spans="2:5" hidden="1" x14ac:dyDescent="0.25">
      <c r="B281" s="227" t="str">
        <f>'Concept-Level Data'!A125</f>
        <v>Respondent 9</v>
      </c>
      <c r="C281" s="793" t="str">
        <f>'Concept-Level Data'!B125</f>
        <v>Local Surface Water Reservoirs</v>
      </c>
      <c r="D281" s="794"/>
      <c r="E281" s="381">
        <f>'Concept-Level Data'!L125</f>
        <v>5</v>
      </c>
    </row>
    <row r="282" spans="2:5" hidden="1" x14ac:dyDescent="0.25">
      <c r="B282" s="227" t="str">
        <f>'Concept-Level Data'!A126</f>
        <v>Respondent 9</v>
      </c>
      <c r="C282" s="793" t="str">
        <f>'Concept-Level Data'!B126</f>
        <v>Potable Reuse</v>
      </c>
      <c r="D282" s="794"/>
      <c r="E282" s="381">
        <f>'Concept-Level Data'!L126</f>
        <v>5</v>
      </c>
    </row>
    <row r="283" spans="2:5" hidden="1" x14ac:dyDescent="0.25">
      <c r="B283" s="227" t="str">
        <f>'Concept-Level Data'!A127</f>
        <v>Respondent 9</v>
      </c>
      <c r="C283" s="793" t="str">
        <f>'Concept-Level Data'!B127</f>
        <v>Recycled Water</v>
      </c>
      <c r="D283" s="794"/>
      <c r="E283" s="381">
        <f>'Concept-Level Data'!L127</f>
        <v>5</v>
      </c>
    </row>
    <row r="284" spans="2:5" hidden="1" x14ac:dyDescent="0.25">
      <c r="B284" s="227" t="str">
        <f>'Concept-Level Data'!A128</f>
        <v>Respondent 9</v>
      </c>
      <c r="C284" s="793" t="str">
        <f>'Concept-Level Data'!B128</f>
        <v>Seawater Desalination</v>
      </c>
      <c r="D284" s="794"/>
      <c r="E284" s="381">
        <f>'Concept-Level Data'!L128</f>
        <v>5</v>
      </c>
    </row>
    <row r="285" spans="2:5" hidden="1" x14ac:dyDescent="0.25">
      <c r="B285" s="227" t="str">
        <f>'Concept-Level Data'!A129</f>
        <v>Respondent 9</v>
      </c>
      <c r="C285" s="793" t="str">
        <f>'Concept-Level Data'!B129</f>
        <v>Stormwater BMPs</v>
      </c>
      <c r="D285" s="794"/>
      <c r="E285" s="381">
        <f>'Concept-Level Data'!L129</f>
        <v>3</v>
      </c>
    </row>
    <row r="286" spans="2:5" hidden="1" x14ac:dyDescent="0.25">
      <c r="B286" s="227" t="str">
        <f>'Concept-Level Data'!A130</f>
        <v>Respondent 9</v>
      </c>
      <c r="C286" s="793" t="str">
        <f>'Concept-Level Data'!B130</f>
        <v>Stormwater Capture</v>
      </c>
      <c r="D286" s="794"/>
      <c r="E286" s="381">
        <f>'Concept-Level Data'!L130</f>
        <v>4</v>
      </c>
    </row>
    <row r="287" spans="2:5" hidden="1" x14ac:dyDescent="0.25">
      <c r="B287" s="227" t="str">
        <f>'Concept-Level Data'!A131</f>
        <v>Respondent 9</v>
      </c>
      <c r="C287" s="793" t="str">
        <f>'Concept-Level Data'!B131</f>
        <v>Urban and Agricultural Water Use Efficiency</v>
      </c>
      <c r="D287" s="794"/>
      <c r="E287" s="381">
        <f>'Concept-Level Data'!L131</f>
        <v>5</v>
      </c>
    </row>
    <row r="288" spans="2:5" hidden="1" x14ac:dyDescent="0.25">
      <c r="B288" s="227" t="str">
        <f>'Concept-Level Data'!A132</f>
        <v>Respondent 9</v>
      </c>
      <c r="C288" s="793" t="str">
        <f>'Concept-Level Data'!B132</f>
        <v>Watershed and Ecosystem Management</v>
      </c>
      <c r="D288" s="794"/>
      <c r="E288" s="381">
        <f>'Concept-Level Data'!L132</f>
        <v>3</v>
      </c>
    </row>
    <row r="289" spans="2:5" hidden="1" x14ac:dyDescent="0.25">
      <c r="B289" s="251" t="str">
        <f>'Concept-Level Data'!A133</f>
        <v>Respondent 10</v>
      </c>
      <c r="C289" s="793" t="str">
        <f>'Concept-Level Data'!B133</f>
        <v>Conveyance Improvement</v>
      </c>
      <c r="D289" s="794"/>
      <c r="E289" s="381">
        <f>'Concept-Level Data'!L133</f>
        <v>5</v>
      </c>
    </row>
    <row r="290" spans="2:5" hidden="1" x14ac:dyDescent="0.25">
      <c r="B290" s="251" t="str">
        <f>'Concept-Level Data'!A134</f>
        <v>Respondent 10</v>
      </c>
      <c r="C290" s="793" t="str">
        <f>'Concept-Level Data'!B134</f>
        <v>Drought Restriction/Allocation</v>
      </c>
      <c r="D290" s="794"/>
      <c r="E290" s="381">
        <f>'Concept-Level Data'!L134</f>
        <v>5</v>
      </c>
    </row>
    <row r="291" spans="2:5" hidden="1" x14ac:dyDescent="0.25">
      <c r="B291" s="251" t="str">
        <f>'Concept-Level Data'!A135</f>
        <v>Respondent 10</v>
      </c>
      <c r="C291" s="793" t="str">
        <f>'Concept-Level Data'!B135</f>
        <v>Firm Water Supply Agreements</v>
      </c>
      <c r="D291" s="794"/>
      <c r="E291" s="381">
        <f>'Concept-Level Data'!L135</f>
        <v>5</v>
      </c>
    </row>
    <row r="292" spans="2:5" hidden="1" x14ac:dyDescent="0.25">
      <c r="B292" s="251" t="str">
        <f>'Concept-Level Data'!A136</f>
        <v>Respondent 10</v>
      </c>
      <c r="C292" s="793" t="str">
        <f>'Concept-Level Data'!B136</f>
        <v>Gray Water Use</v>
      </c>
      <c r="D292" s="794"/>
      <c r="E292" s="381">
        <f>'Concept-Level Data'!L136</f>
        <v>4</v>
      </c>
    </row>
    <row r="293" spans="2:5" hidden="1" x14ac:dyDescent="0.25">
      <c r="B293" s="251" t="str">
        <f>'Concept-Level Data'!A137</f>
        <v>Respondent 10</v>
      </c>
      <c r="C293" s="793" t="str">
        <f>'Concept-Level Data'!B137</f>
        <v>Groundwater</v>
      </c>
      <c r="D293" s="794"/>
      <c r="E293" s="381">
        <f>'Concept-Level Data'!L137</f>
        <v>5</v>
      </c>
    </row>
    <row r="294" spans="2:5" hidden="1" x14ac:dyDescent="0.25">
      <c r="B294" s="251" t="str">
        <f>'Concept-Level Data'!A138</f>
        <v>Respondent 10</v>
      </c>
      <c r="C294" s="793" t="str">
        <f>'Concept-Level Data'!B138</f>
        <v>Imported Water Purchases</v>
      </c>
      <c r="D294" s="794"/>
      <c r="E294" s="381">
        <f>'Concept-Level Data'!L138</f>
        <v>3</v>
      </c>
    </row>
    <row r="295" spans="2:5" hidden="1" x14ac:dyDescent="0.25">
      <c r="B295" s="251" t="str">
        <f>'Concept-Level Data'!A139</f>
        <v>Respondent 10</v>
      </c>
      <c r="C295" s="793" t="str">
        <f>'Concept-Level Data'!B139</f>
        <v>Local Surface Water Reservoirs</v>
      </c>
      <c r="D295" s="794"/>
      <c r="E295" s="381">
        <f>'Concept-Level Data'!L139</f>
        <v>5</v>
      </c>
    </row>
    <row r="296" spans="2:5" hidden="1" x14ac:dyDescent="0.25">
      <c r="B296" s="251" t="str">
        <f>'Concept-Level Data'!A140</f>
        <v>Respondent 10</v>
      </c>
      <c r="C296" s="793" t="str">
        <f>'Concept-Level Data'!B140</f>
        <v>Potable Reuse</v>
      </c>
      <c r="D296" s="794"/>
      <c r="E296" s="381">
        <f>'Concept-Level Data'!L140</f>
        <v>5</v>
      </c>
    </row>
    <row r="297" spans="2:5" hidden="1" x14ac:dyDescent="0.25">
      <c r="B297" s="251" t="str">
        <f>'Concept-Level Data'!A141</f>
        <v>Respondent 10</v>
      </c>
      <c r="C297" s="793" t="str">
        <f>'Concept-Level Data'!B141</f>
        <v>Recycled Water</v>
      </c>
      <c r="D297" s="794"/>
      <c r="E297" s="381">
        <f>'Concept-Level Data'!L141</f>
        <v>5</v>
      </c>
    </row>
    <row r="298" spans="2:5" hidden="1" x14ac:dyDescent="0.25">
      <c r="B298" s="251" t="str">
        <f>'Concept-Level Data'!A142</f>
        <v>Respondent 10</v>
      </c>
      <c r="C298" s="793" t="str">
        <f>'Concept-Level Data'!B142</f>
        <v>Seawater Desalination</v>
      </c>
      <c r="D298" s="794"/>
      <c r="E298" s="381">
        <f>'Concept-Level Data'!L142</f>
        <v>5</v>
      </c>
    </row>
    <row r="299" spans="2:5" hidden="1" x14ac:dyDescent="0.25">
      <c r="B299" s="251" t="str">
        <f>'Concept-Level Data'!A143</f>
        <v>Respondent 10</v>
      </c>
      <c r="C299" s="793" t="str">
        <f>'Concept-Level Data'!B143</f>
        <v>Stormwater BMPs</v>
      </c>
      <c r="D299" s="794"/>
      <c r="E299" s="381">
        <f>'Concept-Level Data'!L143</f>
        <v>4</v>
      </c>
    </row>
    <row r="300" spans="2:5" hidden="1" x14ac:dyDescent="0.25">
      <c r="B300" s="251" t="str">
        <f>'Concept-Level Data'!A144</f>
        <v>Respondent 10</v>
      </c>
      <c r="C300" s="793" t="str">
        <f>'Concept-Level Data'!B144</f>
        <v>Stormwater Capture</v>
      </c>
      <c r="D300" s="794"/>
      <c r="E300" s="381">
        <f>'Concept-Level Data'!L144</f>
        <v>5</v>
      </c>
    </row>
    <row r="301" spans="2:5" hidden="1" x14ac:dyDescent="0.25">
      <c r="B301" s="251" t="str">
        <f>'Concept-Level Data'!A145</f>
        <v>Respondent 10</v>
      </c>
      <c r="C301" s="793" t="str">
        <f>'Concept-Level Data'!B145</f>
        <v>Urban and Agricultural Water Use Efficiency</v>
      </c>
      <c r="D301" s="794"/>
      <c r="E301" s="381">
        <f>'Concept-Level Data'!L145</f>
        <v>4</v>
      </c>
    </row>
    <row r="302" spans="2:5" hidden="1" x14ac:dyDescent="0.25">
      <c r="B302" s="251" t="str">
        <f>'Concept-Level Data'!A146</f>
        <v>Respondent 10</v>
      </c>
      <c r="C302" s="793" t="str">
        <f>'Concept-Level Data'!B146</f>
        <v>Watershed and Ecosystem Management</v>
      </c>
      <c r="D302" s="794"/>
      <c r="E302" s="381">
        <f>'Concept-Level Data'!L146</f>
        <v>4</v>
      </c>
    </row>
    <row r="303" spans="2:5" hidden="1" x14ac:dyDescent="0.25">
      <c r="B303" s="251" t="str">
        <f>'Concept-Level Data'!A147</f>
        <v>Respondent 11</v>
      </c>
      <c r="C303" s="793" t="str">
        <f>'Concept-Level Data'!B147</f>
        <v>Conveyance Improvement</v>
      </c>
      <c r="D303" s="794"/>
      <c r="E303" s="381">
        <f>'Concept-Level Data'!L147</f>
        <v>3</v>
      </c>
    </row>
    <row r="304" spans="2:5" hidden="1" x14ac:dyDescent="0.25">
      <c r="B304" s="251" t="str">
        <f>'Concept-Level Data'!A148</f>
        <v>Respondent 11</v>
      </c>
      <c r="C304" s="793" t="str">
        <f>'Concept-Level Data'!B148</f>
        <v>Drought Restriction/Allocation</v>
      </c>
      <c r="D304" s="794"/>
      <c r="E304" s="381">
        <f>'Concept-Level Data'!L148</f>
        <v>3</v>
      </c>
    </row>
    <row r="305" spans="2:5" hidden="1" x14ac:dyDescent="0.25">
      <c r="B305" s="251" t="str">
        <f>'Concept-Level Data'!A149</f>
        <v>Respondent 11</v>
      </c>
      <c r="C305" s="793" t="str">
        <f>'Concept-Level Data'!B149</f>
        <v>Firm Water Supply Agreements</v>
      </c>
      <c r="D305" s="794"/>
      <c r="E305" s="381">
        <f>'Concept-Level Data'!L149</f>
        <v>4</v>
      </c>
    </row>
    <row r="306" spans="2:5" hidden="1" x14ac:dyDescent="0.25">
      <c r="B306" s="251" t="str">
        <f>'Concept-Level Data'!A150</f>
        <v>Respondent 11</v>
      </c>
      <c r="C306" s="793" t="str">
        <f>'Concept-Level Data'!B150</f>
        <v>Gray Water Use</v>
      </c>
      <c r="D306" s="794"/>
      <c r="E306" s="381">
        <f>'Concept-Level Data'!L150</f>
        <v>2</v>
      </c>
    </row>
    <row r="307" spans="2:5" hidden="1" x14ac:dyDescent="0.25">
      <c r="B307" s="251" t="str">
        <f>'Concept-Level Data'!A151</f>
        <v>Respondent 11</v>
      </c>
      <c r="C307" s="793" t="str">
        <f>'Concept-Level Data'!B151</f>
        <v>Groundwater</v>
      </c>
      <c r="D307" s="794"/>
      <c r="E307" s="381">
        <f>'Concept-Level Data'!L151</f>
        <v>5</v>
      </c>
    </row>
    <row r="308" spans="2:5" hidden="1" x14ac:dyDescent="0.25">
      <c r="B308" s="251" t="str">
        <f>'Concept-Level Data'!A152</f>
        <v>Respondent 11</v>
      </c>
      <c r="C308" s="793" t="str">
        <f>'Concept-Level Data'!B152</f>
        <v>Imported Water Purchases</v>
      </c>
      <c r="D308" s="794"/>
      <c r="E308" s="381">
        <f>'Concept-Level Data'!L152</f>
        <v>3</v>
      </c>
    </row>
    <row r="309" spans="2:5" hidden="1" x14ac:dyDescent="0.25">
      <c r="B309" s="251" t="str">
        <f>'Concept-Level Data'!A153</f>
        <v>Respondent 11</v>
      </c>
      <c r="C309" s="793" t="str">
        <f>'Concept-Level Data'!B153</f>
        <v>Local Surface Water Reservoirs</v>
      </c>
      <c r="D309" s="794"/>
      <c r="E309" s="381">
        <f>'Concept-Level Data'!L153</f>
        <v>5</v>
      </c>
    </row>
    <row r="310" spans="2:5" hidden="1" x14ac:dyDescent="0.25">
      <c r="B310" s="251" t="str">
        <f>'Concept-Level Data'!A154</f>
        <v>Respondent 11</v>
      </c>
      <c r="C310" s="793" t="str">
        <f>'Concept-Level Data'!B154</f>
        <v>Potable Reuse</v>
      </c>
      <c r="D310" s="794"/>
      <c r="E310" s="381">
        <f>'Concept-Level Data'!L154</f>
        <v>3</v>
      </c>
    </row>
    <row r="311" spans="2:5" hidden="1" x14ac:dyDescent="0.25">
      <c r="B311" s="251" t="str">
        <f>'Concept-Level Data'!A155</f>
        <v>Respondent 11</v>
      </c>
      <c r="C311" s="793" t="str">
        <f>'Concept-Level Data'!B155</f>
        <v>Recycled Water</v>
      </c>
      <c r="D311" s="794"/>
      <c r="E311" s="381">
        <f>'Concept-Level Data'!L155</f>
        <v>5</v>
      </c>
    </row>
    <row r="312" spans="2:5" hidden="1" x14ac:dyDescent="0.25">
      <c r="B312" s="251" t="str">
        <f>'Concept-Level Data'!A156</f>
        <v>Respondent 11</v>
      </c>
      <c r="C312" s="793" t="str">
        <f>'Concept-Level Data'!B156</f>
        <v>Seawater Desalination</v>
      </c>
      <c r="D312" s="794"/>
      <c r="E312" s="381">
        <f>'Concept-Level Data'!L156</f>
        <v>5</v>
      </c>
    </row>
    <row r="313" spans="2:5" hidden="1" x14ac:dyDescent="0.25">
      <c r="B313" s="251" t="str">
        <f>'Concept-Level Data'!A157</f>
        <v>Respondent 11</v>
      </c>
      <c r="C313" s="793" t="str">
        <f>'Concept-Level Data'!B157</f>
        <v>Stormwater BMPs</v>
      </c>
      <c r="D313" s="794"/>
      <c r="E313" s="381">
        <f>'Concept-Level Data'!L157</f>
        <v>3</v>
      </c>
    </row>
    <row r="314" spans="2:5" hidden="1" x14ac:dyDescent="0.25">
      <c r="B314" s="251" t="str">
        <f>'Concept-Level Data'!A158</f>
        <v>Respondent 11</v>
      </c>
      <c r="C314" s="793" t="str">
        <f>'Concept-Level Data'!B158</f>
        <v>Stormwater Capture</v>
      </c>
      <c r="D314" s="794"/>
      <c r="E314" s="381">
        <f>'Concept-Level Data'!L158</f>
        <v>5</v>
      </c>
    </row>
    <row r="315" spans="2:5" hidden="1" x14ac:dyDescent="0.25">
      <c r="B315" s="251" t="str">
        <f>'Concept-Level Data'!A159</f>
        <v>Respondent 11</v>
      </c>
      <c r="C315" s="793" t="str">
        <f>'Concept-Level Data'!B159</f>
        <v>Urban and Agricultural Water Use Efficiency</v>
      </c>
      <c r="D315" s="794"/>
      <c r="E315" s="381">
        <f>'Concept-Level Data'!L159</f>
        <v>3</v>
      </c>
    </row>
    <row r="316" spans="2:5" hidden="1" x14ac:dyDescent="0.25">
      <c r="B316" s="251" t="str">
        <f>'Concept-Level Data'!A160</f>
        <v>Respondent 11</v>
      </c>
      <c r="C316" s="793" t="str">
        <f>'Concept-Level Data'!B160</f>
        <v>Watershed and Ecosystem Management</v>
      </c>
      <c r="D316" s="794"/>
      <c r="E316" s="381">
        <f>'Concept-Level Data'!L160</f>
        <v>3</v>
      </c>
    </row>
    <row r="317" spans="2:5" hidden="1" x14ac:dyDescent="0.25">
      <c r="B317" s="251" t="str">
        <f>'Concept-Level Data'!A161</f>
        <v>Respondent 12</v>
      </c>
      <c r="C317" s="793" t="str">
        <f>'Concept-Level Data'!B161</f>
        <v>Conveyance Improvement</v>
      </c>
      <c r="D317" s="794"/>
      <c r="E317" s="381">
        <f>'Concept-Level Data'!L161</f>
        <v>5</v>
      </c>
    </row>
    <row r="318" spans="2:5" hidden="1" x14ac:dyDescent="0.25">
      <c r="B318" s="251" t="str">
        <f>'Concept-Level Data'!A162</f>
        <v>Respondent 12</v>
      </c>
      <c r="C318" s="793" t="str">
        <f>'Concept-Level Data'!B162</f>
        <v>Drought Restriction/Allocation</v>
      </c>
      <c r="D318" s="794"/>
      <c r="E318" s="381">
        <f>'Concept-Level Data'!L162</f>
        <v>5</v>
      </c>
    </row>
    <row r="319" spans="2:5" hidden="1" x14ac:dyDescent="0.25">
      <c r="B319" s="251" t="str">
        <f>'Concept-Level Data'!A163</f>
        <v>Respondent 12</v>
      </c>
      <c r="C319" s="793" t="str">
        <f>'Concept-Level Data'!B163</f>
        <v>Firm Water Supply Agreements</v>
      </c>
      <c r="D319" s="794"/>
      <c r="E319" s="381">
        <f>'Concept-Level Data'!L163</f>
        <v>3</v>
      </c>
    </row>
    <row r="320" spans="2:5" hidden="1" x14ac:dyDescent="0.25">
      <c r="B320" s="251" t="str">
        <f>'Concept-Level Data'!A164</f>
        <v>Respondent 12</v>
      </c>
      <c r="C320" s="793" t="str">
        <f>'Concept-Level Data'!B164</f>
        <v>Gray Water Use</v>
      </c>
      <c r="D320" s="794"/>
      <c r="E320" s="381">
        <f>'Concept-Level Data'!L164</f>
        <v>5</v>
      </c>
    </row>
    <row r="321" spans="2:5" hidden="1" x14ac:dyDescent="0.25">
      <c r="B321" s="251" t="str">
        <f>'Concept-Level Data'!A165</f>
        <v>Respondent 12</v>
      </c>
      <c r="C321" s="793" t="str">
        <f>'Concept-Level Data'!B165</f>
        <v>Groundwater</v>
      </c>
      <c r="D321" s="794"/>
      <c r="E321" s="381">
        <f>'Concept-Level Data'!L165</f>
        <v>5</v>
      </c>
    </row>
    <row r="322" spans="2:5" hidden="1" x14ac:dyDescent="0.25">
      <c r="B322" s="251" t="str">
        <f>'Concept-Level Data'!A166</f>
        <v>Respondent 12</v>
      </c>
      <c r="C322" s="793" t="str">
        <f>'Concept-Level Data'!B166</f>
        <v>Imported Water Purchases</v>
      </c>
      <c r="D322" s="794"/>
      <c r="E322" s="381">
        <f>'Concept-Level Data'!L166</f>
        <v>3</v>
      </c>
    </row>
    <row r="323" spans="2:5" hidden="1" x14ac:dyDescent="0.25">
      <c r="B323" s="251" t="str">
        <f>'Concept-Level Data'!A167</f>
        <v>Respondent 12</v>
      </c>
      <c r="C323" s="793" t="str">
        <f>'Concept-Level Data'!B167</f>
        <v>Local Surface Water Reservoirs</v>
      </c>
      <c r="D323" s="794"/>
      <c r="E323" s="381">
        <f>'Concept-Level Data'!L167</f>
        <v>5</v>
      </c>
    </row>
    <row r="324" spans="2:5" hidden="1" x14ac:dyDescent="0.25">
      <c r="B324" s="251" t="str">
        <f>'Concept-Level Data'!A168</f>
        <v>Respondent 12</v>
      </c>
      <c r="C324" s="793" t="str">
        <f>'Concept-Level Data'!B168</f>
        <v>Potable Reuse</v>
      </c>
      <c r="D324" s="794"/>
      <c r="E324" s="381">
        <f>'Concept-Level Data'!L168</f>
        <v>5</v>
      </c>
    </row>
    <row r="325" spans="2:5" hidden="1" x14ac:dyDescent="0.25">
      <c r="B325" s="251" t="str">
        <f>'Concept-Level Data'!A169</f>
        <v>Respondent 12</v>
      </c>
      <c r="C325" s="793" t="str">
        <f>'Concept-Level Data'!B169</f>
        <v>Recycled Water</v>
      </c>
      <c r="D325" s="794"/>
      <c r="E325" s="381">
        <f>'Concept-Level Data'!L169</f>
        <v>5</v>
      </c>
    </row>
    <row r="326" spans="2:5" hidden="1" x14ac:dyDescent="0.25">
      <c r="B326" s="251" t="str">
        <f>'Concept-Level Data'!A170</f>
        <v>Respondent 12</v>
      </c>
      <c r="C326" s="793" t="str">
        <f>'Concept-Level Data'!B170</f>
        <v>Seawater Desalination</v>
      </c>
      <c r="D326" s="794"/>
      <c r="E326" s="381">
        <f>'Concept-Level Data'!L170</f>
        <v>5</v>
      </c>
    </row>
    <row r="327" spans="2:5" hidden="1" x14ac:dyDescent="0.25">
      <c r="B327" s="251" t="str">
        <f>'Concept-Level Data'!A171</f>
        <v>Respondent 12</v>
      </c>
      <c r="C327" s="793" t="str">
        <f>'Concept-Level Data'!B171</f>
        <v>Stormwater BMPs</v>
      </c>
      <c r="D327" s="794"/>
      <c r="E327" s="381">
        <f>'Concept-Level Data'!L171</f>
        <v>3</v>
      </c>
    </row>
    <row r="328" spans="2:5" hidden="1" x14ac:dyDescent="0.25">
      <c r="B328" s="251" t="str">
        <f>'Concept-Level Data'!A172</f>
        <v>Respondent 12</v>
      </c>
      <c r="C328" s="793" t="str">
        <f>'Concept-Level Data'!B172</f>
        <v>Stormwater Capture</v>
      </c>
      <c r="D328" s="794"/>
      <c r="E328" s="381">
        <f>'Concept-Level Data'!L172</f>
        <v>5</v>
      </c>
    </row>
    <row r="329" spans="2:5" hidden="1" x14ac:dyDescent="0.25">
      <c r="B329" s="251" t="str">
        <f>'Concept-Level Data'!A173</f>
        <v>Respondent 12</v>
      </c>
      <c r="C329" s="793" t="str">
        <f>'Concept-Level Data'!B173</f>
        <v>Urban and Agricultural Water Use Efficiency</v>
      </c>
      <c r="D329" s="794"/>
      <c r="E329" s="381">
        <f>'Concept-Level Data'!L173</f>
        <v>3</v>
      </c>
    </row>
    <row r="330" spans="2:5" hidden="1" x14ac:dyDescent="0.25">
      <c r="B330" s="251" t="str">
        <f>'Concept-Level Data'!A174</f>
        <v>Respondent 12</v>
      </c>
      <c r="C330" s="793" t="str">
        <f>'Concept-Level Data'!B174</f>
        <v>Watershed and Ecosystem Management</v>
      </c>
      <c r="D330" s="794"/>
      <c r="E330" s="381">
        <f>'Concept-Level Data'!L174</f>
        <v>3</v>
      </c>
    </row>
    <row r="331" spans="2:5" hidden="1" x14ac:dyDescent="0.25">
      <c r="B331" s="251" t="str">
        <f>'Concept-Level Data'!A175</f>
        <v>Respondent 13</v>
      </c>
      <c r="C331" s="793" t="str">
        <f>'Concept-Level Data'!B175</f>
        <v>Conveyance Improvement</v>
      </c>
      <c r="D331" s="794"/>
      <c r="E331" s="381">
        <f>'Concept-Level Data'!L175</f>
        <v>3</v>
      </c>
    </row>
    <row r="332" spans="2:5" hidden="1" x14ac:dyDescent="0.25">
      <c r="B332" s="251" t="str">
        <f>'Concept-Level Data'!A176</f>
        <v>Respondent 13</v>
      </c>
      <c r="C332" s="793" t="str">
        <f>'Concept-Level Data'!B176</f>
        <v>Drought Restriction/Allocation</v>
      </c>
      <c r="D332" s="794"/>
      <c r="E332" s="381">
        <f>'Concept-Level Data'!L176</f>
        <v>3</v>
      </c>
    </row>
    <row r="333" spans="2:5" hidden="1" x14ac:dyDescent="0.25">
      <c r="B333" s="251" t="str">
        <f>'Concept-Level Data'!A177</f>
        <v>Respondent 13</v>
      </c>
      <c r="C333" s="793" t="str">
        <f>'Concept-Level Data'!B177</f>
        <v>Firm Water Supply Agreements</v>
      </c>
      <c r="D333" s="794"/>
      <c r="E333" s="381">
        <f>'Concept-Level Data'!L177</f>
        <v>2</v>
      </c>
    </row>
    <row r="334" spans="2:5" hidden="1" x14ac:dyDescent="0.25">
      <c r="B334" s="251" t="str">
        <f>'Concept-Level Data'!A178</f>
        <v>Respondent 13</v>
      </c>
      <c r="C334" s="793" t="str">
        <f>'Concept-Level Data'!B178</f>
        <v>Gray Water Use</v>
      </c>
      <c r="D334" s="794"/>
      <c r="E334" s="381">
        <f>'Concept-Level Data'!L178</f>
        <v>3</v>
      </c>
    </row>
    <row r="335" spans="2:5" hidden="1" x14ac:dyDescent="0.25">
      <c r="B335" s="251" t="str">
        <f>'Concept-Level Data'!A179</f>
        <v>Respondent 13</v>
      </c>
      <c r="C335" s="793" t="str">
        <f>'Concept-Level Data'!B179</f>
        <v>Groundwater</v>
      </c>
      <c r="D335" s="794"/>
      <c r="E335" s="381">
        <f>'Concept-Level Data'!L179</f>
        <v>4</v>
      </c>
    </row>
    <row r="336" spans="2:5" hidden="1" x14ac:dyDescent="0.25">
      <c r="B336" s="251" t="str">
        <f>'Concept-Level Data'!A180</f>
        <v>Respondent 13</v>
      </c>
      <c r="C336" s="793" t="str">
        <f>'Concept-Level Data'!B180</f>
        <v>Imported Water Purchases</v>
      </c>
      <c r="D336" s="794"/>
      <c r="E336" s="381">
        <f>'Concept-Level Data'!L180</f>
        <v>1</v>
      </c>
    </row>
    <row r="337" spans="2:5" hidden="1" x14ac:dyDescent="0.25">
      <c r="B337" s="251" t="str">
        <f>'Concept-Level Data'!A181</f>
        <v>Respondent 13</v>
      </c>
      <c r="C337" s="793" t="str">
        <f>'Concept-Level Data'!B181</f>
        <v>Local Surface Water Reservoirs</v>
      </c>
      <c r="D337" s="794"/>
      <c r="E337" s="381">
        <f>'Concept-Level Data'!L181</f>
        <v>4</v>
      </c>
    </row>
    <row r="338" spans="2:5" hidden="1" x14ac:dyDescent="0.25">
      <c r="B338" s="251" t="str">
        <f>'Concept-Level Data'!A182</f>
        <v>Respondent 13</v>
      </c>
      <c r="C338" s="793" t="str">
        <f>'Concept-Level Data'!B182</f>
        <v>Potable Reuse</v>
      </c>
      <c r="D338" s="794"/>
      <c r="E338" s="381">
        <f>'Concept-Level Data'!L182</f>
        <v>5</v>
      </c>
    </row>
    <row r="339" spans="2:5" hidden="1" x14ac:dyDescent="0.25">
      <c r="B339" s="251" t="str">
        <f>'Concept-Level Data'!A183</f>
        <v>Respondent 13</v>
      </c>
      <c r="C339" s="793" t="str">
        <f>'Concept-Level Data'!B183</f>
        <v>Recycled Water</v>
      </c>
      <c r="D339" s="794"/>
      <c r="E339" s="381">
        <f>'Concept-Level Data'!L183</f>
        <v>5</v>
      </c>
    </row>
    <row r="340" spans="2:5" hidden="1" x14ac:dyDescent="0.25">
      <c r="B340" s="251" t="str">
        <f>'Concept-Level Data'!A184</f>
        <v>Respondent 13</v>
      </c>
      <c r="C340" s="793" t="str">
        <f>'Concept-Level Data'!B184</f>
        <v>Seawater Desalination</v>
      </c>
      <c r="D340" s="794"/>
      <c r="E340" s="381">
        <f>'Concept-Level Data'!L184</f>
        <v>5</v>
      </c>
    </row>
    <row r="341" spans="2:5" hidden="1" x14ac:dyDescent="0.25">
      <c r="B341" s="251" t="str">
        <f>'Concept-Level Data'!A185</f>
        <v>Respondent 13</v>
      </c>
      <c r="C341" s="793" t="str">
        <f>'Concept-Level Data'!B185</f>
        <v>Stormwater BMPs</v>
      </c>
      <c r="D341" s="794"/>
      <c r="E341" s="381">
        <f>'Concept-Level Data'!L185</f>
        <v>3</v>
      </c>
    </row>
    <row r="342" spans="2:5" hidden="1" x14ac:dyDescent="0.25">
      <c r="B342" s="251" t="str">
        <f>'Concept-Level Data'!A186</f>
        <v>Respondent 13</v>
      </c>
      <c r="C342" s="793" t="str">
        <f>'Concept-Level Data'!B186</f>
        <v>Stormwater Capture</v>
      </c>
      <c r="D342" s="794"/>
      <c r="E342" s="381">
        <f>'Concept-Level Data'!L186</f>
        <v>5</v>
      </c>
    </row>
    <row r="343" spans="2:5" hidden="1" x14ac:dyDescent="0.25">
      <c r="B343" s="251" t="str">
        <f>'Concept-Level Data'!A187</f>
        <v>Respondent 13</v>
      </c>
      <c r="C343" s="793" t="str">
        <f>'Concept-Level Data'!B187</f>
        <v>Urban and Agricultural Water Use Efficiency</v>
      </c>
      <c r="D343" s="794"/>
      <c r="E343" s="381">
        <f>'Concept-Level Data'!L187</f>
        <v>4</v>
      </c>
    </row>
    <row r="344" spans="2:5" hidden="1" x14ac:dyDescent="0.25">
      <c r="B344" s="251" t="str">
        <f>'Concept-Level Data'!A188</f>
        <v>Respondent 13</v>
      </c>
      <c r="C344" s="793" t="str">
        <f>'Concept-Level Data'!B188</f>
        <v>Watershed and Ecosystem Management</v>
      </c>
      <c r="D344" s="794"/>
      <c r="E344" s="381">
        <f>'Concept-Level Data'!L188</f>
        <v>3</v>
      </c>
    </row>
    <row r="345" spans="2:5" hidden="1" x14ac:dyDescent="0.25">
      <c r="B345" s="251" t="str">
        <f>'Concept-Level Data'!A189</f>
        <v>Respondent 14</v>
      </c>
      <c r="C345" s="793" t="str">
        <f>'Concept-Level Data'!B189</f>
        <v>Conveyance Improvement</v>
      </c>
      <c r="D345" s="794"/>
      <c r="E345" s="381">
        <f>'Concept-Level Data'!L189</f>
        <v>4</v>
      </c>
    </row>
    <row r="346" spans="2:5" hidden="1" x14ac:dyDescent="0.25">
      <c r="B346" s="251" t="str">
        <f>'Concept-Level Data'!A190</f>
        <v>Respondent 14</v>
      </c>
      <c r="C346" s="793" t="str">
        <f>'Concept-Level Data'!B190</f>
        <v>Drought Restriction/Allocation</v>
      </c>
      <c r="D346" s="794"/>
      <c r="E346" s="381">
        <f>'Concept-Level Data'!L190</f>
        <v>5</v>
      </c>
    </row>
    <row r="347" spans="2:5" hidden="1" x14ac:dyDescent="0.25">
      <c r="B347" s="251" t="str">
        <f>'Concept-Level Data'!A191</f>
        <v>Respondent 14</v>
      </c>
      <c r="C347" s="793" t="str">
        <f>'Concept-Level Data'!B191</f>
        <v>Firm Water Supply Agreements</v>
      </c>
      <c r="D347" s="794"/>
      <c r="E347" s="381">
        <f>'Concept-Level Data'!L191</f>
        <v>3</v>
      </c>
    </row>
    <row r="348" spans="2:5" hidden="1" x14ac:dyDescent="0.25">
      <c r="B348" s="251" t="str">
        <f>'Concept-Level Data'!A192</f>
        <v>Respondent 14</v>
      </c>
      <c r="C348" s="793" t="str">
        <f>'Concept-Level Data'!B192</f>
        <v>Gray Water Use</v>
      </c>
      <c r="D348" s="794"/>
      <c r="E348" s="381">
        <f>'Concept-Level Data'!L192</f>
        <v>4</v>
      </c>
    </row>
    <row r="349" spans="2:5" hidden="1" x14ac:dyDescent="0.25">
      <c r="B349" s="251" t="str">
        <f>'Concept-Level Data'!A193</f>
        <v>Respondent 14</v>
      </c>
      <c r="C349" s="793" t="str">
        <f>'Concept-Level Data'!B193</f>
        <v>Groundwater</v>
      </c>
      <c r="D349" s="794"/>
      <c r="E349" s="381">
        <f>'Concept-Level Data'!L193</f>
        <v>5</v>
      </c>
    </row>
    <row r="350" spans="2:5" hidden="1" x14ac:dyDescent="0.25">
      <c r="B350" s="251" t="str">
        <f>'Concept-Level Data'!A194</f>
        <v>Respondent 14</v>
      </c>
      <c r="C350" s="793" t="str">
        <f>'Concept-Level Data'!B194</f>
        <v>Imported Water Purchases</v>
      </c>
      <c r="D350" s="794"/>
      <c r="E350" s="381">
        <f>'Concept-Level Data'!L194</f>
        <v>3</v>
      </c>
    </row>
    <row r="351" spans="2:5" hidden="1" x14ac:dyDescent="0.25">
      <c r="B351" s="251" t="str">
        <f>'Concept-Level Data'!A195</f>
        <v>Respondent 14</v>
      </c>
      <c r="C351" s="793" t="str">
        <f>'Concept-Level Data'!B195</f>
        <v>Local Surface Water Reservoirs</v>
      </c>
      <c r="D351" s="794"/>
      <c r="E351" s="381">
        <f>'Concept-Level Data'!L195</f>
        <v>5</v>
      </c>
    </row>
    <row r="352" spans="2:5" hidden="1" x14ac:dyDescent="0.25">
      <c r="B352" s="251" t="str">
        <f>'Concept-Level Data'!A196</f>
        <v>Respondent 14</v>
      </c>
      <c r="C352" s="793" t="str">
        <f>'Concept-Level Data'!B196</f>
        <v>Potable Reuse</v>
      </c>
      <c r="D352" s="794"/>
      <c r="E352" s="381">
        <f>'Concept-Level Data'!L196</f>
        <v>5</v>
      </c>
    </row>
    <row r="353" spans="2:5" hidden="1" x14ac:dyDescent="0.25">
      <c r="B353" s="251" t="str">
        <f>'Concept-Level Data'!A197</f>
        <v>Respondent 14</v>
      </c>
      <c r="C353" s="793" t="str">
        <f>'Concept-Level Data'!B197</f>
        <v>Recycled Water</v>
      </c>
      <c r="D353" s="794"/>
      <c r="E353" s="381">
        <f>'Concept-Level Data'!L197</f>
        <v>5</v>
      </c>
    </row>
    <row r="354" spans="2:5" hidden="1" x14ac:dyDescent="0.25">
      <c r="B354" s="251" t="str">
        <f>'Concept-Level Data'!A198</f>
        <v>Respondent 14</v>
      </c>
      <c r="C354" s="793" t="str">
        <f>'Concept-Level Data'!B198</f>
        <v>Seawater Desalination</v>
      </c>
      <c r="D354" s="794"/>
      <c r="E354" s="381">
        <f>'Concept-Level Data'!L198</f>
        <v>5</v>
      </c>
    </row>
    <row r="355" spans="2:5" hidden="1" x14ac:dyDescent="0.25">
      <c r="B355" s="251" t="str">
        <f>'Concept-Level Data'!A199</f>
        <v>Respondent 14</v>
      </c>
      <c r="C355" s="793" t="str">
        <f>'Concept-Level Data'!B199</f>
        <v>Stormwater BMPs</v>
      </c>
      <c r="D355" s="794"/>
      <c r="E355" s="381">
        <f>'Concept-Level Data'!L199</f>
        <v>4</v>
      </c>
    </row>
    <row r="356" spans="2:5" hidden="1" x14ac:dyDescent="0.25">
      <c r="B356" s="251" t="str">
        <f>'Concept-Level Data'!A200</f>
        <v>Respondent 14</v>
      </c>
      <c r="C356" s="793" t="str">
        <f>'Concept-Level Data'!B200</f>
        <v>Stormwater Capture</v>
      </c>
      <c r="D356" s="794"/>
      <c r="E356" s="381">
        <f>'Concept-Level Data'!L200</f>
        <v>5</v>
      </c>
    </row>
    <row r="357" spans="2:5" hidden="1" x14ac:dyDescent="0.25">
      <c r="B357" s="251" t="str">
        <f>'Concept-Level Data'!A201</f>
        <v>Respondent 14</v>
      </c>
      <c r="C357" s="793" t="str">
        <f>'Concept-Level Data'!B201</f>
        <v>Urban and Agricultural Water Use Efficiency</v>
      </c>
      <c r="D357" s="794"/>
      <c r="E357" s="381">
        <f>'Concept-Level Data'!L201</f>
        <v>4</v>
      </c>
    </row>
    <row r="358" spans="2:5" hidden="1" x14ac:dyDescent="0.25">
      <c r="B358" s="251" t="str">
        <f>'Concept-Level Data'!A202</f>
        <v>Respondent 14</v>
      </c>
      <c r="C358" s="793" t="str">
        <f>'Concept-Level Data'!B202</f>
        <v>Watershed and Ecosystem Management</v>
      </c>
      <c r="D358" s="794"/>
      <c r="E358" s="381">
        <f>'Concept-Level Data'!L202</f>
        <v>4</v>
      </c>
    </row>
    <row r="359" spans="2:5" hidden="1" x14ac:dyDescent="0.25">
      <c r="B359" s="251" t="str">
        <f>'Concept-Level Data'!A203</f>
        <v>Respondent 15</v>
      </c>
      <c r="C359" s="793" t="str">
        <f>'Concept-Level Data'!B203</f>
        <v>Conveyance Improvement</v>
      </c>
      <c r="D359" s="794"/>
      <c r="E359" s="381">
        <f>'Concept-Level Data'!L203</f>
        <v>5</v>
      </c>
    </row>
    <row r="360" spans="2:5" hidden="1" x14ac:dyDescent="0.25">
      <c r="B360" s="251" t="str">
        <f>'Concept-Level Data'!A204</f>
        <v>Respondent 15</v>
      </c>
      <c r="C360" s="793" t="str">
        <f>'Concept-Level Data'!B204</f>
        <v>Drought Restriction/Allocation</v>
      </c>
      <c r="D360" s="794"/>
      <c r="E360" s="381">
        <f>'Concept-Level Data'!L204</f>
        <v>3</v>
      </c>
    </row>
    <row r="361" spans="2:5" hidden="1" x14ac:dyDescent="0.25">
      <c r="B361" s="251" t="str">
        <f>'Concept-Level Data'!A205</f>
        <v>Respondent 15</v>
      </c>
      <c r="C361" s="793" t="str">
        <f>'Concept-Level Data'!B205</f>
        <v>Firm Water Supply Agreements</v>
      </c>
      <c r="D361" s="794"/>
      <c r="E361" s="381">
        <f>'Concept-Level Data'!L205</f>
        <v>1</v>
      </c>
    </row>
    <row r="362" spans="2:5" hidden="1" x14ac:dyDescent="0.25">
      <c r="B362" s="251" t="str">
        <f>'Concept-Level Data'!A206</f>
        <v>Respondent 15</v>
      </c>
      <c r="C362" s="793" t="str">
        <f>'Concept-Level Data'!B206</f>
        <v>Gray Water Use</v>
      </c>
      <c r="D362" s="794"/>
      <c r="E362" s="381">
        <f>'Concept-Level Data'!L206</f>
        <v>5</v>
      </c>
    </row>
    <row r="363" spans="2:5" hidden="1" x14ac:dyDescent="0.25">
      <c r="B363" s="251" t="str">
        <f>'Concept-Level Data'!A207</f>
        <v>Respondent 15</v>
      </c>
      <c r="C363" s="793" t="str">
        <f>'Concept-Level Data'!B207</f>
        <v>Groundwater</v>
      </c>
      <c r="D363" s="794"/>
      <c r="E363" s="381">
        <f>'Concept-Level Data'!L207</f>
        <v>5</v>
      </c>
    </row>
    <row r="364" spans="2:5" hidden="1" x14ac:dyDescent="0.25">
      <c r="B364" s="251" t="str">
        <f>'Concept-Level Data'!A208</f>
        <v>Respondent 15</v>
      </c>
      <c r="C364" s="793" t="str">
        <f>'Concept-Level Data'!B208</f>
        <v>Imported Water Purchases</v>
      </c>
      <c r="D364" s="794"/>
      <c r="E364" s="381">
        <f>'Concept-Level Data'!L208</f>
        <v>1</v>
      </c>
    </row>
    <row r="365" spans="2:5" hidden="1" x14ac:dyDescent="0.25">
      <c r="B365" s="251" t="str">
        <f>'Concept-Level Data'!A209</f>
        <v>Respondent 15</v>
      </c>
      <c r="C365" s="793" t="str">
        <f>'Concept-Level Data'!B209</f>
        <v>Local Surface Water Reservoirs</v>
      </c>
      <c r="D365" s="794"/>
      <c r="E365" s="381">
        <f>'Concept-Level Data'!L209</f>
        <v>5</v>
      </c>
    </row>
    <row r="366" spans="2:5" hidden="1" x14ac:dyDescent="0.25">
      <c r="B366" s="251" t="str">
        <f>'Concept-Level Data'!A210</f>
        <v>Respondent 15</v>
      </c>
      <c r="C366" s="793" t="str">
        <f>'Concept-Level Data'!B210</f>
        <v>Potable Reuse</v>
      </c>
      <c r="D366" s="794"/>
      <c r="E366" s="381">
        <f>'Concept-Level Data'!L210</f>
        <v>5</v>
      </c>
    </row>
    <row r="367" spans="2:5" hidden="1" x14ac:dyDescent="0.25">
      <c r="B367" s="251" t="str">
        <f>'Concept-Level Data'!A211</f>
        <v>Respondent 15</v>
      </c>
      <c r="C367" s="793" t="str">
        <f>'Concept-Level Data'!B211</f>
        <v>Recycled Water</v>
      </c>
      <c r="D367" s="794"/>
      <c r="E367" s="381">
        <f>'Concept-Level Data'!L211</f>
        <v>5</v>
      </c>
    </row>
    <row r="368" spans="2:5" hidden="1" x14ac:dyDescent="0.25">
      <c r="B368" s="251" t="str">
        <f>'Concept-Level Data'!A212</f>
        <v>Respondent 15</v>
      </c>
      <c r="C368" s="793" t="str">
        <f>'Concept-Level Data'!B212</f>
        <v>Seawater Desalination</v>
      </c>
      <c r="D368" s="794"/>
      <c r="E368" s="381">
        <f>'Concept-Level Data'!L212</f>
        <v>5</v>
      </c>
    </row>
    <row r="369" spans="2:5" hidden="1" x14ac:dyDescent="0.25">
      <c r="B369" s="251" t="str">
        <f>'Concept-Level Data'!A213</f>
        <v>Respondent 15</v>
      </c>
      <c r="C369" s="793" t="str">
        <f>'Concept-Level Data'!B213</f>
        <v>Stormwater BMPs</v>
      </c>
      <c r="D369" s="794"/>
      <c r="E369" s="381">
        <f>'Concept-Level Data'!L213</f>
        <v>4</v>
      </c>
    </row>
    <row r="370" spans="2:5" hidden="1" x14ac:dyDescent="0.25">
      <c r="B370" s="251" t="str">
        <f>'Concept-Level Data'!A214</f>
        <v>Respondent 15</v>
      </c>
      <c r="C370" s="793" t="str">
        <f>'Concept-Level Data'!B214</f>
        <v>Stormwater Capture</v>
      </c>
      <c r="D370" s="794"/>
      <c r="E370" s="381">
        <f>'Concept-Level Data'!L214</f>
        <v>5</v>
      </c>
    </row>
    <row r="371" spans="2:5" hidden="1" x14ac:dyDescent="0.25">
      <c r="B371" s="251" t="str">
        <f>'Concept-Level Data'!A215</f>
        <v>Respondent 15</v>
      </c>
      <c r="C371" s="793" t="str">
        <f>'Concept-Level Data'!B215</f>
        <v>Urban and Agricultural Water Use Efficiency</v>
      </c>
      <c r="D371" s="794"/>
      <c r="E371" s="381">
        <f>'Concept-Level Data'!L215</f>
        <v>5</v>
      </c>
    </row>
    <row r="372" spans="2:5" hidden="1" x14ac:dyDescent="0.25">
      <c r="B372" s="251" t="str">
        <f>'Concept-Level Data'!A216</f>
        <v>Respondent 15</v>
      </c>
      <c r="C372" s="793" t="str">
        <f>'Concept-Level Data'!B216</f>
        <v>Watershed and Ecosystem Management</v>
      </c>
      <c r="D372" s="794"/>
      <c r="E372" s="381">
        <f>'Concept-Level Data'!L216</f>
        <v>4</v>
      </c>
    </row>
    <row r="373" spans="2:5" hidden="1" x14ac:dyDescent="0.25">
      <c r="B373" s="251" t="str">
        <f>'Concept-Level Data'!A217</f>
        <v>Respondent 16</v>
      </c>
      <c r="C373" s="793" t="str">
        <f>'Concept-Level Data'!B217</f>
        <v>Conveyance Improvement</v>
      </c>
      <c r="D373" s="794"/>
      <c r="E373" s="381">
        <f>'Concept-Level Data'!L217</f>
        <v>3</v>
      </c>
    </row>
    <row r="374" spans="2:5" hidden="1" x14ac:dyDescent="0.25">
      <c r="B374" s="251" t="str">
        <f>'Concept-Level Data'!A218</f>
        <v>Respondent 16</v>
      </c>
      <c r="C374" s="793" t="str">
        <f>'Concept-Level Data'!B218</f>
        <v>Drought Restriction/Allocation</v>
      </c>
      <c r="D374" s="794"/>
      <c r="E374" s="381">
        <f>'Concept-Level Data'!L218</f>
        <v>3</v>
      </c>
    </row>
    <row r="375" spans="2:5" hidden="1" x14ac:dyDescent="0.25">
      <c r="B375" s="251" t="str">
        <f>'Concept-Level Data'!A219</f>
        <v>Respondent 16</v>
      </c>
      <c r="C375" s="793" t="str">
        <f>'Concept-Level Data'!B219</f>
        <v>Firm Water Supply Agreements</v>
      </c>
      <c r="D375" s="794"/>
      <c r="E375" s="381">
        <f>'Concept-Level Data'!L219</f>
        <v>3</v>
      </c>
    </row>
    <row r="376" spans="2:5" hidden="1" x14ac:dyDescent="0.25">
      <c r="B376" s="251" t="str">
        <f>'Concept-Level Data'!A220</f>
        <v>Respondent 16</v>
      </c>
      <c r="C376" s="793" t="str">
        <f>'Concept-Level Data'!B220</f>
        <v>Gray Water Use</v>
      </c>
      <c r="D376" s="794"/>
      <c r="E376" s="381">
        <f>'Concept-Level Data'!L220</f>
        <v>5</v>
      </c>
    </row>
    <row r="377" spans="2:5" hidden="1" x14ac:dyDescent="0.25">
      <c r="B377" s="251" t="str">
        <f>'Concept-Level Data'!A221</f>
        <v>Respondent 16</v>
      </c>
      <c r="C377" s="793" t="str">
        <f>'Concept-Level Data'!B221</f>
        <v>Groundwater</v>
      </c>
      <c r="D377" s="794"/>
      <c r="E377" s="381">
        <f>'Concept-Level Data'!L221</f>
        <v>5</v>
      </c>
    </row>
    <row r="378" spans="2:5" hidden="1" x14ac:dyDescent="0.25">
      <c r="B378" s="251" t="str">
        <f>'Concept-Level Data'!A222</f>
        <v>Respondent 16</v>
      </c>
      <c r="C378" s="793" t="str">
        <f>'Concept-Level Data'!B222</f>
        <v>Imported Water Purchases</v>
      </c>
      <c r="D378" s="794"/>
      <c r="E378" s="381">
        <f>'Concept-Level Data'!L222</f>
        <v>1</v>
      </c>
    </row>
    <row r="379" spans="2:5" hidden="1" x14ac:dyDescent="0.25">
      <c r="B379" s="251" t="str">
        <f>'Concept-Level Data'!A223</f>
        <v>Respondent 16</v>
      </c>
      <c r="C379" s="793" t="str">
        <f>'Concept-Level Data'!B223</f>
        <v>Local Surface Water Reservoirs</v>
      </c>
      <c r="D379" s="794"/>
      <c r="E379" s="381">
        <f>'Concept-Level Data'!L223</f>
        <v>5</v>
      </c>
    </row>
    <row r="380" spans="2:5" hidden="1" x14ac:dyDescent="0.25">
      <c r="B380" s="251" t="str">
        <f>'Concept-Level Data'!A224</f>
        <v>Respondent 16</v>
      </c>
      <c r="C380" s="793" t="str">
        <f>'Concept-Level Data'!B224</f>
        <v>Potable Reuse</v>
      </c>
      <c r="D380" s="794"/>
      <c r="E380" s="381">
        <f>'Concept-Level Data'!L224</f>
        <v>5</v>
      </c>
    </row>
    <row r="381" spans="2:5" hidden="1" x14ac:dyDescent="0.25">
      <c r="B381" s="251" t="str">
        <f>'Concept-Level Data'!A225</f>
        <v>Respondent 16</v>
      </c>
      <c r="C381" s="793" t="str">
        <f>'Concept-Level Data'!B225</f>
        <v>Recycled Water</v>
      </c>
      <c r="D381" s="794"/>
      <c r="E381" s="381">
        <f>'Concept-Level Data'!L225</f>
        <v>5</v>
      </c>
    </row>
    <row r="382" spans="2:5" hidden="1" x14ac:dyDescent="0.25">
      <c r="B382" s="251" t="str">
        <f>'Concept-Level Data'!A226</f>
        <v>Respondent 16</v>
      </c>
      <c r="C382" s="793" t="str">
        <f>'Concept-Level Data'!B226</f>
        <v>Seawater Desalination</v>
      </c>
      <c r="D382" s="794"/>
      <c r="E382" s="381">
        <f>'Concept-Level Data'!L226</f>
        <v>5</v>
      </c>
    </row>
    <row r="383" spans="2:5" hidden="1" x14ac:dyDescent="0.25">
      <c r="B383" s="251" t="str">
        <f>'Concept-Level Data'!A227</f>
        <v>Respondent 16</v>
      </c>
      <c r="C383" s="793" t="str">
        <f>'Concept-Level Data'!B227</f>
        <v>Stormwater BMPs</v>
      </c>
      <c r="D383" s="794"/>
      <c r="E383" s="381">
        <f>'Concept-Level Data'!L227</f>
        <v>3</v>
      </c>
    </row>
    <row r="384" spans="2:5" hidden="1" x14ac:dyDescent="0.25">
      <c r="B384" s="251" t="str">
        <f>'Concept-Level Data'!A228</f>
        <v>Respondent 16</v>
      </c>
      <c r="C384" s="793" t="str">
        <f>'Concept-Level Data'!B228</f>
        <v>Stormwater Capture</v>
      </c>
      <c r="D384" s="794"/>
      <c r="E384" s="381">
        <f>'Concept-Level Data'!L228</f>
        <v>3</v>
      </c>
    </row>
    <row r="385" spans="2:5" hidden="1" x14ac:dyDescent="0.25">
      <c r="B385" s="251" t="str">
        <f>'Concept-Level Data'!A229</f>
        <v>Respondent 16</v>
      </c>
      <c r="C385" s="793" t="str">
        <f>'Concept-Level Data'!B229</f>
        <v>Urban and Agricultural Water Use Efficiency</v>
      </c>
      <c r="D385" s="794"/>
      <c r="E385" s="381">
        <f>'Concept-Level Data'!L229</f>
        <v>3</v>
      </c>
    </row>
    <row r="386" spans="2:5" ht="15.75" hidden="1" thickBot="1" x14ac:dyDescent="0.3">
      <c r="B386" s="252" t="str">
        <f>'Concept-Level Data'!A230</f>
        <v>Respondent 16</v>
      </c>
      <c r="C386" s="791" t="str">
        <f>'Concept-Level Data'!B230</f>
        <v>Watershed and Ecosystem Management</v>
      </c>
      <c r="D386" s="792"/>
      <c r="E386" s="381">
        <f>'Concept-Level Data'!L230</f>
        <v>4</v>
      </c>
    </row>
    <row r="387" spans="2:5" hidden="1" x14ac:dyDescent="0.25">
      <c r="B387" s="548"/>
      <c r="C387" s="515" t="s">
        <v>855</v>
      </c>
      <c r="D387" s="515"/>
      <c r="E387" s="398">
        <f>COUNTIFS(E163:E386, "=MISSING")</f>
        <v>0</v>
      </c>
    </row>
    <row r="388" spans="2:5" hidden="1" x14ac:dyDescent="0.25">
      <c r="B388" s="549"/>
      <c r="C388" s="516" t="s">
        <v>856</v>
      </c>
      <c r="D388" s="516"/>
      <c r="E388" s="381">
        <f>COUNTIFS(E163:E386, "=No Response")</f>
        <v>0</v>
      </c>
    </row>
    <row r="389" spans="2:5" hidden="1" x14ac:dyDescent="0.25">
      <c r="B389" s="549"/>
      <c r="C389" s="516" t="s">
        <v>858</v>
      </c>
      <c r="D389" s="516"/>
      <c r="E389" s="381">
        <f>COUNTIFS(E163:E386, "=REMOVED")</f>
        <v>0</v>
      </c>
    </row>
    <row r="390" spans="2:5" ht="15.75" hidden="1" thickBot="1" x14ac:dyDescent="0.3">
      <c r="B390" s="550"/>
      <c r="C390" s="517" t="s">
        <v>859</v>
      </c>
      <c r="D390" s="517"/>
      <c r="E390" s="385">
        <f>COUNTIFS(E163:E386, "&gt;0")</f>
        <v>224</v>
      </c>
    </row>
  </sheetData>
  <sheetProtection algorithmName="SHA-512" hashValue="ny+AKYOEGsgfv9bMNZBomxs1LWHeZt5GQOd1uhS0Yms6PXuuQmYjA8lO38wzAibkLa6mIlKIHpaqkAFuFgxlUg==" saltValue="7Z0kLbtkYbWjFvJ2N7aqvw==" spinCount="100000" sheet="1" objects="1" scenarios="1"/>
  <autoFilter ref="B35:E155" xr:uid="{3362A274-AD28-448D-9FCD-8B9994556697}">
    <sortState ref="B36:E155">
      <sortCondition ref="C35:C155"/>
    </sortState>
  </autoFilter>
  <mergeCells count="226">
    <mergeCell ref="C163:D163"/>
    <mergeCell ref="C164:D164"/>
    <mergeCell ref="C165:D165"/>
    <mergeCell ref="B3:H3"/>
    <mergeCell ref="C162:D162"/>
    <mergeCell ref="C171:D171"/>
    <mergeCell ref="C172:D172"/>
    <mergeCell ref="C173:D173"/>
    <mergeCell ref="C174:D174"/>
    <mergeCell ref="C175:D175"/>
    <mergeCell ref="C166:D166"/>
    <mergeCell ref="C167:D167"/>
    <mergeCell ref="C168:D168"/>
    <mergeCell ref="C169:D169"/>
    <mergeCell ref="C170:D170"/>
    <mergeCell ref="C181:D181"/>
    <mergeCell ref="C182:D182"/>
    <mergeCell ref="C183:D183"/>
    <mergeCell ref="C184:D184"/>
    <mergeCell ref="C185:D185"/>
    <mergeCell ref="C176:D176"/>
    <mergeCell ref="C177:D177"/>
    <mergeCell ref="C178:D178"/>
    <mergeCell ref="C179:D179"/>
    <mergeCell ref="C180:D180"/>
    <mergeCell ref="C191:D191"/>
    <mergeCell ref="C192:D192"/>
    <mergeCell ref="C193:D193"/>
    <mergeCell ref="C194:D194"/>
    <mergeCell ref="C195:D195"/>
    <mergeCell ref="C186:D186"/>
    <mergeCell ref="C187:D187"/>
    <mergeCell ref="C188:D188"/>
    <mergeCell ref="C189:D189"/>
    <mergeCell ref="C190:D190"/>
    <mergeCell ref="C201:D201"/>
    <mergeCell ref="C202:D202"/>
    <mergeCell ref="C203:D203"/>
    <mergeCell ref="C204:D204"/>
    <mergeCell ref="C205:D205"/>
    <mergeCell ref="C196:D196"/>
    <mergeCell ref="C197:D197"/>
    <mergeCell ref="C198:D198"/>
    <mergeCell ref="C199:D199"/>
    <mergeCell ref="C200:D200"/>
    <mergeCell ref="C211:D211"/>
    <mergeCell ref="C212:D212"/>
    <mergeCell ref="C213:D213"/>
    <mergeCell ref="C214:D214"/>
    <mergeCell ref="C215:D215"/>
    <mergeCell ref="C206:D206"/>
    <mergeCell ref="C207:D207"/>
    <mergeCell ref="C208:D208"/>
    <mergeCell ref="C209:D209"/>
    <mergeCell ref="C210:D210"/>
    <mergeCell ref="C221:D221"/>
    <mergeCell ref="C222:D222"/>
    <mergeCell ref="C223:D223"/>
    <mergeCell ref="C224:D224"/>
    <mergeCell ref="C225:D225"/>
    <mergeCell ref="C216:D216"/>
    <mergeCell ref="C217:D217"/>
    <mergeCell ref="C218:D218"/>
    <mergeCell ref="C219:D219"/>
    <mergeCell ref="C220:D220"/>
    <mergeCell ref="C231:D231"/>
    <mergeCell ref="C232:D232"/>
    <mergeCell ref="C233:D233"/>
    <mergeCell ref="C234:D234"/>
    <mergeCell ref="C235:D235"/>
    <mergeCell ref="C226:D226"/>
    <mergeCell ref="C227:D227"/>
    <mergeCell ref="C228:D228"/>
    <mergeCell ref="C229:D229"/>
    <mergeCell ref="C230:D230"/>
    <mergeCell ref="C241:D241"/>
    <mergeCell ref="C242:D242"/>
    <mergeCell ref="C243:D243"/>
    <mergeCell ref="C244:D244"/>
    <mergeCell ref="C245:D245"/>
    <mergeCell ref="C236:D236"/>
    <mergeCell ref="C237:D237"/>
    <mergeCell ref="C238:D238"/>
    <mergeCell ref="C239:D239"/>
    <mergeCell ref="C240:D240"/>
    <mergeCell ref="C251:D251"/>
    <mergeCell ref="C252:D252"/>
    <mergeCell ref="C253:D253"/>
    <mergeCell ref="C254:D254"/>
    <mergeCell ref="C255:D255"/>
    <mergeCell ref="C246:D246"/>
    <mergeCell ref="C247:D247"/>
    <mergeCell ref="C248:D248"/>
    <mergeCell ref="C249:D249"/>
    <mergeCell ref="C250:D250"/>
    <mergeCell ref="C261:D261"/>
    <mergeCell ref="C262:D262"/>
    <mergeCell ref="C263:D263"/>
    <mergeCell ref="C264:D264"/>
    <mergeCell ref="C265:D265"/>
    <mergeCell ref="C256:D256"/>
    <mergeCell ref="C257:D257"/>
    <mergeCell ref="C258:D258"/>
    <mergeCell ref="C259:D259"/>
    <mergeCell ref="C260:D260"/>
    <mergeCell ref="C271:D271"/>
    <mergeCell ref="C272:D272"/>
    <mergeCell ref="C273:D273"/>
    <mergeCell ref="C274:D274"/>
    <mergeCell ref="C275:D275"/>
    <mergeCell ref="C266:D266"/>
    <mergeCell ref="C267:D267"/>
    <mergeCell ref="C268:D268"/>
    <mergeCell ref="C269:D269"/>
    <mergeCell ref="C270:D270"/>
    <mergeCell ref="C281:D281"/>
    <mergeCell ref="C282:D282"/>
    <mergeCell ref="C283:D283"/>
    <mergeCell ref="C284:D284"/>
    <mergeCell ref="C285:D285"/>
    <mergeCell ref="C276:D276"/>
    <mergeCell ref="C277:D277"/>
    <mergeCell ref="C278:D278"/>
    <mergeCell ref="C279:D279"/>
    <mergeCell ref="C280:D280"/>
    <mergeCell ref="C291:D291"/>
    <mergeCell ref="C292:D292"/>
    <mergeCell ref="C293:D293"/>
    <mergeCell ref="C294:D294"/>
    <mergeCell ref="C295:D295"/>
    <mergeCell ref="C286:D286"/>
    <mergeCell ref="C287:D287"/>
    <mergeCell ref="C288:D288"/>
    <mergeCell ref="C289:D289"/>
    <mergeCell ref="C290:D290"/>
    <mergeCell ref="C301:D301"/>
    <mergeCell ref="C302:D302"/>
    <mergeCell ref="C303:D303"/>
    <mergeCell ref="C304:D304"/>
    <mergeCell ref="C305:D305"/>
    <mergeCell ref="C296:D296"/>
    <mergeCell ref="C297:D297"/>
    <mergeCell ref="C298:D298"/>
    <mergeCell ref="C299:D299"/>
    <mergeCell ref="C300:D300"/>
    <mergeCell ref="C311:D311"/>
    <mergeCell ref="C312:D312"/>
    <mergeCell ref="C313:D313"/>
    <mergeCell ref="C314:D314"/>
    <mergeCell ref="C315:D315"/>
    <mergeCell ref="C306:D306"/>
    <mergeCell ref="C307:D307"/>
    <mergeCell ref="C308:D308"/>
    <mergeCell ref="C309:D309"/>
    <mergeCell ref="C310:D310"/>
    <mergeCell ref="C321:D321"/>
    <mergeCell ref="C322:D322"/>
    <mergeCell ref="C323:D323"/>
    <mergeCell ref="C324:D324"/>
    <mergeCell ref="C325:D325"/>
    <mergeCell ref="C316:D316"/>
    <mergeCell ref="C317:D317"/>
    <mergeCell ref="C318:D318"/>
    <mergeCell ref="C319:D319"/>
    <mergeCell ref="C320:D320"/>
    <mergeCell ref="C331:D331"/>
    <mergeCell ref="C332:D332"/>
    <mergeCell ref="C333:D333"/>
    <mergeCell ref="C334:D334"/>
    <mergeCell ref="C335:D335"/>
    <mergeCell ref="C326:D326"/>
    <mergeCell ref="C327:D327"/>
    <mergeCell ref="C328:D328"/>
    <mergeCell ref="C329:D329"/>
    <mergeCell ref="C330:D330"/>
    <mergeCell ref="C341:D341"/>
    <mergeCell ref="C342:D342"/>
    <mergeCell ref="C343:D343"/>
    <mergeCell ref="C344:D344"/>
    <mergeCell ref="C345:D345"/>
    <mergeCell ref="C336:D336"/>
    <mergeCell ref="C337:D337"/>
    <mergeCell ref="C338:D338"/>
    <mergeCell ref="C339:D339"/>
    <mergeCell ref="C340:D340"/>
    <mergeCell ref="C351:D351"/>
    <mergeCell ref="C352:D352"/>
    <mergeCell ref="C353:D353"/>
    <mergeCell ref="C354:D354"/>
    <mergeCell ref="C355:D355"/>
    <mergeCell ref="C346:D346"/>
    <mergeCell ref="C347:D347"/>
    <mergeCell ref="C348:D348"/>
    <mergeCell ref="C349:D349"/>
    <mergeCell ref="C350:D350"/>
    <mergeCell ref="C361:D361"/>
    <mergeCell ref="C362:D362"/>
    <mergeCell ref="C363:D363"/>
    <mergeCell ref="C364:D364"/>
    <mergeCell ref="C365:D365"/>
    <mergeCell ref="C356:D356"/>
    <mergeCell ref="C357:D357"/>
    <mergeCell ref="C358:D358"/>
    <mergeCell ref="C359:D359"/>
    <mergeCell ref="C360:D360"/>
    <mergeCell ref="C371:D371"/>
    <mergeCell ref="C372:D372"/>
    <mergeCell ref="C373:D373"/>
    <mergeCell ref="C374:D374"/>
    <mergeCell ref="C375:D375"/>
    <mergeCell ref="C366:D366"/>
    <mergeCell ref="C367:D367"/>
    <mergeCell ref="C368:D368"/>
    <mergeCell ref="C369:D369"/>
    <mergeCell ref="C370:D370"/>
    <mergeCell ref="C386:D386"/>
    <mergeCell ref="C381:D381"/>
    <mergeCell ref="C382:D382"/>
    <mergeCell ref="C383:D383"/>
    <mergeCell ref="C384:D384"/>
    <mergeCell ref="C385:D385"/>
    <mergeCell ref="C376:D376"/>
    <mergeCell ref="C377:D377"/>
    <mergeCell ref="C378:D378"/>
    <mergeCell ref="C379:D379"/>
    <mergeCell ref="C380:D380"/>
  </mergeCells>
  <pageMargins left="0.7" right="0.7" top="0.75" bottom="0.75" header="0.3" footer="0.3"/>
  <pageSetup paperSize="3" scale="64"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'Data Validation Sheet'!$B$3:$B$4</xm:f>
          </x14:formula1>
          <xm:sqref>H8:H19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8"/>
    <pageSetUpPr fitToPage="1"/>
  </sheetPr>
  <dimension ref="A1:M390"/>
  <sheetViews>
    <sheetView showGridLines="0" zoomScale="80" zoomScaleNormal="80" workbookViewId="0">
      <selection activeCell="F25" sqref="F1:P1048576"/>
    </sheetView>
  </sheetViews>
  <sheetFormatPr defaultRowHeight="15" x14ac:dyDescent="0.25"/>
  <cols>
    <col min="1" max="1" width="5.7109375" customWidth="1"/>
    <col min="2" max="2" width="45.7109375" customWidth="1"/>
    <col min="3" max="7" width="20.7109375" customWidth="1"/>
    <col min="8" max="8" width="20.7109375" hidden="1" customWidth="1"/>
    <col min="9" max="10" width="20.7109375" customWidth="1"/>
    <col min="12" max="12" width="2.5703125" style="49" customWidth="1"/>
    <col min="13" max="13" width="5.7109375" customWidth="1"/>
  </cols>
  <sheetData>
    <row r="1" spans="1:13" s="96" customFormat="1" ht="15.75" x14ac:dyDescent="0.25">
      <c r="A1" s="56" t="s">
        <v>243</v>
      </c>
    </row>
    <row r="2" spans="1:13" s="96" customFormat="1" ht="26.25" x14ac:dyDescent="0.4">
      <c r="A2" s="112" t="s">
        <v>102</v>
      </c>
    </row>
    <row r="3" spans="1:13" s="49" customFormat="1" ht="14.25" customHeight="1" x14ac:dyDescent="0.5">
      <c r="B3" s="797"/>
      <c r="C3" s="797"/>
      <c r="D3" s="797"/>
      <c r="E3" s="797"/>
      <c r="F3" s="797"/>
      <c r="G3" s="797"/>
      <c r="H3" s="48"/>
      <c r="I3" s="48"/>
      <c r="J3" s="295"/>
    </row>
    <row r="4" spans="1:13" s="10" customFormat="1" ht="18" customHeight="1" x14ac:dyDescent="0.3">
      <c r="A4" s="47" t="s">
        <v>119</v>
      </c>
      <c r="C4" s="4"/>
      <c r="D4" s="46"/>
      <c r="E4" s="46"/>
      <c r="F4" s="46"/>
      <c r="G4" s="46"/>
      <c r="H4" s="46"/>
      <c r="I4" s="46"/>
      <c r="J4" s="46"/>
      <c r="L4" s="50"/>
      <c r="M4" s="45" t="s">
        <v>120</v>
      </c>
    </row>
    <row r="5" spans="1:13" s="10" customFormat="1" ht="18" customHeight="1" x14ac:dyDescent="0.3">
      <c r="B5" s="47"/>
      <c r="C5" s="4"/>
      <c r="D5" s="46"/>
      <c r="E5" s="46"/>
      <c r="F5" s="46"/>
      <c r="G5" s="46"/>
      <c r="H5" s="46"/>
      <c r="I5" s="46"/>
      <c r="J5" s="46"/>
      <c r="L5" s="50"/>
      <c r="M5" s="45"/>
    </row>
    <row r="6" spans="1:13" s="10" customFormat="1" ht="15.75" thickBot="1" x14ac:dyDescent="0.3">
      <c r="B6" s="46" t="s">
        <v>972</v>
      </c>
      <c r="C6" s="4"/>
      <c r="D6" s="46"/>
      <c r="E6" s="46"/>
      <c r="F6" s="46"/>
      <c r="G6" s="46"/>
      <c r="H6" s="46"/>
      <c r="I6" s="46"/>
      <c r="J6" s="46"/>
      <c r="L6" s="50"/>
    </row>
    <row r="7" spans="1:13" s="10" customFormat="1" ht="60" x14ac:dyDescent="0.25">
      <c r="B7" s="25" t="s">
        <v>6</v>
      </c>
      <c r="C7" s="412" t="s">
        <v>165</v>
      </c>
      <c r="D7" s="412" t="s">
        <v>164</v>
      </c>
      <c r="E7" s="412" t="s">
        <v>811</v>
      </c>
      <c r="F7" s="412" t="s">
        <v>182</v>
      </c>
      <c r="G7" s="412" t="s">
        <v>183</v>
      </c>
      <c r="H7" s="412" t="s">
        <v>128</v>
      </c>
      <c r="I7" s="412" t="s">
        <v>163</v>
      </c>
      <c r="J7" s="297" t="s">
        <v>162</v>
      </c>
      <c r="K7" s="14"/>
      <c r="L7" s="50"/>
    </row>
    <row r="8" spans="1:13" s="10" customFormat="1" x14ac:dyDescent="0.25">
      <c r="B8" s="19" t="s">
        <v>7</v>
      </c>
      <c r="C8" s="63">
        <f>IFERROR(AVERAGEIFS($E$36:$E$155,$C$36:$C$155,"="&amp;B8), "NA")</f>
        <v>2.8333333333333335</v>
      </c>
      <c r="D8" s="63">
        <f>IFERROR(AVERAGEIFS($E$163:$E$386,$C$163:$C$386,"="&amp;B8), "NA")</f>
        <v>3.0625</v>
      </c>
      <c r="E8" s="38">
        <f>IFERROR(ABS(D8-C8), "NA")</f>
        <v>0.22916666666666652</v>
      </c>
      <c r="F8" s="35">
        <f>COUNTIFS($C$36:$C$159, "="&amp;B8,$E$36:$E$159,"&gt;=0")</f>
        <v>6</v>
      </c>
      <c r="G8" s="35">
        <f>COUNTIFS($E$163:$E$386, "&gt;=0", $C$163:$C$386, "="&amp;B8)</f>
        <v>16</v>
      </c>
      <c r="H8" s="116" t="s">
        <v>126</v>
      </c>
      <c r="I8" s="37">
        <f t="shared" ref="I8:I19" si="0">IF(AND(ISNUMBER(C8),ISNUMBER(D8)),IF(H8="Average All",((F8*C8)+(G8*D8))/(F8+G8),AVERAGE(C8:D8)), IF(AND(C8="NA", ISNUMBER(D8)), D8, "NA"))</f>
        <v>2.947916666666667</v>
      </c>
      <c r="J8" s="39">
        <f>I8</f>
        <v>2.947916666666667</v>
      </c>
      <c r="K8"/>
      <c r="L8" s="50"/>
    </row>
    <row r="9" spans="1:13" s="10" customFormat="1" ht="15" customHeight="1" x14ac:dyDescent="0.25">
      <c r="B9" s="19" t="s">
        <v>34</v>
      </c>
      <c r="C9" s="63" t="str">
        <f t="shared" ref="C9:C19" si="1">IFERROR(AVERAGEIFS($E$36:$E$155,$C$36:$C$155,"="&amp;B9), "NA")</f>
        <v>NA</v>
      </c>
      <c r="D9" s="63" t="str">
        <f t="shared" ref="D9:D19" si="2">IFERROR(AVERAGEIFS($E$163:$E$386,$C$163:$C$386,"="&amp;B9), "NA")</f>
        <v>NA</v>
      </c>
      <c r="E9" s="38" t="str">
        <f t="shared" ref="E9:E19" si="3">IFERROR(ABS(D9-C9), "NA")</f>
        <v>NA</v>
      </c>
      <c r="F9" s="35">
        <v>0</v>
      </c>
      <c r="G9" s="35">
        <v>0</v>
      </c>
      <c r="H9" s="116" t="s">
        <v>125</v>
      </c>
      <c r="I9" s="37" t="str">
        <f t="shared" si="0"/>
        <v>NA</v>
      </c>
      <c r="J9" s="39" t="str">
        <f t="shared" ref="J9:J19" si="4">I9</f>
        <v>NA</v>
      </c>
      <c r="K9"/>
      <c r="L9" s="50"/>
    </row>
    <row r="10" spans="1:13" s="10" customFormat="1" ht="18" customHeight="1" x14ac:dyDescent="0.25">
      <c r="B10" s="19" t="s">
        <v>8</v>
      </c>
      <c r="C10" s="63">
        <f t="shared" si="1"/>
        <v>4</v>
      </c>
      <c r="D10" s="63">
        <f t="shared" si="2"/>
        <v>3</v>
      </c>
      <c r="E10" s="38">
        <f t="shared" si="3"/>
        <v>1</v>
      </c>
      <c r="F10" s="35">
        <v>1</v>
      </c>
      <c r="G10" s="35">
        <v>16</v>
      </c>
      <c r="H10" s="116" t="s">
        <v>125</v>
      </c>
      <c r="I10" s="37">
        <f t="shared" si="0"/>
        <v>3.0588235294117645</v>
      </c>
      <c r="J10" s="39">
        <f t="shared" si="4"/>
        <v>3.0588235294117645</v>
      </c>
      <c r="K10"/>
      <c r="L10" s="50"/>
    </row>
    <row r="11" spans="1:13" s="10" customFormat="1" ht="18" customHeight="1" x14ac:dyDescent="0.25">
      <c r="B11" s="19" t="s">
        <v>9</v>
      </c>
      <c r="C11" s="63">
        <f t="shared" si="1"/>
        <v>1.8888888888888888</v>
      </c>
      <c r="D11" s="63">
        <f t="shared" si="2"/>
        <v>2.1333333333333333</v>
      </c>
      <c r="E11" s="38">
        <f t="shared" si="3"/>
        <v>0.24444444444444446</v>
      </c>
      <c r="F11" s="35">
        <v>9</v>
      </c>
      <c r="G11" s="35">
        <v>16</v>
      </c>
      <c r="H11" s="116" t="s">
        <v>126</v>
      </c>
      <c r="I11" s="37">
        <f t="shared" si="0"/>
        <v>2.0111111111111111</v>
      </c>
      <c r="J11" s="39">
        <f t="shared" si="4"/>
        <v>2.0111111111111111</v>
      </c>
      <c r="K11"/>
      <c r="L11" s="50"/>
    </row>
    <row r="12" spans="1:13" s="14" customFormat="1" x14ac:dyDescent="0.25">
      <c r="A12" s="10"/>
      <c r="B12" s="19" t="s">
        <v>10</v>
      </c>
      <c r="C12" s="63">
        <f t="shared" si="1"/>
        <v>4</v>
      </c>
      <c r="D12" s="63">
        <f t="shared" si="2"/>
        <v>3.2142857142857144</v>
      </c>
      <c r="E12" s="38">
        <f t="shared" si="3"/>
        <v>0.78571428571428559</v>
      </c>
      <c r="F12" s="35">
        <v>1</v>
      </c>
      <c r="G12" s="35">
        <v>16</v>
      </c>
      <c r="H12" s="116" t="s">
        <v>125</v>
      </c>
      <c r="I12" s="37">
        <f t="shared" si="0"/>
        <v>3.2605042016806722</v>
      </c>
      <c r="J12" s="39">
        <f t="shared" si="4"/>
        <v>3.2605042016806722</v>
      </c>
      <c r="K12"/>
      <c r="L12" s="50"/>
    </row>
    <row r="13" spans="1:13" x14ac:dyDescent="0.25">
      <c r="B13" s="19" t="s">
        <v>11</v>
      </c>
      <c r="C13" s="63">
        <f t="shared" si="1"/>
        <v>1.7</v>
      </c>
      <c r="D13" s="63">
        <f t="shared" si="2"/>
        <v>1.8</v>
      </c>
      <c r="E13" s="38">
        <f t="shared" si="3"/>
        <v>0.10000000000000009</v>
      </c>
      <c r="F13" s="35">
        <v>8</v>
      </c>
      <c r="G13" s="35">
        <v>16</v>
      </c>
      <c r="H13" s="116" t="s">
        <v>126</v>
      </c>
      <c r="I13" s="37">
        <f t="shared" si="0"/>
        <v>1.75</v>
      </c>
      <c r="J13" s="39">
        <f t="shared" si="4"/>
        <v>1.75</v>
      </c>
      <c r="L13" s="50"/>
    </row>
    <row r="14" spans="1:13" x14ac:dyDescent="0.25">
      <c r="A14" s="16"/>
      <c r="B14" s="19" t="s">
        <v>12</v>
      </c>
      <c r="C14" s="63">
        <f t="shared" si="1"/>
        <v>3.25</v>
      </c>
      <c r="D14" s="63">
        <f t="shared" si="2"/>
        <v>3</v>
      </c>
      <c r="E14" s="38">
        <f t="shared" si="3"/>
        <v>0.25</v>
      </c>
      <c r="F14" s="35">
        <v>18</v>
      </c>
      <c r="G14" s="35">
        <v>16</v>
      </c>
      <c r="H14" s="116" t="s">
        <v>126</v>
      </c>
      <c r="I14" s="37">
        <f t="shared" si="0"/>
        <v>3.125</v>
      </c>
      <c r="J14" s="39">
        <f t="shared" si="4"/>
        <v>3.125</v>
      </c>
      <c r="L14" s="50"/>
    </row>
    <row r="15" spans="1:13" x14ac:dyDescent="0.25">
      <c r="B15" s="19" t="s">
        <v>13</v>
      </c>
      <c r="C15" s="63">
        <f t="shared" si="1"/>
        <v>2</v>
      </c>
      <c r="D15" s="63">
        <f t="shared" si="2"/>
        <v>1.4</v>
      </c>
      <c r="E15" s="38">
        <f t="shared" si="3"/>
        <v>0.60000000000000009</v>
      </c>
      <c r="F15" s="35">
        <v>2</v>
      </c>
      <c r="G15" s="35">
        <v>16</v>
      </c>
      <c r="H15" s="116" t="s">
        <v>125</v>
      </c>
      <c r="I15" s="37">
        <f t="shared" si="0"/>
        <v>1.4666666666666666</v>
      </c>
      <c r="J15" s="39">
        <f t="shared" si="4"/>
        <v>1.4666666666666666</v>
      </c>
      <c r="L15" s="50"/>
    </row>
    <row r="16" spans="1:13" x14ac:dyDescent="0.25">
      <c r="B16" s="19" t="s">
        <v>14</v>
      </c>
      <c r="C16" s="63">
        <f t="shared" si="1"/>
        <v>2.75</v>
      </c>
      <c r="D16" s="63">
        <f t="shared" si="2"/>
        <v>3.4666666666666668</v>
      </c>
      <c r="E16" s="38">
        <f t="shared" si="3"/>
        <v>0.71666666666666679</v>
      </c>
      <c r="F16" s="35">
        <v>20</v>
      </c>
      <c r="G16" s="35">
        <v>16</v>
      </c>
      <c r="H16" s="116" t="s">
        <v>126</v>
      </c>
      <c r="I16" s="37">
        <f t="shared" si="0"/>
        <v>3.1083333333333334</v>
      </c>
      <c r="J16" s="39">
        <f t="shared" si="4"/>
        <v>3.1083333333333334</v>
      </c>
      <c r="L16" s="51"/>
    </row>
    <row r="17" spans="2:12" x14ac:dyDescent="0.25">
      <c r="B17" s="19" t="s">
        <v>15</v>
      </c>
      <c r="C17" s="63">
        <f t="shared" si="1"/>
        <v>3.5</v>
      </c>
      <c r="D17" s="63">
        <f t="shared" si="2"/>
        <v>2.3333333333333335</v>
      </c>
      <c r="E17" s="38">
        <f t="shared" si="3"/>
        <v>1.1666666666666665</v>
      </c>
      <c r="F17" s="35">
        <v>2</v>
      </c>
      <c r="G17" s="35">
        <v>16</v>
      </c>
      <c r="H17" s="116" t="s">
        <v>125</v>
      </c>
      <c r="I17" s="37">
        <f t="shared" si="0"/>
        <v>2.4629629629629632</v>
      </c>
      <c r="J17" s="39">
        <f t="shared" si="4"/>
        <v>2.4629629629629632</v>
      </c>
    </row>
    <row r="18" spans="2:12" x14ac:dyDescent="0.25">
      <c r="B18" s="19" t="s">
        <v>16</v>
      </c>
      <c r="C18" s="63">
        <f t="shared" si="1"/>
        <v>4.2</v>
      </c>
      <c r="D18" s="63">
        <f t="shared" si="2"/>
        <v>4.0666666666666664</v>
      </c>
      <c r="E18" s="38">
        <f t="shared" si="3"/>
        <v>0.13333333333333375</v>
      </c>
      <c r="F18" s="35">
        <v>5</v>
      </c>
      <c r="G18" s="35">
        <v>16</v>
      </c>
      <c r="H18" s="116" t="s">
        <v>126</v>
      </c>
      <c r="I18" s="37">
        <f t="shared" si="0"/>
        <v>4.1333333333333329</v>
      </c>
      <c r="J18" s="39">
        <f t="shared" si="4"/>
        <v>4.1333333333333329</v>
      </c>
      <c r="L18" s="52"/>
    </row>
    <row r="19" spans="2:12" ht="15.75" thickBot="1" x14ac:dyDescent="0.3">
      <c r="B19" s="20" t="s">
        <v>17</v>
      </c>
      <c r="C19" s="64">
        <f t="shared" si="1"/>
        <v>2.6</v>
      </c>
      <c r="D19" s="64">
        <f t="shared" si="2"/>
        <v>3.0666666666666669</v>
      </c>
      <c r="E19" s="41">
        <f t="shared" si="3"/>
        <v>0.46666666666666679</v>
      </c>
      <c r="F19" s="36">
        <v>14</v>
      </c>
      <c r="G19" s="36">
        <v>16</v>
      </c>
      <c r="H19" s="117" t="s">
        <v>126</v>
      </c>
      <c r="I19" s="40">
        <f t="shared" si="0"/>
        <v>2.8333333333333335</v>
      </c>
      <c r="J19" s="42">
        <f t="shared" si="4"/>
        <v>2.8333333333333335</v>
      </c>
    </row>
    <row r="20" spans="2:12" x14ac:dyDescent="0.25">
      <c r="L20" s="52"/>
    </row>
    <row r="21" spans="2:12" ht="15.75" hidden="1" thickBot="1" x14ac:dyDescent="0.3">
      <c r="B21" s="1" t="s">
        <v>846</v>
      </c>
      <c r="L21" s="52"/>
    </row>
    <row r="22" spans="2:12" hidden="1" x14ac:dyDescent="0.25">
      <c r="B22" s="494" t="s">
        <v>851</v>
      </c>
      <c r="C22" s="457"/>
      <c r="D22" s="457"/>
      <c r="E22" s="457"/>
      <c r="F22" s="457"/>
      <c r="G22" s="457"/>
      <c r="H22" s="457"/>
      <c r="I22" s="457"/>
      <c r="J22" s="458"/>
      <c r="L22" s="52"/>
    </row>
    <row r="23" spans="2:12" hidden="1" x14ac:dyDescent="0.25">
      <c r="B23" s="463" t="s">
        <v>848</v>
      </c>
      <c r="C23" s="11"/>
      <c r="D23" s="11"/>
      <c r="E23" s="11"/>
      <c r="F23" s="11"/>
      <c r="G23" s="11"/>
      <c r="H23" s="11"/>
      <c r="I23" s="241">
        <f>MAX(I8:I19)</f>
        <v>4.1333333333333329</v>
      </c>
      <c r="J23" s="465">
        <f>MAX(J8:J19)</f>
        <v>4.1333333333333329</v>
      </c>
      <c r="L23" s="52"/>
    </row>
    <row r="24" spans="2:12" ht="45" hidden="1" x14ac:dyDescent="0.25">
      <c r="B24" s="463" t="s">
        <v>849</v>
      </c>
      <c r="C24" s="81"/>
      <c r="D24" s="81"/>
      <c r="E24" s="81"/>
      <c r="F24" s="81"/>
      <c r="G24" s="81"/>
      <c r="H24" s="81"/>
      <c r="I24" s="461" t="str">
        <f>INDEX($B8:$B19,MATCH(I23,I8:I19,0))</f>
        <v>Urban and Agricultural Water Use Efficiency</v>
      </c>
      <c r="J24" s="462" t="str">
        <f>INDEX($B$8:$B$19,MATCH(J23,J8:J19,0))</f>
        <v>Urban and Agricultural Water Use Efficiency</v>
      </c>
      <c r="L24" s="52"/>
    </row>
    <row r="25" spans="2:12" hidden="1" x14ac:dyDescent="0.25">
      <c r="B25" s="504" t="s">
        <v>861</v>
      </c>
      <c r="C25" s="495"/>
      <c r="D25" s="495"/>
      <c r="E25" s="495"/>
      <c r="F25" s="495"/>
      <c r="G25" s="495"/>
      <c r="H25" s="495"/>
      <c r="I25" s="497">
        <f>LARGE(I8:I19,2)</f>
        <v>3.2605042016806722</v>
      </c>
      <c r="J25" s="498">
        <f>LARGE(J8:J19,2)</f>
        <v>3.2605042016806722</v>
      </c>
      <c r="L25" s="52"/>
    </row>
    <row r="26" spans="2:12" ht="30" hidden="1" x14ac:dyDescent="0.25">
      <c r="B26" s="505" t="s">
        <v>862</v>
      </c>
      <c r="C26" s="496"/>
      <c r="D26" s="496"/>
      <c r="E26" s="496"/>
      <c r="F26" s="496"/>
      <c r="G26" s="496"/>
      <c r="H26" s="496"/>
      <c r="I26" s="499" t="str">
        <f>INDEX($B8:$B19,MATCH(I25,I8:I19,0))</f>
        <v>Imported Water Purchases</v>
      </c>
      <c r="J26" s="500" t="str">
        <f>INDEX($B8:$B19,MATCH(J25,J8:J19,0))</f>
        <v>Imported Water Purchases</v>
      </c>
      <c r="L26" s="52"/>
    </row>
    <row r="27" spans="2:12" hidden="1" x14ac:dyDescent="0.25">
      <c r="B27" s="463" t="s">
        <v>847</v>
      </c>
      <c r="C27" s="11"/>
      <c r="D27" s="11"/>
      <c r="E27" s="11"/>
      <c r="F27" s="11"/>
      <c r="G27" s="11"/>
      <c r="H27" s="11"/>
      <c r="I27" s="241">
        <f>MIN(I8:I19)</f>
        <v>1.4666666666666666</v>
      </c>
      <c r="J27" s="464">
        <f>MIN(J8:J19)</f>
        <v>1.4666666666666666</v>
      </c>
      <c r="L27" s="52"/>
    </row>
    <row r="28" spans="2:12" ht="30" hidden="1" x14ac:dyDescent="0.25">
      <c r="B28" s="505" t="s">
        <v>850</v>
      </c>
      <c r="C28" s="496"/>
      <c r="D28" s="496"/>
      <c r="E28" s="496"/>
      <c r="F28" s="496"/>
      <c r="G28" s="496"/>
      <c r="H28" s="496"/>
      <c r="I28" s="499" t="str">
        <f>INDEX($B8:$B19,MATCH(I27,I8:I19,0))</f>
        <v>Seawater Desalination</v>
      </c>
      <c r="J28" s="500" t="str">
        <f>INDEX($B$8:$B$19,MATCH(J$27,$I$8:$I$19,0))</f>
        <v>Seawater Desalination</v>
      </c>
      <c r="L28" s="52"/>
    </row>
    <row r="29" spans="2:12" hidden="1" x14ac:dyDescent="0.25">
      <c r="B29" s="504" t="s">
        <v>864</v>
      </c>
      <c r="C29" s="495"/>
      <c r="D29" s="495"/>
      <c r="E29" s="495"/>
      <c r="F29" s="495"/>
      <c r="G29" s="495"/>
      <c r="H29" s="495"/>
      <c r="I29" s="497">
        <f>SMALL(I8:I19,2)</f>
        <v>1.75</v>
      </c>
      <c r="J29" s="498">
        <f>SMALL(J8:J19,2)</f>
        <v>1.75</v>
      </c>
      <c r="L29" s="52"/>
    </row>
    <row r="30" spans="2:12" hidden="1" x14ac:dyDescent="0.25">
      <c r="B30" s="505" t="s">
        <v>863</v>
      </c>
      <c r="C30" s="496"/>
      <c r="D30" s="496"/>
      <c r="E30" s="496"/>
      <c r="F30" s="496"/>
      <c r="G30" s="496"/>
      <c r="H30" s="496"/>
      <c r="I30" s="499" t="str">
        <f>INDEX($B8:$B19,MATCH(I29,I8:I19,0))</f>
        <v>Potable Reuse</v>
      </c>
      <c r="J30" s="500" t="str">
        <f>INDEX($B8:$B19,MATCH(J29,J8:J19,0))</f>
        <v>Potable Reuse</v>
      </c>
      <c r="L30" s="52"/>
    </row>
    <row r="31" spans="2:12" hidden="1" x14ac:dyDescent="0.25">
      <c r="B31" s="506" t="s">
        <v>844</v>
      </c>
      <c r="C31" s="501"/>
      <c r="D31" s="501"/>
      <c r="E31" s="501"/>
      <c r="F31" s="501"/>
      <c r="G31" s="501"/>
      <c r="H31" s="501"/>
      <c r="I31" s="502">
        <f>I23-I27</f>
        <v>2.6666666666666661</v>
      </c>
      <c r="J31" s="503">
        <f>J23-J27</f>
        <v>2.6666666666666661</v>
      </c>
      <c r="L31" s="52"/>
    </row>
    <row r="32" spans="2:12" ht="15.75" hidden="1" thickBot="1" x14ac:dyDescent="0.3">
      <c r="B32" s="507" t="s">
        <v>865</v>
      </c>
      <c r="C32" s="316"/>
      <c r="D32" s="316"/>
      <c r="E32" s="316"/>
      <c r="F32" s="316"/>
      <c r="G32" s="316"/>
      <c r="H32" s="316"/>
      <c r="I32" s="41">
        <f>AVERAGE(I8:I19)</f>
        <v>2.7416350125908946</v>
      </c>
      <c r="J32" s="44">
        <f>AVERAGE(J8:J19)</f>
        <v>2.7416350125908946</v>
      </c>
      <c r="L32" s="52"/>
    </row>
    <row r="33" spans="2:12" hidden="1" x14ac:dyDescent="0.25">
      <c r="L33" s="52"/>
    </row>
    <row r="34" spans="2:12" ht="15.75" hidden="1" thickBot="1" x14ac:dyDescent="0.3">
      <c r="B34" s="1" t="s">
        <v>731</v>
      </c>
      <c r="H34" s="87"/>
    </row>
    <row r="35" spans="2:12" ht="45.75" hidden="1" thickBot="1" x14ac:dyDescent="0.3">
      <c r="B35" s="346" t="s">
        <v>37</v>
      </c>
      <c r="C35" s="414" t="s">
        <v>6</v>
      </c>
      <c r="D35" s="415"/>
      <c r="E35" s="347" t="s">
        <v>165</v>
      </c>
    </row>
    <row r="36" spans="2:12" ht="15" hidden="1" customHeight="1" x14ac:dyDescent="0.25">
      <c r="B36" s="329" t="str">
        <f>'Project-Level Data'!B22</f>
        <v>Dulzura Conduit Refurbishment</v>
      </c>
      <c r="C36" s="474" t="str">
        <f>'Project-Level Data'!C22</f>
        <v>Conveyance Improvement</v>
      </c>
      <c r="D36" s="477"/>
      <c r="E36" s="377">
        <f>'Project-Level Data'!AN22</f>
        <v>4</v>
      </c>
      <c r="L36" s="52"/>
    </row>
    <row r="37" spans="2:12" hidden="1" x14ac:dyDescent="0.25">
      <c r="B37" s="227" t="str">
        <f>'Project-Level Data'!B53</f>
        <v>Mission Trails Projects Alternative 1</v>
      </c>
      <c r="C37" s="475" t="str">
        <f>'Project-Level Data'!C53</f>
        <v>Conveyance Improvement</v>
      </c>
      <c r="D37" s="477"/>
      <c r="E37" s="381">
        <f>'Project-Level Data'!AN53</f>
        <v>2</v>
      </c>
    </row>
    <row r="38" spans="2:12" hidden="1" x14ac:dyDescent="0.25">
      <c r="B38" s="227" t="str">
        <f>'Project-Level Data'!B72</f>
        <v>Pipeline 3/Pipeline 4 Conversion</v>
      </c>
      <c r="C38" s="475" t="str">
        <f>'Project-Level Data'!C72</f>
        <v>Conveyance Improvement</v>
      </c>
      <c r="D38" s="477"/>
      <c r="E38" s="381">
        <f>'Project-Level Data'!AN72</f>
        <v>3</v>
      </c>
      <c r="L38" s="52"/>
    </row>
    <row r="39" spans="2:12" hidden="1" x14ac:dyDescent="0.25">
      <c r="B39" s="227" t="str">
        <f>'Project-Level Data'!B89</f>
        <v>San Diego County Reservoir Intertie</v>
      </c>
      <c r="C39" s="475" t="str">
        <f>'Project-Level Data'!C89</f>
        <v>Conveyance Improvement</v>
      </c>
      <c r="D39" s="477"/>
      <c r="E39" s="381">
        <f>'Project-Level Data'!AN89</f>
        <v>2</v>
      </c>
      <c r="L39" s="52"/>
    </row>
    <row r="40" spans="2:12" hidden="1" x14ac:dyDescent="0.25">
      <c r="B40" s="227" t="str">
        <f>'Project-Level Data'!B100</f>
        <v>San Vicente 3rd Pump Drive and Power</v>
      </c>
      <c r="C40" s="475" t="str">
        <f>'Project-Level Data'!C100</f>
        <v>Conveyance Improvement</v>
      </c>
      <c r="D40" s="477"/>
      <c r="E40" s="381">
        <f>'Project-Level Data'!AN100</f>
        <v>3</v>
      </c>
    </row>
    <row r="41" spans="2:12" hidden="1" x14ac:dyDescent="0.25">
      <c r="B41" s="227" t="str">
        <f>'Project-Level Data'!B103</f>
        <v>Second Crossover Pipeline</v>
      </c>
      <c r="C41" s="475" t="str">
        <f>'Project-Level Data'!C103</f>
        <v>Conveyance Improvement</v>
      </c>
      <c r="D41" s="477"/>
      <c r="E41" s="381">
        <f>'Project-Level Data'!AN103</f>
        <v>3</v>
      </c>
    </row>
    <row r="42" spans="2:12" ht="15" hidden="1" customHeight="1" x14ac:dyDescent="0.25">
      <c r="B42" s="227" t="str">
        <f>'Project-Level Data'!B27</f>
        <v xml:space="preserve">Enhanced Conservation </v>
      </c>
      <c r="C42" s="475" t="str">
        <f>'Project-Level Data'!C27</f>
        <v>Enhanced Conservation</v>
      </c>
      <c r="D42" s="477"/>
      <c r="E42" s="381" t="str">
        <f>'Project-Level Data'!AN27</f>
        <v>REMOVED</v>
      </c>
    </row>
    <row r="43" spans="2:12" ht="15" hidden="1" customHeight="1" x14ac:dyDescent="0.25">
      <c r="B43" s="227" t="str">
        <f>'Project-Level Data'!B21</f>
        <v>Conservation Home Makeover in the Chollas Creek Watershed</v>
      </c>
      <c r="C43" s="475" t="str">
        <f>'Project-Level Data'!C21</f>
        <v>Gray Water Use</v>
      </c>
      <c r="D43" s="477"/>
      <c r="E43" s="381" t="str">
        <f>'Project-Level Data'!AN21</f>
        <v>No Response</v>
      </c>
    </row>
    <row r="44" spans="2:12" hidden="1" x14ac:dyDescent="0.25">
      <c r="B44" s="227" t="str">
        <f>'Project-Level Data'!B33</f>
        <v>Graywater pilot project</v>
      </c>
      <c r="C44" s="475" t="str">
        <f>'Project-Level Data'!C33</f>
        <v>Gray Water Use</v>
      </c>
      <c r="D44" s="477"/>
      <c r="E44" s="381">
        <f>'Project-Level Data'!AN33</f>
        <v>4</v>
      </c>
    </row>
    <row r="45" spans="2:12" ht="15" hidden="1" customHeight="1" x14ac:dyDescent="0.25">
      <c r="B45" s="227" t="str">
        <f>'Project-Level Data'!B34</f>
        <v>Groundwater Extraction Santee/El Monte</v>
      </c>
      <c r="C45" s="475" t="str">
        <f>'Project-Level Data'!C34</f>
        <v>Groundwater</v>
      </c>
      <c r="D45" s="477"/>
      <c r="E45" s="381">
        <f>'Project-Level Data'!AN34</f>
        <v>2</v>
      </c>
    </row>
    <row r="46" spans="2:12" ht="25.5" hidden="1" x14ac:dyDescent="0.25">
      <c r="B46" s="227" t="str">
        <f>'Project-Level Data'!B52</f>
        <v>Middle Sweetwater River Basin Groundwater Well System</v>
      </c>
      <c r="C46" s="475" t="str">
        <f>'Project-Level Data'!C52</f>
        <v>Groundwater</v>
      </c>
      <c r="D46" s="477"/>
      <c r="E46" s="381">
        <f>'Project-Level Data'!AN52</f>
        <v>2</v>
      </c>
    </row>
    <row r="47" spans="2:12" hidden="1" x14ac:dyDescent="0.25">
      <c r="B47" s="227" t="str">
        <f>'Project-Level Data'!B54</f>
        <v>Mission Valley Brackish Groundwater Recovery Project</v>
      </c>
      <c r="C47" s="475" t="str">
        <f>'Project-Level Data'!C54</f>
        <v>Groundwater</v>
      </c>
      <c r="D47" s="477"/>
      <c r="E47" s="381">
        <f>'Project-Level Data'!AN54</f>
        <v>1</v>
      </c>
    </row>
    <row r="48" spans="2:12" ht="15" hidden="1" customHeight="1" x14ac:dyDescent="0.25">
      <c r="B48" s="227" t="str">
        <f>'Project-Level Data'!B67</f>
        <v>Otay Mesa Lot 7 Groundwater Well System (capacity)</v>
      </c>
      <c r="C48" s="475" t="str">
        <f>'Project-Level Data'!C67</f>
        <v>Groundwater</v>
      </c>
      <c r="D48" s="477"/>
      <c r="E48" s="381">
        <f>'Project-Level Data'!AN67</f>
        <v>2</v>
      </c>
    </row>
    <row r="49" spans="2:5" ht="25.5" hidden="1" x14ac:dyDescent="0.25">
      <c r="B49" s="227" t="str">
        <f>'Project-Level Data'!B68</f>
        <v>Otay River Valley GW Aquifer Studies &amp; Field Investigations</v>
      </c>
      <c r="C49" s="475" t="str">
        <f>'Project-Level Data'!C68</f>
        <v>Groundwater</v>
      </c>
      <c r="D49" s="477"/>
      <c r="E49" s="381">
        <f>'Project-Level Data'!AN68</f>
        <v>2</v>
      </c>
    </row>
    <row r="50" spans="2:5" ht="25.5" hidden="1" x14ac:dyDescent="0.25">
      <c r="B50" s="227" t="str">
        <f>'Project-Level Data'!B79</f>
        <v>Rancho del Rey Groundwater Well Development (capacity)</v>
      </c>
      <c r="C50" s="475" t="str">
        <f>'Project-Level Data'!C79</f>
        <v>Groundwater</v>
      </c>
      <c r="D50" s="477"/>
      <c r="E50" s="381">
        <f>'Project-Level Data'!AN79</f>
        <v>2</v>
      </c>
    </row>
    <row r="51" spans="2:5" ht="15" hidden="1" customHeight="1" x14ac:dyDescent="0.25">
      <c r="B51" s="227" t="str">
        <f>'Project-Level Data'!B90</f>
        <v>San Diego Formation - Southeaster San Diego, including Mt Hope</v>
      </c>
      <c r="C51" s="475" t="str">
        <f>'Project-Level Data'!C90</f>
        <v>Groundwater</v>
      </c>
      <c r="D51" s="477"/>
      <c r="E51" s="381">
        <f>'Project-Level Data'!AN90</f>
        <v>2</v>
      </c>
    </row>
    <row r="52" spans="2:5" ht="25.5" hidden="1" x14ac:dyDescent="0.25">
      <c r="B52" s="227" t="str">
        <f>'Project-Level Data'!B94</f>
        <v>San Dieguito River Basin Brackish GW Recovery and Treatment</v>
      </c>
      <c r="C52" s="475" t="str">
        <f>'Project-Level Data'!C94</f>
        <v>Groundwater</v>
      </c>
      <c r="D52" s="477"/>
      <c r="E52" s="381">
        <f>'Project-Level Data'!AN94</f>
        <v>2</v>
      </c>
    </row>
    <row r="53" spans="2:5" hidden="1" x14ac:dyDescent="0.25">
      <c r="B53" s="227" t="str">
        <f>'Project-Level Data'!B95</f>
        <v>San Luis Rey Groundwater Study</v>
      </c>
      <c r="C53" s="475" t="str">
        <f>'Project-Level Data'!C95</f>
        <v>Groundwater</v>
      </c>
      <c r="D53" s="477"/>
      <c r="E53" s="381" t="str">
        <f>'Project-Level Data'!AN95</f>
        <v>No Response</v>
      </c>
    </row>
    <row r="54" spans="2:5" hidden="1" x14ac:dyDescent="0.25">
      <c r="B54" s="227" t="str">
        <f>'Project-Level Data'!B99</f>
        <v>San Pasqual Brackish Groundwater Recovery Project</v>
      </c>
      <c r="C54" s="475" t="str">
        <f>'Project-Level Data'!C99</f>
        <v>Groundwater</v>
      </c>
      <c r="D54" s="477"/>
      <c r="E54" s="381">
        <f>'Project-Level Data'!AN99</f>
        <v>2</v>
      </c>
    </row>
    <row r="55" spans="2:5" ht="38.25" hidden="1" x14ac:dyDescent="0.25">
      <c r="B55" s="227" t="str">
        <f>'Project-Level Data'!B101</f>
        <v>Santa Margarita Conjunctive-Use Project - Local surface water recharge and expansion of Camp Pendleton groundwater recovery program</v>
      </c>
      <c r="C55" s="475" t="str">
        <f>'Project-Level Data'!C101</f>
        <v>Groundwater</v>
      </c>
      <c r="D55" s="477"/>
      <c r="E55" s="381" t="str">
        <f>'Project-Level Data'!AN101</f>
        <v>No Response</v>
      </c>
    </row>
    <row r="56" spans="2:5" hidden="1" x14ac:dyDescent="0.25">
      <c r="B56" s="227" t="str">
        <f>'Project-Level Data'!B14</f>
        <v>Cadiz additional imported supplies</v>
      </c>
      <c r="C56" s="475" t="str">
        <f>'Project-Level Data'!C14</f>
        <v>Imported Water Purchases</v>
      </c>
      <c r="D56" s="477"/>
      <c r="E56" s="381">
        <f>'Project-Level Data'!AN14</f>
        <v>4</v>
      </c>
    </row>
    <row r="57" spans="2:5" ht="25.5" hidden="1" x14ac:dyDescent="0.25">
      <c r="B57" s="227" t="str">
        <f>'Project-Level Data'!B23</f>
        <v>East County Advanced Water Purification Program Phase 1</v>
      </c>
      <c r="C57" s="475" t="str">
        <f>'Project-Level Data'!C23</f>
        <v>Potable Reuse</v>
      </c>
      <c r="D57" s="477"/>
      <c r="E57" s="381">
        <f>'Project-Level Data'!AN23</f>
        <v>2</v>
      </c>
    </row>
    <row r="58" spans="2:5" ht="25.5" hidden="1" x14ac:dyDescent="0.25">
      <c r="B58" s="227" t="str">
        <f>'Project-Level Data'!B24</f>
        <v>East County Advanced Water Purification Program Phase 2</v>
      </c>
      <c r="C58" s="475" t="str">
        <f>'Project-Level Data'!C24</f>
        <v>Potable Reuse</v>
      </c>
      <c r="D58" s="477"/>
      <c r="E58" s="381">
        <f>'Project-Level Data'!AN24</f>
        <v>2</v>
      </c>
    </row>
    <row r="59" spans="2:5" ht="15" hidden="1" customHeight="1" x14ac:dyDescent="0.25">
      <c r="B59" s="227" t="str">
        <f>'Project-Level Data'!B25</f>
        <v>East County Advanced Water Purification Program Phase 3</v>
      </c>
      <c r="C59" s="475" t="str">
        <f>'Project-Level Data'!C25</f>
        <v>Potable Reuse</v>
      </c>
      <c r="D59" s="477"/>
      <c r="E59" s="381">
        <f>'Project-Level Data'!AN25</f>
        <v>2</v>
      </c>
    </row>
    <row r="60" spans="2:5" ht="15" hidden="1" customHeight="1" x14ac:dyDescent="0.25">
      <c r="B60" s="227" t="str">
        <f>'Project-Level Data'!B26</f>
        <v>Encina Wastewater Water Reuse Project</v>
      </c>
      <c r="C60" s="475" t="str">
        <f>'Project-Level Data'!C26</f>
        <v>Potable Reuse</v>
      </c>
      <c r="D60" s="477"/>
      <c r="E60" s="381">
        <f>'Project-Level Data'!AN26</f>
        <v>2</v>
      </c>
    </row>
    <row r="61" spans="2:5" ht="25.5" hidden="1" x14ac:dyDescent="0.25">
      <c r="B61" s="227" t="str">
        <f>'Project-Level Data'!B59</f>
        <v>New Local Supply Rincon del Diablo - Hale Avenue RRF/ City of Escondido/WRFs</v>
      </c>
      <c r="C61" s="475" t="str">
        <f>'Project-Level Data'!C59</f>
        <v>Potable Reuse</v>
      </c>
      <c r="D61" s="477"/>
      <c r="E61" s="381" t="str">
        <f>'Project-Level Data'!AN59</f>
        <v>No Response</v>
      </c>
    </row>
    <row r="62" spans="2:5" ht="25.5" hidden="1" x14ac:dyDescent="0.25">
      <c r="B62" s="227" t="str">
        <f>'Project-Level Data'!B73</f>
        <v xml:space="preserve">Potable Reuse/Hale Avenue Resource Recovery Facility (HARRF) </v>
      </c>
      <c r="C62" s="475" t="str">
        <f>'Project-Level Data'!C73</f>
        <v>Potable Reuse</v>
      </c>
      <c r="D62" s="477"/>
      <c r="E62" s="381" t="str">
        <f>'Project-Level Data'!AN73</f>
        <v>No Response</v>
      </c>
    </row>
    <row r="63" spans="2:5" hidden="1" x14ac:dyDescent="0.25">
      <c r="B63" s="227" t="str">
        <f>'Project-Level Data'!B75</f>
        <v xml:space="preserve">Pure Water San Diego Phase 1 - North City </v>
      </c>
      <c r="C63" s="475" t="str">
        <f>'Project-Level Data'!C75</f>
        <v>Potable Reuse</v>
      </c>
      <c r="D63" s="477"/>
      <c r="E63" s="381">
        <f>'Project-Level Data'!AN75</f>
        <v>1</v>
      </c>
    </row>
    <row r="64" spans="2:5" hidden="1" x14ac:dyDescent="0.25">
      <c r="B64" s="227" t="str">
        <f>'Project-Level Data'!B76</f>
        <v>Pure Water San Diego Phase 2 - Central</v>
      </c>
      <c r="C64" s="475" t="str">
        <f>'Project-Level Data'!C76</f>
        <v>Potable Reuse</v>
      </c>
      <c r="D64" s="477"/>
      <c r="E64" s="381">
        <f>'Project-Level Data'!AN76</f>
        <v>1</v>
      </c>
    </row>
    <row r="65" spans="2:5" hidden="1" x14ac:dyDescent="0.25">
      <c r="B65" s="227" t="str">
        <f>'Project-Level Data'!B104</f>
        <v>SFID/SDWD/SEJPA Potable Reuse Project</v>
      </c>
      <c r="C65" s="475" t="str">
        <f>'Project-Level Data'!C104</f>
        <v>Potable Reuse</v>
      </c>
      <c r="D65" s="477"/>
      <c r="E65" s="381">
        <f>'Project-Level Data'!AN104</f>
        <v>2</v>
      </c>
    </row>
    <row r="66" spans="2:5" hidden="1" x14ac:dyDescent="0.25">
      <c r="B66" s="227" t="str">
        <f>'Project-Level Data'!B108</f>
        <v>South WWTP - Indirect Potable Recharge</v>
      </c>
      <c r="C66" s="475" t="str">
        <f>'Project-Level Data'!C108</f>
        <v>Potable Reuse</v>
      </c>
      <c r="D66" s="477"/>
      <c r="E66" s="381">
        <f>'Project-Level Data'!AN108</f>
        <v>1</v>
      </c>
    </row>
    <row r="67" spans="2:5" hidden="1" x14ac:dyDescent="0.25">
      <c r="B67" s="227" t="str">
        <f>'Project-Level Data'!B109</f>
        <v>South WWTP - Injection to Las Flores Basin</v>
      </c>
      <c r="C67" s="475" t="str">
        <f>'Project-Level Data'!C109</f>
        <v>Potable Reuse</v>
      </c>
      <c r="D67" s="477"/>
      <c r="E67" s="381">
        <f>'Project-Level Data'!AN109</f>
        <v>2</v>
      </c>
    </row>
    <row r="68" spans="2:5" hidden="1" x14ac:dyDescent="0.25">
      <c r="B68" s="227" t="str">
        <f>'Project-Level Data'!B110</f>
        <v>South WWTP - Injection to Santa Margarita Basin</v>
      </c>
      <c r="C68" s="475" t="str">
        <f>'Project-Level Data'!C110</f>
        <v>Potable Reuse</v>
      </c>
      <c r="D68" s="477"/>
      <c r="E68" s="381">
        <f>'Project-Level Data'!AN110</f>
        <v>2</v>
      </c>
    </row>
    <row r="69" spans="2:5" hidden="1" x14ac:dyDescent="0.25">
      <c r="B69" s="227" t="str">
        <f>'Project-Level Data'!B17</f>
        <v>Carlsbad WRF - Landscape, Agriculture 2025</v>
      </c>
      <c r="C69" s="475" t="str">
        <f>'Project-Level Data'!C17</f>
        <v>Recycled Water</v>
      </c>
      <c r="D69" s="477"/>
      <c r="E69" s="381">
        <f>'Project-Level Data'!AN17</f>
        <v>4</v>
      </c>
    </row>
    <row r="70" spans="2:5" hidden="1" x14ac:dyDescent="0.25">
      <c r="B70" s="227" t="str">
        <f>'Project-Level Data'!B18</f>
        <v>Carlsbad WRF - Landscape, Agriculture 2050</v>
      </c>
      <c r="C70" s="475" t="str">
        <f>'Project-Level Data'!C18</f>
        <v>Recycled Water</v>
      </c>
      <c r="D70" s="477"/>
      <c r="E70" s="381">
        <f>'Project-Level Data'!AN18</f>
        <v>4</v>
      </c>
    </row>
    <row r="71" spans="2:5" hidden="1" x14ac:dyDescent="0.25">
      <c r="B71" s="227" t="str">
        <f>'Project-Level Data'!B28</f>
        <v>Extension 153 Phase I</v>
      </c>
      <c r="C71" s="475" t="str">
        <f>'Project-Level Data'!C28</f>
        <v>Recycled Water</v>
      </c>
      <c r="D71" s="477"/>
      <c r="E71" s="381">
        <f>'Project-Level Data'!AN28</f>
        <v>4</v>
      </c>
    </row>
    <row r="72" spans="2:5" hidden="1" x14ac:dyDescent="0.25">
      <c r="B72" s="227" t="str">
        <f>'Project-Level Data'!B29</f>
        <v>Extension 153 Phase II</v>
      </c>
      <c r="C72" s="475" t="str">
        <f>'Project-Level Data'!C29</f>
        <v>Recycled Water</v>
      </c>
      <c r="D72" s="477"/>
      <c r="E72" s="381">
        <f>'Project-Level Data'!AN29</f>
        <v>4</v>
      </c>
    </row>
    <row r="73" spans="2:5" ht="25.5" hidden="1" x14ac:dyDescent="0.25">
      <c r="B73" s="227" t="str">
        <f>'Project-Level Data'!B35</f>
        <v>Hale Avenue Resource Recovery Facility (HARRF) - Landscape, Agriculture, Industrial, PR</v>
      </c>
      <c r="C73" s="475" t="str">
        <f>'Project-Level Data'!C35</f>
        <v>Recycled Water</v>
      </c>
      <c r="D73" s="477"/>
      <c r="E73" s="381" t="str">
        <f>'Project-Level Data'!AN35</f>
        <v>No Response</v>
      </c>
    </row>
    <row r="74" spans="2:5" ht="25.5" hidden="1" x14ac:dyDescent="0.25">
      <c r="B74" s="227" t="str">
        <f>'Project-Level Data'!B36</f>
        <v>Integrated Water Resource Solutions for the Carlsbad Watershed</v>
      </c>
      <c r="C74" s="475" t="str">
        <f>'Project-Level Data'!C36</f>
        <v>Recycled Water</v>
      </c>
      <c r="D74" s="477"/>
      <c r="E74" s="381">
        <f>'Project-Level Data'!AN36</f>
        <v>2</v>
      </c>
    </row>
    <row r="75" spans="2:5" ht="25.5" hidden="1" x14ac:dyDescent="0.25">
      <c r="B75" s="227" t="str">
        <f>'Project-Level Data'!B37</f>
        <v>Intergrated Water Resource Solutions for the Carlsbad Watershed</v>
      </c>
      <c r="C75" s="475" t="str">
        <f>'Project-Level Data'!C37</f>
        <v>Recycled Water</v>
      </c>
      <c r="D75" s="477"/>
      <c r="E75" s="381">
        <f>'Project-Level Data'!AN37</f>
        <v>2</v>
      </c>
    </row>
    <row r="76" spans="2:5" hidden="1" x14ac:dyDescent="0.25">
      <c r="B76" s="227" t="str">
        <f>'Project-Level Data'!B38</f>
        <v>Joint RW Transmission Project with SFID and OMWD</v>
      </c>
      <c r="C76" s="475" t="str">
        <f>'Project-Level Data'!C38</f>
        <v>Recycled Water</v>
      </c>
      <c r="D76" s="477"/>
      <c r="E76" s="381">
        <f>'Project-Level Data'!AN38</f>
        <v>2</v>
      </c>
    </row>
    <row r="77" spans="2:5" hidden="1" x14ac:dyDescent="0.25">
      <c r="B77" s="227" t="str">
        <f>'Project-Level Data'!B42</f>
        <v>Lilac Hills Ranch WRF</v>
      </c>
      <c r="C77" s="475" t="str">
        <f>'Project-Level Data'!C42</f>
        <v>Recycled Water</v>
      </c>
      <c r="D77" s="477"/>
      <c r="E77" s="381" t="str">
        <f>'Project-Level Data'!AN42</f>
        <v>No Response</v>
      </c>
    </row>
    <row r="78" spans="2:5" ht="15" hidden="1" customHeight="1" x14ac:dyDescent="0.25">
      <c r="B78" s="227" t="str">
        <f>'Project-Level Data'!B45</f>
        <v>Lower Moosa Canyon WRF</v>
      </c>
      <c r="C78" s="475" t="str">
        <f>'Project-Level Data'!C45</f>
        <v>Recycled Water</v>
      </c>
      <c r="D78" s="477"/>
      <c r="E78" s="381" t="str">
        <f>'Project-Level Data'!AN45</f>
        <v>No Response</v>
      </c>
    </row>
    <row r="79" spans="2:5" hidden="1" x14ac:dyDescent="0.25">
      <c r="B79" s="227" t="str">
        <f>'Project-Level Data'!B50</f>
        <v>Meadowlark WRF</v>
      </c>
      <c r="C79" s="475" t="str">
        <f>'Project-Level Data'!C50</f>
        <v>Recycled Water</v>
      </c>
      <c r="D79" s="477"/>
      <c r="E79" s="381" t="str">
        <f>'Project-Level Data'!AN50</f>
        <v>No Response</v>
      </c>
    </row>
    <row r="80" spans="2:5" hidden="1" x14ac:dyDescent="0.25">
      <c r="B80" s="227" t="str">
        <f>'Project-Level Data'!B51</f>
        <v>Meadowood WRF</v>
      </c>
      <c r="C80" s="475" t="str">
        <f>'Project-Level Data'!C51</f>
        <v>Recycled Water</v>
      </c>
      <c r="D80" s="477"/>
      <c r="E80" s="381" t="str">
        <f>'Project-Level Data'!AN51</f>
        <v>No Response</v>
      </c>
    </row>
    <row r="81" spans="2:5" hidden="1" x14ac:dyDescent="0.25">
      <c r="B81" s="227" t="str">
        <f>'Project-Level Data'!B61</f>
        <v>North City WRP - Project 1</v>
      </c>
      <c r="C81" s="475" t="str">
        <f>'Project-Level Data'!C61</f>
        <v>Recycled Water</v>
      </c>
      <c r="D81" s="477"/>
      <c r="E81" s="381">
        <f>'Project-Level Data'!AN61</f>
        <v>4</v>
      </c>
    </row>
    <row r="82" spans="2:5" ht="15" hidden="1" customHeight="1" x14ac:dyDescent="0.25">
      <c r="B82" s="227" t="str">
        <f>'Project-Level Data'!B62</f>
        <v>North City WRP - Project 2</v>
      </c>
      <c r="C82" s="475" t="str">
        <f>'Project-Level Data'!C62</f>
        <v>Recycled Water</v>
      </c>
      <c r="D82" s="477"/>
      <c r="E82" s="381">
        <f>'Project-Level Data'!AN62</f>
        <v>4</v>
      </c>
    </row>
    <row r="83" spans="2:5" hidden="1" x14ac:dyDescent="0.25">
      <c r="B83" s="227" t="str">
        <f>'Project-Level Data'!B63</f>
        <v>North District Recycled System/RW Chapman WRF</v>
      </c>
      <c r="C83" s="475" t="str">
        <f>'Project-Level Data'!C63</f>
        <v>Recycled Water</v>
      </c>
      <c r="D83" s="477"/>
      <c r="E83" s="381">
        <f>'Project-Level Data'!AN63</f>
        <v>2</v>
      </c>
    </row>
    <row r="84" spans="2:5" ht="15" hidden="1" customHeight="1" x14ac:dyDescent="0.25">
      <c r="B84" s="227" t="str">
        <f>'Project-Level Data'!B64</f>
        <v>North San Diego County Regional Recycled Water Project-Phase ll</v>
      </c>
      <c r="C84" s="475" t="str">
        <f>'Project-Level Data'!C64</f>
        <v>Recycled Water</v>
      </c>
      <c r="D84" s="477"/>
      <c r="E84" s="381">
        <f>'Project-Level Data'!AN64</f>
        <v>2</v>
      </c>
    </row>
    <row r="85" spans="2:5" ht="15" hidden="1" customHeight="1" x14ac:dyDescent="0.25">
      <c r="B85" s="227" t="str">
        <f>'Project-Level Data'!B65</f>
        <v>North Village WRF</v>
      </c>
      <c r="C85" s="475" t="str">
        <f>'Project-Level Data'!C65</f>
        <v>Recycled Water</v>
      </c>
      <c r="D85" s="477"/>
      <c r="E85" s="381" t="str">
        <f>'Project-Level Data'!AN65</f>
        <v>No Response</v>
      </c>
    </row>
    <row r="86" spans="2:5" hidden="1" x14ac:dyDescent="0.25">
      <c r="B86" s="227" t="str">
        <f>'Project-Level Data'!B66</f>
        <v>North WWTP Landscape Application</v>
      </c>
      <c r="C86" s="475" t="str">
        <f>'Project-Level Data'!C66</f>
        <v>Recycled Water</v>
      </c>
      <c r="D86" s="477"/>
      <c r="E86" s="381">
        <f>'Project-Level Data'!AN66</f>
        <v>4</v>
      </c>
    </row>
    <row r="87" spans="2:5" ht="15" hidden="1" customHeight="1" x14ac:dyDescent="0.25">
      <c r="B87" s="227" t="str">
        <f>'Project-Level Data'!B78</f>
        <v>Rancho Cielo</v>
      </c>
      <c r="C87" s="475" t="str">
        <f>'Project-Level Data'!C78</f>
        <v>Recycled Water</v>
      </c>
      <c r="D87" s="477"/>
      <c r="E87" s="381">
        <f>'Project-Level Data'!AN78</f>
        <v>4</v>
      </c>
    </row>
    <row r="88" spans="2:5" hidden="1" x14ac:dyDescent="0.25">
      <c r="B88" s="227" t="str">
        <f>'Project-Level Data'!B80</f>
        <v>Ray Stoyer WRF - Landscape, Irrigation, Dust Control</v>
      </c>
      <c r="C88" s="475" t="str">
        <f>'Project-Level Data'!C80</f>
        <v>Recycled Water</v>
      </c>
      <c r="D88" s="477"/>
      <c r="E88" s="381">
        <f>'Project-Level Data'!AN80</f>
        <v>4</v>
      </c>
    </row>
    <row r="89" spans="2:5" ht="15" hidden="1" customHeight="1" x14ac:dyDescent="0.25">
      <c r="B89" s="227" t="str">
        <f>'Project-Level Data'!B86</f>
        <v>Safari Drought Response and Outreach</v>
      </c>
      <c r="C89" s="475" t="str">
        <f>'Project-Level Data'!C86</f>
        <v>Recycled Water</v>
      </c>
      <c r="D89" s="477"/>
      <c r="E89" s="381" t="str">
        <f>'Project-Level Data'!AN86</f>
        <v>No Response</v>
      </c>
    </row>
    <row r="90" spans="2:5" hidden="1" x14ac:dyDescent="0.25">
      <c r="B90" s="227" t="str">
        <f>'Project-Level Data'!B102</f>
        <v>Santa Maria WRP</v>
      </c>
      <c r="C90" s="475" t="str">
        <f>'Project-Level Data'!C102</f>
        <v>Recycled Water</v>
      </c>
      <c r="D90" s="477"/>
      <c r="E90" s="381" t="str">
        <f>'Project-Level Data'!AN102</f>
        <v>No Response</v>
      </c>
    </row>
    <row r="91" spans="2:5" hidden="1" x14ac:dyDescent="0.25">
      <c r="B91" s="227" t="str">
        <f>'Project-Level Data'!B105</f>
        <v>Shadowridge WRP</v>
      </c>
      <c r="C91" s="475" t="str">
        <f>'Project-Level Data'!C105</f>
        <v>Recycled Water</v>
      </c>
      <c r="D91" s="477"/>
      <c r="E91" s="381" t="str">
        <f>'Project-Level Data'!AN105</f>
        <v>No Response</v>
      </c>
    </row>
    <row r="92" spans="2:5" ht="25.5" hidden="1" x14ac:dyDescent="0.25">
      <c r="B92" s="227" t="str">
        <f>'Project-Level Data'!B118</f>
        <v>TBD - Evaluation Multiple Options/TBD - Supply/ Source Treatment Plant/Agency for recycled water</v>
      </c>
      <c r="C92" s="475" t="str">
        <f>'Project-Level Data'!C118</f>
        <v>Recycled Water</v>
      </c>
      <c r="D92" s="477"/>
      <c r="E92" s="381">
        <f>'Project-Level Data'!AN118</f>
        <v>4</v>
      </c>
    </row>
    <row r="93" spans="2:5" hidden="1" x14ac:dyDescent="0.25">
      <c r="B93" s="227" t="str">
        <f>'Project-Level Data'!B122</f>
        <v>Village Park Recycled Water Expansion Project</v>
      </c>
      <c r="C93" s="475" t="str">
        <f>'Project-Level Data'!C122</f>
        <v>Recycled Water</v>
      </c>
      <c r="D93" s="477"/>
      <c r="E93" s="381">
        <f>'Project-Level Data'!AN122</f>
        <v>2</v>
      </c>
    </row>
    <row r="94" spans="2:5" hidden="1" x14ac:dyDescent="0.25">
      <c r="B94" s="227" t="str">
        <f>'Project-Level Data'!B123</f>
        <v>W+157:181RP/Recycled Water Distribution System</v>
      </c>
      <c r="C94" s="475" t="str">
        <f>'Project-Level Data'!C123</f>
        <v>Recycled Water</v>
      </c>
      <c r="D94" s="477"/>
      <c r="E94" s="381" t="str">
        <f>'Project-Level Data'!AN123</f>
        <v>No Response</v>
      </c>
    </row>
    <row r="95" spans="2:5" hidden="1" x14ac:dyDescent="0.25">
      <c r="B95" s="227" t="str">
        <f>'Project-Level Data'!B124</f>
        <v>Welk WRF</v>
      </c>
      <c r="C95" s="475" t="str">
        <f>'Project-Level Data'!C124</f>
        <v>Recycled Water</v>
      </c>
      <c r="D95" s="477"/>
      <c r="E95" s="381" t="str">
        <f>'Project-Level Data'!AN124</f>
        <v>No Response</v>
      </c>
    </row>
    <row r="96" spans="2:5" hidden="1" x14ac:dyDescent="0.25">
      <c r="B96" s="227" t="str">
        <f>'Project-Level Data'!B125</f>
        <v>Woods Valley Ranch WRF Phase 3</v>
      </c>
      <c r="C96" s="475" t="str">
        <f>'Project-Level Data'!C125</f>
        <v>Recycled Water</v>
      </c>
      <c r="D96" s="477"/>
      <c r="E96" s="381" t="str">
        <f>'Project-Level Data'!AN125</f>
        <v>No Response</v>
      </c>
    </row>
    <row r="97" spans="1:5" hidden="1" x14ac:dyDescent="0.25">
      <c r="B97" s="227" t="str">
        <f>'Project-Level Data'!B15</f>
        <v>Camp Pendleton Desalination Facility</v>
      </c>
      <c r="C97" s="475" t="str">
        <f>'Project-Level Data'!C15</f>
        <v>Seawater Desalination</v>
      </c>
      <c r="D97" s="477"/>
      <c r="E97" s="381" t="str">
        <f>'Project-Level Data'!AN15</f>
        <v>MISSING</v>
      </c>
    </row>
    <row r="98" spans="1:5" ht="15" hidden="1" customHeight="1" x14ac:dyDescent="0.25">
      <c r="B98" s="227" t="str">
        <f>'Project-Level Data'!B83</f>
        <v>Re-rating of Carlsbad Desalination for higher flow</v>
      </c>
      <c r="C98" s="475" t="str">
        <f>'Project-Level Data'!C83</f>
        <v>Seawater Desalination</v>
      </c>
      <c r="D98" s="477"/>
      <c r="E98" s="381" t="str">
        <f>'Project-Level Data'!AN83</f>
        <v>No Response</v>
      </c>
    </row>
    <row r="99" spans="1:5" ht="15" hidden="1" customHeight="1" x14ac:dyDescent="0.25">
      <c r="B99" s="227" t="str">
        <f>'Project-Level Data'!B85</f>
        <v>Rosarito Beach Desalination</v>
      </c>
      <c r="C99" s="475" t="str">
        <f>'Project-Level Data'!C85</f>
        <v>Seawater Desalination</v>
      </c>
      <c r="D99" s="477"/>
      <c r="E99" s="381">
        <f>'Project-Level Data'!AN85</f>
        <v>2</v>
      </c>
    </row>
    <row r="100" spans="1:5" ht="38.25" hidden="1" x14ac:dyDescent="0.25">
      <c r="B100" s="227" t="str">
        <f>'Project-Level Data'!B9</f>
        <v>Alternative Compliance Retrofit Project El Norte Parkway and Rincon
Villa Drive, Escondido</v>
      </c>
      <c r="C100" s="475" t="str">
        <f>'Project-Level Data'!C9</f>
        <v>Stormwater BMPs</v>
      </c>
      <c r="D100" s="477"/>
      <c r="E100" s="381" t="str">
        <f>'Project-Level Data'!AN9</f>
        <v>No Response</v>
      </c>
    </row>
    <row r="101" spans="1:5" ht="15" hidden="1" customHeight="1" x14ac:dyDescent="0.25">
      <c r="B101" s="227" t="str">
        <f>'Project-Level Data'!B10</f>
        <v>Alternative Compliance Retrofit Project Mountain View Park, Escondido</v>
      </c>
      <c r="C101" s="475" t="str">
        <f>'Project-Level Data'!C10</f>
        <v>Stormwater BMPs</v>
      </c>
      <c r="D101" s="477"/>
      <c r="E101" s="381" t="str">
        <f>'Project-Level Data'!AN10</f>
        <v>No Response</v>
      </c>
    </row>
    <row r="102" spans="1:5" hidden="1" x14ac:dyDescent="0.25">
      <c r="B102" s="227" t="str">
        <f>'Project-Level Data'!B11</f>
        <v>Bakersfield Street and San Altos Channel Restoration</v>
      </c>
      <c r="C102" s="475" t="str">
        <f>'Project-Level Data'!C11</f>
        <v>Stormwater BMPs</v>
      </c>
      <c r="D102" s="477"/>
      <c r="E102" s="381" t="str">
        <f>'Project-Level Data'!AN11</f>
        <v>MISSING</v>
      </c>
    </row>
    <row r="103" spans="1:5" ht="38.25" hidden="1" x14ac:dyDescent="0.25">
      <c r="B103" s="227" t="str">
        <f>'Project-Level Data'!B12</f>
        <v>Broadway Channel Flood Risk Reduction and Water Quality
Improvements</v>
      </c>
      <c r="C103" s="475" t="str">
        <f>'Project-Level Data'!C12</f>
        <v>Stormwater BMPs</v>
      </c>
      <c r="D103" s="477"/>
      <c r="E103" s="381">
        <f>'Project-Level Data'!AN12</f>
        <v>2</v>
      </c>
    </row>
    <row r="104" spans="1:5" hidden="1" x14ac:dyDescent="0.25">
      <c r="A104" s="16"/>
      <c r="B104" s="227" t="str">
        <f>'Project-Level Data'!B20</f>
        <v>City of Oceanside Loma Alta Slough Restoration Project</v>
      </c>
      <c r="C104" s="475" t="str">
        <f>'Project-Level Data'!C20</f>
        <v>Stormwater BMPs</v>
      </c>
      <c r="D104" s="477"/>
      <c r="E104" s="381" t="str">
        <f>'Project-Level Data'!AN20</f>
        <v>No Response</v>
      </c>
    </row>
    <row r="105" spans="1:5" hidden="1" x14ac:dyDescent="0.25">
      <c r="B105" s="227" t="str">
        <f>'Project-Level Data'!B32</f>
        <v>Golden Ave Green Street</v>
      </c>
      <c r="C105" s="475" t="str">
        <f>'Project-Level Data'!C32</f>
        <v>Stormwater BMPs</v>
      </c>
      <c r="D105" s="477"/>
      <c r="E105" s="381" t="str">
        <f>'Project-Level Data'!AN32</f>
        <v>MISSING</v>
      </c>
    </row>
    <row r="106" spans="1:5" hidden="1" x14ac:dyDescent="0.25">
      <c r="B106" s="227" t="str">
        <f>'Project-Level Data'!B39</f>
        <v>Las Colinas Channel Improvments</v>
      </c>
      <c r="C106" s="475" t="str">
        <f>'Project-Level Data'!C39</f>
        <v>Stormwater BMPs</v>
      </c>
      <c r="D106" s="477"/>
      <c r="E106" s="381">
        <f>'Project-Level Data'!AN39</f>
        <v>2</v>
      </c>
    </row>
    <row r="107" spans="1:5" hidden="1" x14ac:dyDescent="0.25">
      <c r="B107" s="227" t="str">
        <f>'Project-Level Data'!B40</f>
        <v>Lemon Grove Avenue Green Streets</v>
      </c>
      <c r="C107" s="475" t="str">
        <f>'Project-Level Data'!C40</f>
        <v>Stormwater BMPs</v>
      </c>
      <c r="D107" s="477"/>
      <c r="E107" s="381" t="str">
        <f>'Project-Level Data'!AN40</f>
        <v>MISSING</v>
      </c>
    </row>
    <row r="108" spans="1:5" ht="25.5" hidden="1" x14ac:dyDescent="0.25">
      <c r="B108" s="227" t="str">
        <f>'Project-Level Data'!B41</f>
        <v>Leucadia Roadside Park Stormwater Capture/Reuse Project</v>
      </c>
      <c r="C108" s="475" t="str">
        <f>'Project-Level Data'!C41</f>
        <v>Stormwater BMPs</v>
      </c>
      <c r="D108" s="477"/>
      <c r="E108" s="381">
        <f>'Project-Level Data'!AN41</f>
        <v>4</v>
      </c>
    </row>
    <row r="109" spans="1:5" hidden="1" x14ac:dyDescent="0.25">
      <c r="B109" s="227" t="str">
        <f>'Project-Level Data'!B43</f>
        <v>Lincoln St Green Street</v>
      </c>
      <c r="C109" s="475" t="str">
        <f>'Project-Level Data'!C43</f>
        <v>Stormwater BMPs</v>
      </c>
      <c r="D109" s="477"/>
      <c r="E109" s="381" t="str">
        <f>'Project-Level Data'!AN43</f>
        <v>MISSING</v>
      </c>
    </row>
    <row r="110" spans="1:5" ht="15" hidden="1" customHeight="1" x14ac:dyDescent="0.25">
      <c r="B110" s="227" t="str">
        <f>'Project-Level Data'!B44</f>
        <v xml:space="preserve">Low Impact Development Urban Runoff Control Projects for the Tijuana Estuary </v>
      </c>
      <c r="C110" s="475" t="str">
        <f>'Project-Level Data'!C44</f>
        <v>Stormwater BMPs</v>
      </c>
      <c r="D110" s="477"/>
      <c r="E110" s="381">
        <f>'Project-Level Data'!AN44</f>
        <v>5</v>
      </c>
    </row>
    <row r="111" spans="1:5" ht="15" hidden="1" customHeight="1" x14ac:dyDescent="0.25">
      <c r="B111" s="227" t="str">
        <f>'Project-Level Data'!B46</f>
        <v>Madera St Green Street</v>
      </c>
      <c r="C111" s="475" t="str">
        <f>'Project-Level Data'!C46</f>
        <v>Stormwater BMPs</v>
      </c>
      <c r="D111" s="477"/>
      <c r="E111" s="381" t="str">
        <f>'Project-Level Data'!AN46</f>
        <v>MISSING</v>
      </c>
    </row>
    <row r="112" spans="1:5" hidden="1" x14ac:dyDescent="0.25">
      <c r="B112" s="227" t="str">
        <f>'Project-Level Data'!B47</f>
        <v>Main Street Promenade Extension</v>
      </c>
      <c r="C112" s="475" t="str">
        <f>'Project-Level Data'!C47</f>
        <v>Stormwater BMPs</v>
      </c>
      <c r="D112" s="477"/>
      <c r="E112" s="381" t="str">
        <f>'Project-Level Data'!AN47</f>
        <v>MISSING</v>
      </c>
    </row>
    <row r="113" spans="2:5" ht="15" hidden="1" customHeight="1" x14ac:dyDescent="0.25">
      <c r="B113" s="227" t="str">
        <f>'Project-Level Data'!B48</f>
        <v>Mapleview Street ‐ Green Infrastructure and Stormwater QualityImprovement Project</v>
      </c>
      <c r="C113" s="475" t="str">
        <f>'Project-Level Data'!C48</f>
        <v>Stormwater BMPs</v>
      </c>
      <c r="D113" s="477"/>
      <c r="E113" s="381">
        <f>'Project-Level Data'!AN48</f>
        <v>5</v>
      </c>
    </row>
    <row r="114" spans="2:5" ht="25.5" hidden="1" x14ac:dyDescent="0.25">
      <c r="B114" s="227" t="str">
        <f>'Project-Level Data'!B71</f>
        <v>Paradise Valley Creek Water Quality and Community Enhancement</v>
      </c>
      <c r="C114" s="475" t="str">
        <f>'Project-Level Data'!C71</f>
        <v>Stormwater BMPs</v>
      </c>
      <c r="D114" s="477"/>
      <c r="E114" s="381">
        <f>'Project-Level Data'!AN71</f>
        <v>2</v>
      </c>
    </row>
    <row r="115" spans="2:5" ht="25.5" hidden="1" x14ac:dyDescent="0.25">
      <c r="B115" s="227" t="str">
        <f>'Project-Level Data'!B74</f>
        <v>Pure Water - Los Penasquitos Creek Urban Dry-Weather Water Harvesting</v>
      </c>
      <c r="C115" s="475" t="str">
        <f>'Project-Level Data'!C74</f>
        <v>Stormwater BMPs</v>
      </c>
      <c r="D115" s="477"/>
      <c r="E115" s="381">
        <f>'Project-Level Data'!AN74</f>
        <v>3</v>
      </c>
    </row>
    <row r="116" spans="2:5" hidden="1" x14ac:dyDescent="0.25">
      <c r="B116" s="227" t="str">
        <f>'Project-Level Data'!B87</f>
        <v>Safari Park Storm Water Capture and Reuse Project</v>
      </c>
      <c r="C116" s="475" t="str">
        <f>'Project-Level Data'!C87</f>
        <v>Stormwater BMPs</v>
      </c>
      <c r="D116" s="477"/>
      <c r="E116" s="381" t="str">
        <f>'Project-Level Data'!AN87</f>
        <v>No Response</v>
      </c>
    </row>
    <row r="117" spans="2:5" ht="25.5" hidden="1" x14ac:dyDescent="0.25">
      <c r="B117" s="227" t="str">
        <f>'Project-Level Data'!B88</f>
        <v>Safari Park Water Reuse Sustainability and Watershed Protection Prgram</v>
      </c>
      <c r="C117" s="475" t="str">
        <f>'Project-Level Data'!C88</f>
        <v>Stormwater BMPs</v>
      </c>
      <c r="D117" s="477"/>
      <c r="E117" s="381" t="str">
        <f>'Project-Level Data'!AN88</f>
        <v>No Response</v>
      </c>
    </row>
    <row r="118" spans="2:5" ht="15" hidden="1" customHeight="1" x14ac:dyDescent="0.25">
      <c r="B118" s="227" t="str">
        <f>'Project-Level Data'!B96</f>
        <v>San Marino Drive Green Street and Dry Weather Flow Management Sweetwater</v>
      </c>
      <c r="C118" s="475" t="str">
        <f>'Project-Level Data'!C96</f>
        <v>Stormwater BMPs</v>
      </c>
      <c r="D118" s="477"/>
      <c r="E118" s="381">
        <f>'Project-Level Data'!AN96</f>
        <v>2</v>
      </c>
    </row>
    <row r="119" spans="2:5" ht="25.5" hidden="1" x14ac:dyDescent="0.25">
      <c r="B119" s="227" t="str">
        <f>'Project-Level Data'!B97</f>
        <v>San Marino Drive Green Street and Dry Weather Flow Management Vallecitos</v>
      </c>
      <c r="C119" s="475" t="str">
        <f>'Project-Level Data'!C97</f>
        <v>Stormwater BMPs</v>
      </c>
      <c r="D119" s="477"/>
      <c r="E119" s="381">
        <f>'Project-Level Data'!AN97</f>
        <v>2</v>
      </c>
    </row>
    <row r="120" spans="2:5" ht="15" hidden="1" customHeight="1" x14ac:dyDescent="0.25">
      <c r="B120" s="227" t="str">
        <f>'Project-Level Data'!B98</f>
        <v>San Miguel Green Street</v>
      </c>
      <c r="C120" s="475" t="str">
        <f>'Project-Level Data'!C98</f>
        <v>Stormwater BMPs</v>
      </c>
      <c r="D120" s="477"/>
      <c r="E120" s="381" t="str">
        <f>'Project-Level Data'!AN98</f>
        <v>No Response</v>
      </c>
    </row>
    <row r="121" spans="2:5" ht="15" hidden="1" customHeight="1" x14ac:dyDescent="0.25">
      <c r="B121" s="227" t="str">
        <f>'Project-Level Data'!B106</f>
        <v>Skyline Dr and Kempt St Green Streets</v>
      </c>
      <c r="C121" s="475" t="str">
        <f>'Project-Level Data'!C106</f>
        <v>Stormwater BMPs</v>
      </c>
      <c r="D121" s="477"/>
      <c r="E121" s="381" t="str">
        <f>'Project-Level Data'!AN106</f>
        <v>MISSING</v>
      </c>
    </row>
    <row r="122" spans="2:5" ht="15" hidden="1" customHeight="1" x14ac:dyDescent="0.25">
      <c r="B122" s="227" t="str">
        <f>'Project-Level Data'!B107</f>
        <v>South Santa Fe Green Street Project</v>
      </c>
      <c r="C122" s="475" t="str">
        <f>'Project-Level Data'!C107</f>
        <v>Stormwater BMPs</v>
      </c>
      <c r="D122" s="477"/>
      <c r="E122" s="381">
        <f>'Project-Level Data'!AN107</f>
        <v>2</v>
      </c>
    </row>
    <row r="123" spans="2:5" hidden="1" x14ac:dyDescent="0.25">
      <c r="B123" s="227" t="str">
        <f>'Project-Level Data'!B111</f>
        <v>Spruce Street Channel Improvement Project</v>
      </c>
      <c r="C123" s="475" t="str">
        <f>'Project-Level Data'!C111</f>
        <v>Stormwater BMPs</v>
      </c>
      <c r="D123" s="477"/>
      <c r="E123" s="381" t="str">
        <f>'Project-Level Data'!AN111</f>
        <v>No Response</v>
      </c>
    </row>
    <row r="124" spans="2:5" ht="25.5" hidden="1" x14ac:dyDescent="0.25">
      <c r="B124" s="227" t="str">
        <f>'Project-Level Data'!B112</f>
        <v>Storm water Capture off San Diego River along Alvarado Canyon and Fairmont Canyon to Fish and Wildlife site</v>
      </c>
      <c r="C124" s="475" t="str">
        <f>'Project-Level Data'!C112</f>
        <v>Stormwater BMPs</v>
      </c>
      <c r="D124" s="477"/>
      <c r="E124" s="381">
        <f>'Project-Level Data'!AN112</f>
        <v>2</v>
      </c>
    </row>
    <row r="125" spans="2:5" hidden="1" x14ac:dyDescent="0.25">
      <c r="B125" s="227" t="str">
        <f>'Project-Level Data'!B114</f>
        <v>Sweetwater Rd Green Street</v>
      </c>
      <c r="C125" s="475" t="str">
        <f>'Project-Level Data'!C114</f>
        <v>Stormwater BMPs</v>
      </c>
      <c r="D125" s="477"/>
      <c r="E125" s="381" t="str">
        <f>'Project-Level Data'!AN114</f>
        <v>MISSING</v>
      </c>
    </row>
    <row r="126" spans="2:5" hidden="1" x14ac:dyDescent="0.25">
      <c r="B126" s="227" t="str">
        <f>'Project-Level Data'!B116</f>
        <v>Sweetwater River Park Bioretention</v>
      </c>
      <c r="C126" s="475" t="str">
        <f>'Project-Level Data'!C116</f>
        <v>Stormwater BMPs</v>
      </c>
      <c r="D126" s="477"/>
      <c r="E126" s="381" t="str">
        <f>'Project-Level Data'!AN116</f>
        <v>No Response</v>
      </c>
    </row>
    <row r="127" spans="2:5" hidden="1" x14ac:dyDescent="0.25">
      <c r="B127" s="227" t="str">
        <f>'Project-Level Data'!B119</f>
        <v>Telegraph Canyon Channel Improvement Project</v>
      </c>
      <c r="C127" s="475" t="str">
        <f>'Project-Level Data'!C119</f>
        <v>Stormwater BMPs</v>
      </c>
      <c r="D127" s="477"/>
      <c r="E127" s="381" t="str">
        <f>'Project-Level Data'!AN119</f>
        <v>No Response</v>
      </c>
    </row>
    <row r="128" spans="2:5" hidden="1" x14ac:dyDescent="0.25">
      <c r="B128" s="227" t="str">
        <f>'Project-Level Data'!B126</f>
        <v>Woodside Avenue Complete Green Street</v>
      </c>
      <c r="C128" s="475" t="str">
        <f>'Project-Level Data'!C126</f>
        <v>Stormwater BMPs</v>
      </c>
      <c r="D128" s="477"/>
      <c r="E128" s="381">
        <f>'Project-Level Data'!AN126</f>
        <v>2</v>
      </c>
    </row>
    <row r="129" spans="1:5" ht="15" hidden="1" customHeight="1" x14ac:dyDescent="0.25">
      <c r="B129" s="227" t="str">
        <f>'Project-Level Data'!B57</f>
        <v>Murray Urban Runoff Diversion System Capture</v>
      </c>
      <c r="C129" s="475" t="str">
        <f>'Project-Level Data'!C57</f>
        <v>Stormwater Capture</v>
      </c>
      <c r="D129" s="477"/>
      <c r="E129" s="381">
        <f>'Project-Level Data'!AN57</f>
        <v>2</v>
      </c>
    </row>
    <row r="130" spans="1:5" hidden="1" x14ac:dyDescent="0.25">
      <c r="B130" s="227" t="str">
        <f>'Project-Level Data'!B77</f>
        <v>Rainwater harvesting</v>
      </c>
      <c r="C130" s="475" t="str">
        <f>'Project-Level Data'!C77</f>
        <v>Stormwater Capture</v>
      </c>
      <c r="D130" s="477"/>
      <c r="E130" s="381">
        <f>'Project-Level Data'!AN77</f>
        <v>5</v>
      </c>
    </row>
    <row r="131" spans="1:5" hidden="1" x14ac:dyDescent="0.25">
      <c r="B131" s="227" t="str">
        <f>'Project-Level Data'!B55</f>
        <v xml:space="preserve">Ms. Smarty-Plants Grows Water-Wise Schools </v>
      </c>
      <c r="C131" s="475" t="str">
        <f>'Project-Level Data'!C55</f>
        <v>Urban and Agricultural Water Use Efficiency</v>
      </c>
      <c r="D131" s="477"/>
      <c r="E131" s="381" t="str">
        <f>'Project-Level Data'!AN55</f>
        <v>No Response</v>
      </c>
    </row>
    <row r="132" spans="1:5" ht="15" hidden="1" customHeight="1" x14ac:dyDescent="0.25">
      <c r="B132" s="227" t="str">
        <f>'Project-Level Data'!B81</f>
        <v>Regional Demand Management Program Expansion</v>
      </c>
      <c r="C132" s="475" t="str">
        <f>'Project-Level Data'!C81</f>
        <v>Urban and Agricultural Water Use Efficiency</v>
      </c>
      <c r="D132" s="477"/>
      <c r="E132" s="381">
        <f>'Project-Level Data'!AN81</f>
        <v>4</v>
      </c>
    </row>
    <row r="133" spans="1:5" hidden="1" x14ac:dyDescent="0.25">
      <c r="B133" s="227" t="str">
        <f>'Project-Level Data'!B82</f>
        <v>Regional Drought Resilience Program</v>
      </c>
      <c r="C133" s="475" t="str">
        <f>'Project-Level Data'!C82</f>
        <v>Urban and Agricultural Water Use Efficiency</v>
      </c>
      <c r="D133" s="477"/>
      <c r="E133" s="381">
        <f>'Project-Level Data'!AN82</f>
        <v>4</v>
      </c>
    </row>
    <row r="134" spans="1:5" hidden="1" x14ac:dyDescent="0.25">
      <c r="A134" s="14"/>
      <c r="B134" s="227" t="str">
        <f>'Project-Level Data'!B84</f>
        <v>Rincon Customer-Driven Demand Management Program</v>
      </c>
      <c r="C134" s="475" t="str">
        <f>'Project-Level Data'!C84</f>
        <v>Urban and Agricultural Water Use Efficiency</v>
      </c>
      <c r="D134" s="477"/>
      <c r="E134" s="381" t="str">
        <f>'Project-Level Data'!AN84</f>
        <v>No Response</v>
      </c>
    </row>
    <row r="135" spans="1:5" hidden="1" x14ac:dyDescent="0.25">
      <c r="B135" s="227" t="str">
        <f>'Project-Level Data'!B92</f>
        <v>San Diego Water Conservation Program</v>
      </c>
      <c r="C135" s="475" t="str">
        <f>'Project-Level Data'!C92</f>
        <v>Urban and Agricultural Water Use Efficiency</v>
      </c>
      <c r="D135" s="477"/>
      <c r="E135" s="381">
        <f>'Project-Level Data'!AN92</f>
        <v>4</v>
      </c>
    </row>
    <row r="136" spans="1:5" hidden="1" x14ac:dyDescent="0.25">
      <c r="B136" s="227" t="str">
        <f>'Project-Level Data'!B93</f>
        <v>San Diego Water Use Reduction Program</v>
      </c>
      <c r="C136" s="475" t="str">
        <f>'Project-Level Data'!C93</f>
        <v>Urban and Agricultural Water Use Efficiency</v>
      </c>
      <c r="D136" s="477"/>
      <c r="E136" s="381">
        <f>'Project-Level Data'!AN93</f>
        <v>5</v>
      </c>
    </row>
    <row r="137" spans="1:5" ht="25.5" hidden="1" x14ac:dyDescent="0.25">
      <c r="B137" s="227" t="str">
        <f>'Project-Level Data'!B121</f>
        <v>UC San Diego Water Conservation and Watershed Protection</v>
      </c>
      <c r="C137" s="475" t="str">
        <f>'Project-Level Data'!C121</f>
        <v>Urban and Agricultural Water Use Efficiency</v>
      </c>
      <c r="D137" s="477"/>
      <c r="E137" s="381">
        <f>'Project-Level Data'!AN121</f>
        <v>4</v>
      </c>
    </row>
    <row r="138" spans="1:5" hidden="1" x14ac:dyDescent="0.25">
      <c r="B138" s="227" t="str">
        <f>'Project-Level Data'!B7</f>
        <v>69th St Green Street</v>
      </c>
      <c r="C138" s="475" t="str">
        <f>'Project-Level Data'!C7</f>
        <v>Watershed and Ecosystem Management</v>
      </c>
      <c r="D138" s="477"/>
      <c r="E138" s="381" t="str">
        <f>'Project-Level Data'!AN7</f>
        <v>MISSING</v>
      </c>
    </row>
    <row r="139" spans="1:5" ht="38.25" hidden="1" x14ac:dyDescent="0.25">
      <c r="B139" s="227" t="str">
        <f>'Project-Level Data'!B8</f>
        <v>Alternative Compliance Retrofit Project Avenida Del Diablo Park,
Escondido</v>
      </c>
      <c r="C139" s="475" t="str">
        <f>'Project-Level Data'!C8</f>
        <v>Watershed and Ecosystem Management</v>
      </c>
      <c r="D139" s="477"/>
      <c r="E139" s="381" t="str">
        <f>'Project-Level Data'!AN8</f>
        <v>No Response</v>
      </c>
    </row>
    <row r="140" spans="1:5" hidden="1" x14ac:dyDescent="0.25">
      <c r="B140" s="227" t="str">
        <f>'Project-Level Data'!B13</f>
        <v>Broadway/Federal Blvd Green Street</v>
      </c>
      <c r="C140" s="475" t="str">
        <f>'Project-Level Data'!C13</f>
        <v>Watershed and Ecosystem Management</v>
      </c>
      <c r="D140" s="477"/>
      <c r="E140" s="381" t="str">
        <f>'Project-Level Data'!AN13</f>
        <v>MISSING</v>
      </c>
    </row>
    <row r="141" spans="1:5" ht="25.5" hidden="1" customHeight="1" x14ac:dyDescent="0.25">
      <c r="B141" s="227" t="str">
        <f>'Project-Level Data'!B16</f>
        <v>Canton Dr Green Street</v>
      </c>
      <c r="C141" s="475" t="str">
        <f>'Project-Level Data'!C16</f>
        <v>Watershed and Ecosystem Management</v>
      </c>
      <c r="D141" s="477"/>
      <c r="E141" s="381" t="str">
        <f>'Project-Level Data'!AN16</f>
        <v>MISSING</v>
      </c>
    </row>
    <row r="142" spans="1:5" hidden="1" x14ac:dyDescent="0.25">
      <c r="B142" s="227" t="str">
        <f>'Project-Level Data'!B19</f>
        <v>Central Avenue Green Street</v>
      </c>
      <c r="C142" s="475" t="str">
        <f>'Project-Level Data'!C19</f>
        <v>Watershed and Ecosystem Management</v>
      </c>
      <c r="D142" s="477"/>
      <c r="E142" s="381" t="str">
        <f>'Project-Level Data'!AN19</f>
        <v>MISSING</v>
      </c>
    </row>
    <row r="143" spans="1:5" hidden="1" x14ac:dyDescent="0.25">
      <c r="B143" s="227" t="str">
        <f>'Project-Level Data'!B30</f>
        <v>Federal Blvd Channel</v>
      </c>
      <c r="C143" s="475" t="str">
        <f>'Project-Level Data'!C30</f>
        <v>Watershed and Ecosystem Management</v>
      </c>
      <c r="D143" s="477"/>
      <c r="E143" s="381" t="str">
        <f>'Project-Level Data'!AN30</f>
        <v>MISSING</v>
      </c>
    </row>
    <row r="144" spans="1:5" ht="15" hidden="1" customHeight="1" x14ac:dyDescent="0.25">
      <c r="B144" s="227" t="str">
        <f>'Project-Level Data'!B31</f>
        <v>Hodges Water Quality Improvement Program</v>
      </c>
      <c r="C144" s="475" t="str">
        <f>'Project-Level Data'!C31</f>
        <v>Watershed and Ecosystem Management</v>
      </c>
      <c r="D144" s="477"/>
      <c r="E144" s="381">
        <f>'Project-Level Data'!AN31</f>
        <v>1</v>
      </c>
    </row>
    <row r="145" spans="2:5" hidden="1" x14ac:dyDescent="0.25">
      <c r="B145" s="227" t="str">
        <f>'Project-Level Data'!B49</f>
        <v>Massachusetts Blvd Green Street</v>
      </c>
      <c r="C145" s="475" t="str">
        <f>'Project-Level Data'!C49</f>
        <v>Watershed and Ecosystem Management</v>
      </c>
      <c r="D145" s="477"/>
      <c r="E145" s="381" t="str">
        <f>'Project-Level Data'!AN49</f>
        <v>MISSING</v>
      </c>
    </row>
    <row r="146" spans="2:5" ht="15" hidden="1" customHeight="1" x14ac:dyDescent="0.25">
      <c r="B146" s="227" t="str">
        <f>'Project-Level Data'!B56</f>
        <v>Mt. Vernon St Green Street</v>
      </c>
      <c r="C146" s="475" t="str">
        <f>'Project-Level Data'!C56</f>
        <v>Watershed and Ecosystem Management</v>
      </c>
      <c r="D146" s="477"/>
      <c r="E146" s="381" t="str">
        <f>'Project-Level Data'!AN56</f>
        <v>MISSING</v>
      </c>
    </row>
    <row r="147" spans="2:5" hidden="1" x14ac:dyDescent="0.25">
      <c r="B147" s="227" t="str">
        <f>'Project-Level Data'!B58</f>
        <v>Nestor Creek Channel Restoration</v>
      </c>
      <c r="C147" s="475" t="str">
        <f>'Project-Level Data'!C58</f>
        <v>Watershed and Ecosystem Management</v>
      </c>
      <c r="D147" s="477"/>
      <c r="E147" s="381" t="str">
        <f>'Project-Level Data'!AN58</f>
        <v>No Response</v>
      </c>
    </row>
    <row r="148" spans="2:5" hidden="1" x14ac:dyDescent="0.25">
      <c r="B148" s="227" t="str">
        <f>'Project-Level Data'!B60</f>
        <v>North Ave and Grove Green Street</v>
      </c>
      <c r="C148" s="475" t="str">
        <f>'Project-Level Data'!C60</f>
        <v>Watershed and Ecosystem Management</v>
      </c>
      <c r="D148" s="477"/>
      <c r="E148" s="381" t="str">
        <f>'Project-Level Data'!AN60</f>
        <v>MISSING</v>
      </c>
    </row>
    <row r="149" spans="2:5" ht="15" hidden="1" customHeight="1" x14ac:dyDescent="0.25">
      <c r="B149" s="227" t="str">
        <f>'Project-Level Data'!B69</f>
        <v>Palm St Green Street</v>
      </c>
      <c r="C149" s="475" t="str">
        <f>'Project-Level Data'!C69</f>
        <v>Watershed and Ecosystem Management</v>
      </c>
      <c r="D149" s="477"/>
      <c r="E149" s="381" t="str">
        <f>'Project-Level Data'!AN69</f>
        <v>MISSING</v>
      </c>
    </row>
    <row r="150" spans="2:5" hidden="1" x14ac:dyDescent="0.25">
      <c r="B150" s="227" t="str">
        <f>'Project-Level Data'!B70</f>
        <v>Paradise Creek Restoration Phase II</v>
      </c>
      <c r="C150" s="475" t="str">
        <f>'Project-Level Data'!C70</f>
        <v>Watershed and Ecosystem Management</v>
      </c>
      <c r="D150" s="477"/>
      <c r="E150" s="381">
        <f>'Project-Level Data'!AN70</f>
        <v>2</v>
      </c>
    </row>
    <row r="151" spans="2:5" hidden="1" x14ac:dyDescent="0.25">
      <c r="B151" s="227" t="str">
        <f>'Project-Level Data'!B91</f>
        <v>San Diego Healthy Headwaters Restoration</v>
      </c>
      <c r="C151" s="475" t="str">
        <f>'Project-Level Data'!C91</f>
        <v>Watershed and Ecosystem Management</v>
      </c>
      <c r="D151" s="477"/>
      <c r="E151" s="381">
        <f>'Project-Level Data'!AN91</f>
        <v>4</v>
      </c>
    </row>
    <row r="152" spans="2:5" ht="25.5" hidden="1" x14ac:dyDescent="0.25">
      <c r="B152" s="227" t="str">
        <f>'Project-Level Data'!B113</f>
        <v>Sustaining Healthy Tributaries to the Upper San Diego River and Protecting Local Water Supplies</v>
      </c>
      <c r="C152" s="475" t="str">
        <f>'Project-Level Data'!C113</f>
        <v>Watershed and Ecosystem Management</v>
      </c>
      <c r="D152" s="477"/>
      <c r="E152" s="381" t="str">
        <f>'Project-Level Data'!AN113</f>
        <v>No Response</v>
      </c>
    </row>
    <row r="153" spans="2:5" hidden="1" x14ac:dyDescent="0.25">
      <c r="B153" s="227" t="str">
        <f>'Project-Level Data'!B115</f>
        <v>Sweetwater Reservoir Wetlands Habitat Recovery</v>
      </c>
      <c r="C153" s="475" t="str">
        <f>'Project-Level Data'!C115</f>
        <v>Watershed and Ecosystem Management</v>
      </c>
      <c r="D153" s="477"/>
      <c r="E153" s="381">
        <f>'Project-Level Data'!AN115</f>
        <v>2</v>
      </c>
    </row>
    <row r="154" spans="2:5" hidden="1" x14ac:dyDescent="0.25">
      <c r="B154" s="227" t="str">
        <f>'Project-Level Data'!B117</f>
        <v>Sycamore Creek Restoration</v>
      </c>
      <c r="C154" s="475" t="str">
        <f>'Project-Level Data'!C117</f>
        <v>Watershed and Ecosystem Management</v>
      </c>
      <c r="D154" s="477"/>
      <c r="E154" s="381">
        <f>'Project-Level Data'!AN117</f>
        <v>4</v>
      </c>
    </row>
    <row r="155" spans="2:5" ht="15.75" hidden="1" thickBot="1" x14ac:dyDescent="0.3">
      <c r="B155" s="508" t="str">
        <f>'Project-Level Data'!B120</f>
        <v>Tijuana River Floating Trash Capture System</v>
      </c>
      <c r="C155" s="509" t="str">
        <f>'Project-Level Data'!C120</f>
        <v>Watershed and Ecosystem Management</v>
      </c>
      <c r="D155" s="510"/>
      <c r="E155" s="530" t="str">
        <f>'Project-Level Data'!AN120</f>
        <v>No Response</v>
      </c>
    </row>
    <row r="156" spans="2:5" hidden="1" x14ac:dyDescent="0.25">
      <c r="B156" s="370"/>
      <c r="C156" s="515" t="s">
        <v>855</v>
      </c>
      <c r="D156" s="515"/>
      <c r="E156" s="398">
        <f>COUNTIFS(E36:E155, "=MISSING")</f>
        <v>18</v>
      </c>
    </row>
    <row r="157" spans="2:5" hidden="1" x14ac:dyDescent="0.25">
      <c r="B157" s="227"/>
      <c r="C157" s="516" t="s">
        <v>856</v>
      </c>
      <c r="D157" s="516"/>
      <c r="E157" s="381">
        <f>COUNTIFS(E36:E155, "=No Response")</f>
        <v>33</v>
      </c>
    </row>
    <row r="158" spans="2:5" hidden="1" x14ac:dyDescent="0.25">
      <c r="B158" s="227"/>
      <c r="C158" s="516" t="s">
        <v>858</v>
      </c>
      <c r="D158" s="516"/>
      <c r="E158" s="381">
        <f>COUNTIFS(E36:E155, "=REMOVED")</f>
        <v>1</v>
      </c>
    </row>
    <row r="159" spans="2:5" ht="15.75" hidden="1" thickBot="1" x14ac:dyDescent="0.3">
      <c r="B159" s="328"/>
      <c r="C159" s="517" t="s">
        <v>859</v>
      </c>
      <c r="D159" s="517"/>
      <c r="E159" s="385">
        <f>COUNTIFS(E36:E155, "&gt;0")</f>
        <v>68</v>
      </c>
    </row>
    <row r="160" spans="2:5" hidden="1" x14ac:dyDescent="0.25">
      <c r="B160" s="11"/>
      <c r="C160" s="84"/>
      <c r="D160" s="84"/>
    </row>
    <row r="161" spans="2:5" ht="15.75" hidden="1" thickBot="1" x14ac:dyDescent="0.3">
      <c r="B161" s="1" t="s">
        <v>729</v>
      </c>
    </row>
    <row r="162" spans="2:5" ht="45.75" hidden="1" thickBot="1" x14ac:dyDescent="0.3">
      <c r="B162" s="363" t="s">
        <v>374</v>
      </c>
      <c r="C162" s="798" t="s">
        <v>6</v>
      </c>
      <c r="D162" s="799"/>
      <c r="E162" s="347" t="s">
        <v>164</v>
      </c>
    </row>
    <row r="163" spans="2:5" hidden="1" x14ac:dyDescent="0.25">
      <c r="B163" s="370" t="str">
        <f>'Concept-Level Data'!A7</f>
        <v>Respondent 1</v>
      </c>
      <c r="C163" s="805" t="str">
        <f>'Concept-Level Data'!B7</f>
        <v>Conveyance Improvement</v>
      </c>
      <c r="D163" s="806"/>
      <c r="E163" s="377">
        <f>'Concept-Level Data'!X7</f>
        <v>2</v>
      </c>
    </row>
    <row r="164" spans="2:5" hidden="1" x14ac:dyDescent="0.25">
      <c r="B164" s="227" t="str">
        <f>'Concept-Level Data'!A8</f>
        <v>Respondent 1</v>
      </c>
      <c r="C164" s="793" t="str">
        <f>'Concept-Level Data'!B8</f>
        <v>Drought Restriction/Allocation</v>
      </c>
      <c r="D164" s="794"/>
      <c r="E164" s="381">
        <f>'Concept-Level Data'!X8</f>
        <v>5</v>
      </c>
    </row>
    <row r="165" spans="2:5" hidden="1" x14ac:dyDescent="0.25">
      <c r="B165" s="227" t="str">
        <f>'Concept-Level Data'!A9</f>
        <v>Respondent 1</v>
      </c>
      <c r="C165" s="793" t="str">
        <f>'Concept-Level Data'!B9</f>
        <v>Firm Water Supply Agreements</v>
      </c>
      <c r="D165" s="794"/>
      <c r="E165" s="381">
        <f>'Concept-Level Data'!X9</f>
        <v>2</v>
      </c>
    </row>
    <row r="166" spans="2:5" hidden="1" x14ac:dyDescent="0.25">
      <c r="B166" s="227" t="str">
        <f>'Concept-Level Data'!A10</f>
        <v>Respondent 1</v>
      </c>
      <c r="C166" s="793" t="str">
        <f>'Concept-Level Data'!B10</f>
        <v>Gray Water Use</v>
      </c>
      <c r="D166" s="794"/>
      <c r="E166" s="381">
        <f>'Concept-Level Data'!X10</f>
        <v>4</v>
      </c>
    </row>
    <row r="167" spans="2:5" hidden="1" x14ac:dyDescent="0.25">
      <c r="B167" s="227" t="str">
        <f>'Concept-Level Data'!A11</f>
        <v>Respondent 1</v>
      </c>
      <c r="C167" s="793" t="str">
        <f>'Concept-Level Data'!B11</f>
        <v>Groundwater</v>
      </c>
      <c r="D167" s="794"/>
      <c r="E167" s="381">
        <f>'Concept-Level Data'!X11</f>
        <v>4</v>
      </c>
    </row>
    <row r="168" spans="2:5" hidden="1" x14ac:dyDescent="0.25">
      <c r="B168" s="227" t="str">
        <f>'Concept-Level Data'!A12</f>
        <v>Respondent 1</v>
      </c>
      <c r="C168" s="793" t="str">
        <f>'Concept-Level Data'!B12</f>
        <v>Imported Water Purchases</v>
      </c>
      <c r="D168" s="794"/>
      <c r="E168" s="381">
        <f>'Concept-Level Data'!X12</f>
        <v>5</v>
      </c>
    </row>
    <row r="169" spans="2:5" hidden="1" x14ac:dyDescent="0.25">
      <c r="B169" s="227" t="str">
        <f>'Concept-Level Data'!A13</f>
        <v>Respondent 1</v>
      </c>
      <c r="C169" s="793" t="str">
        <f>'Concept-Level Data'!B13</f>
        <v>Local Surface Water Reservoirs</v>
      </c>
      <c r="D169" s="794"/>
      <c r="E169" s="381">
        <f>'Concept-Level Data'!X13</f>
        <v>2</v>
      </c>
    </row>
    <row r="170" spans="2:5" hidden="1" x14ac:dyDescent="0.25">
      <c r="B170" s="227" t="str">
        <f>'Concept-Level Data'!A14</f>
        <v>Respondent 1</v>
      </c>
      <c r="C170" s="793" t="str">
        <f>'Concept-Level Data'!B14</f>
        <v>Potable Reuse</v>
      </c>
      <c r="D170" s="794"/>
      <c r="E170" s="381">
        <f>'Concept-Level Data'!X14</f>
        <v>1</v>
      </c>
    </row>
    <row r="171" spans="2:5" hidden="1" x14ac:dyDescent="0.25">
      <c r="B171" s="227" t="str">
        <f>'Concept-Level Data'!A15</f>
        <v>Respondent 1</v>
      </c>
      <c r="C171" s="793" t="str">
        <f>'Concept-Level Data'!B15</f>
        <v>Recycled Water</v>
      </c>
      <c r="D171" s="794"/>
      <c r="E171" s="381">
        <f>'Concept-Level Data'!X15</f>
        <v>4</v>
      </c>
    </row>
    <row r="172" spans="2:5" hidden="1" x14ac:dyDescent="0.25">
      <c r="B172" s="227" t="str">
        <f>'Concept-Level Data'!A16</f>
        <v>Respondent 1</v>
      </c>
      <c r="C172" s="793" t="str">
        <f>'Concept-Level Data'!B16</f>
        <v>Seawater Desalination</v>
      </c>
      <c r="D172" s="794"/>
      <c r="E172" s="381">
        <f>'Concept-Level Data'!X16</f>
        <v>1</v>
      </c>
    </row>
    <row r="173" spans="2:5" hidden="1" x14ac:dyDescent="0.25">
      <c r="B173" s="227" t="str">
        <f>'Concept-Level Data'!A17</f>
        <v>Respondent 1</v>
      </c>
      <c r="C173" s="793" t="str">
        <f>'Concept-Level Data'!B17</f>
        <v>Stormwater BMPs</v>
      </c>
      <c r="D173" s="794"/>
      <c r="E173" s="381">
        <f>'Concept-Level Data'!X17</f>
        <v>2</v>
      </c>
    </row>
    <row r="174" spans="2:5" hidden="1" x14ac:dyDescent="0.25">
      <c r="B174" s="227" t="str">
        <f>'Concept-Level Data'!A18</f>
        <v>Respondent 1</v>
      </c>
      <c r="C174" s="793" t="str">
        <f>'Concept-Level Data'!B18</f>
        <v>Stormwater Capture</v>
      </c>
      <c r="D174" s="794"/>
      <c r="E174" s="381">
        <f>'Concept-Level Data'!X18</f>
        <v>4</v>
      </c>
    </row>
    <row r="175" spans="2:5" hidden="1" x14ac:dyDescent="0.25">
      <c r="B175" s="227" t="str">
        <f>'Concept-Level Data'!A19</f>
        <v>Respondent 1</v>
      </c>
      <c r="C175" s="793" t="str">
        <f>'Concept-Level Data'!B19</f>
        <v>Urban and Agricultural Water Use Efficiency</v>
      </c>
      <c r="D175" s="794"/>
      <c r="E175" s="381">
        <f>'Concept-Level Data'!X19</f>
        <v>5</v>
      </c>
    </row>
    <row r="176" spans="2:5" hidden="1" x14ac:dyDescent="0.25">
      <c r="B176" s="227" t="str">
        <f>'Concept-Level Data'!A20</f>
        <v>Respondent 1</v>
      </c>
      <c r="C176" s="793" t="str">
        <f>'Concept-Level Data'!B20</f>
        <v>Watershed and Ecosystem Management</v>
      </c>
      <c r="D176" s="794"/>
      <c r="E176" s="381">
        <f>'Concept-Level Data'!X20</f>
        <v>2</v>
      </c>
    </row>
    <row r="177" spans="2:5" hidden="1" x14ac:dyDescent="0.25">
      <c r="B177" s="227" t="str">
        <f>'Concept-Level Data'!A21</f>
        <v>Respondent 2</v>
      </c>
      <c r="C177" s="793" t="str">
        <f>'Concept-Level Data'!B21</f>
        <v>Conveyance Improvement</v>
      </c>
      <c r="D177" s="794"/>
      <c r="E177" s="381">
        <f>'Concept-Level Data'!X21</f>
        <v>2</v>
      </c>
    </row>
    <row r="178" spans="2:5" hidden="1" x14ac:dyDescent="0.25">
      <c r="B178" s="227" t="str">
        <f>'Concept-Level Data'!A22</f>
        <v>Respondent 2</v>
      </c>
      <c r="C178" s="793" t="str">
        <f>'Concept-Level Data'!B22</f>
        <v>Drought Restriction/Allocation</v>
      </c>
      <c r="D178" s="794"/>
      <c r="E178" s="381">
        <f>'Concept-Level Data'!X22</f>
        <v>5</v>
      </c>
    </row>
    <row r="179" spans="2:5" hidden="1" x14ac:dyDescent="0.25">
      <c r="B179" s="227" t="str">
        <f>'Concept-Level Data'!A23</f>
        <v>Respondent 2</v>
      </c>
      <c r="C179" s="793" t="str">
        <f>'Concept-Level Data'!B23</f>
        <v>Firm Water Supply Agreements</v>
      </c>
      <c r="D179" s="794"/>
      <c r="E179" s="381">
        <f>'Concept-Level Data'!X23</f>
        <v>1</v>
      </c>
    </row>
    <row r="180" spans="2:5" hidden="1" x14ac:dyDescent="0.25">
      <c r="B180" s="227" t="str">
        <f>'Concept-Level Data'!A24</f>
        <v>Respondent 2</v>
      </c>
      <c r="C180" s="793" t="str">
        <f>'Concept-Level Data'!B24</f>
        <v>Gray Water Use</v>
      </c>
      <c r="D180" s="794"/>
      <c r="E180" s="381">
        <f>'Concept-Level Data'!X24</f>
        <v>4</v>
      </c>
    </row>
    <row r="181" spans="2:5" hidden="1" x14ac:dyDescent="0.25">
      <c r="B181" s="227" t="str">
        <f>'Concept-Level Data'!A25</f>
        <v>Respondent 2</v>
      </c>
      <c r="C181" s="793" t="str">
        <f>'Concept-Level Data'!B25</f>
        <v>Groundwater</v>
      </c>
      <c r="D181" s="794"/>
      <c r="E181" s="381">
        <f>'Concept-Level Data'!X25</f>
        <v>1</v>
      </c>
    </row>
    <row r="182" spans="2:5" hidden="1" x14ac:dyDescent="0.25">
      <c r="B182" s="227" t="str">
        <f>'Concept-Level Data'!A26</f>
        <v>Respondent 2</v>
      </c>
      <c r="C182" s="793" t="str">
        <f>'Concept-Level Data'!B26</f>
        <v>Imported Water Purchases</v>
      </c>
      <c r="D182" s="794"/>
      <c r="E182" s="381">
        <f>'Concept-Level Data'!X26</f>
        <v>2</v>
      </c>
    </row>
    <row r="183" spans="2:5" hidden="1" x14ac:dyDescent="0.25">
      <c r="B183" s="227" t="str">
        <f>'Concept-Level Data'!A27</f>
        <v>Respondent 2</v>
      </c>
      <c r="C183" s="793" t="str">
        <f>'Concept-Level Data'!B27</f>
        <v>Local Surface Water Reservoirs</v>
      </c>
      <c r="D183" s="794"/>
      <c r="E183" s="381">
        <f>'Concept-Level Data'!X27</f>
        <v>2</v>
      </c>
    </row>
    <row r="184" spans="2:5" hidden="1" x14ac:dyDescent="0.25">
      <c r="B184" s="227" t="str">
        <f>'Concept-Level Data'!A28</f>
        <v>Respondent 2</v>
      </c>
      <c r="C184" s="793" t="str">
        <f>'Concept-Level Data'!B28</f>
        <v>Potable Reuse</v>
      </c>
      <c r="D184" s="794"/>
      <c r="E184" s="381">
        <f>'Concept-Level Data'!X28</f>
        <v>1</v>
      </c>
    </row>
    <row r="185" spans="2:5" hidden="1" x14ac:dyDescent="0.25">
      <c r="B185" s="227" t="str">
        <f>'Concept-Level Data'!A29</f>
        <v>Respondent 2</v>
      </c>
      <c r="C185" s="793" t="str">
        <f>'Concept-Level Data'!B29</f>
        <v>Recycled Water</v>
      </c>
      <c r="D185" s="794"/>
      <c r="E185" s="381">
        <f>'Concept-Level Data'!X29</f>
        <v>2</v>
      </c>
    </row>
    <row r="186" spans="2:5" hidden="1" x14ac:dyDescent="0.25">
      <c r="B186" s="227" t="str">
        <f>'Concept-Level Data'!A30</f>
        <v>Respondent 2</v>
      </c>
      <c r="C186" s="793" t="str">
        <f>'Concept-Level Data'!B30</f>
        <v>Seawater Desalination</v>
      </c>
      <c r="D186" s="794"/>
      <c r="E186" s="381">
        <f>'Concept-Level Data'!X30</f>
        <v>1</v>
      </c>
    </row>
    <row r="187" spans="2:5" hidden="1" x14ac:dyDescent="0.25">
      <c r="B187" s="227" t="str">
        <f>'Concept-Level Data'!A31</f>
        <v>Respondent 2</v>
      </c>
      <c r="C187" s="793" t="str">
        <f>'Concept-Level Data'!B31</f>
        <v>Stormwater BMPs</v>
      </c>
      <c r="D187" s="794"/>
      <c r="E187" s="381">
        <f>'Concept-Level Data'!X31</f>
        <v>4</v>
      </c>
    </row>
    <row r="188" spans="2:5" hidden="1" x14ac:dyDescent="0.25">
      <c r="B188" s="227" t="str">
        <f>'Concept-Level Data'!A32</f>
        <v>Respondent 2</v>
      </c>
      <c r="C188" s="793" t="str">
        <f>'Concept-Level Data'!B32</f>
        <v>Stormwater Capture</v>
      </c>
      <c r="D188" s="794"/>
      <c r="E188" s="381">
        <f>'Concept-Level Data'!X32</f>
        <v>2</v>
      </c>
    </row>
    <row r="189" spans="2:5" hidden="1" x14ac:dyDescent="0.25">
      <c r="B189" s="227" t="str">
        <f>'Concept-Level Data'!A33</f>
        <v>Respondent 2</v>
      </c>
      <c r="C189" s="793" t="str">
        <f>'Concept-Level Data'!B33</f>
        <v>Urban and Agricultural Water Use Efficiency</v>
      </c>
      <c r="D189" s="794"/>
      <c r="E189" s="381">
        <f>'Concept-Level Data'!X33</f>
        <v>4</v>
      </c>
    </row>
    <row r="190" spans="2:5" hidden="1" x14ac:dyDescent="0.25">
      <c r="B190" s="227" t="str">
        <f>'Concept-Level Data'!A34</f>
        <v>Respondent 2</v>
      </c>
      <c r="C190" s="793" t="str">
        <f>'Concept-Level Data'!B34</f>
        <v>Watershed and Ecosystem Management</v>
      </c>
      <c r="D190" s="794"/>
      <c r="E190" s="381">
        <f>'Concept-Level Data'!X34</f>
        <v>4</v>
      </c>
    </row>
    <row r="191" spans="2:5" hidden="1" x14ac:dyDescent="0.25">
      <c r="B191" s="227" t="str">
        <f>'Concept-Level Data'!A35</f>
        <v>Respondent 3</v>
      </c>
      <c r="C191" s="793" t="str">
        <f>'Concept-Level Data'!B35</f>
        <v>Conveyance Improvement</v>
      </c>
      <c r="D191" s="794"/>
      <c r="E191" s="381">
        <f>'Concept-Level Data'!X35</f>
        <v>2</v>
      </c>
    </row>
    <row r="192" spans="2:5" hidden="1" x14ac:dyDescent="0.25">
      <c r="B192" s="227" t="str">
        <f>'Concept-Level Data'!A36</f>
        <v>Respondent 3</v>
      </c>
      <c r="C192" s="793" t="str">
        <f>'Concept-Level Data'!B36</f>
        <v>Drought Restriction/Allocation</v>
      </c>
      <c r="D192" s="794"/>
      <c r="E192" s="381">
        <f>'Concept-Level Data'!X36</f>
        <v>4</v>
      </c>
    </row>
    <row r="193" spans="2:5" hidden="1" x14ac:dyDescent="0.25">
      <c r="B193" s="227" t="str">
        <f>'Concept-Level Data'!A37</f>
        <v>Respondent 3</v>
      </c>
      <c r="C193" s="793" t="str">
        <f>'Concept-Level Data'!B37</f>
        <v>Firm Water Supply Agreements</v>
      </c>
      <c r="D193" s="794"/>
      <c r="E193" s="381">
        <f>'Concept-Level Data'!X37</f>
        <v>2</v>
      </c>
    </row>
    <row r="194" spans="2:5" hidden="1" x14ac:dyDescent="0.25">
      <c r="B194" s="227" t="str">
        <f>'Concept-Level Data'!A38</f>
        <v>Respondent 3</v>
      </c>
      <c r="C194" s="793" t="str">
        <f>'Concept-Level Data'!B38</f>
        <v>Gray Water Use</v>
      </c>
      <c r="D194" s="794"/>
      <c r="E194" s="381">
        <f>'Concept-Level Data'!X38</f>
        <v>2</v>
      </c>
    </row>
    <row r="195" spans="2:5" hidden="1" x14ac:dyDescent="0.25">
      <c r="B195" s="227" t="str">
        <f>'Concept-Level Data'!A39</f>
        <v>Respondent 3</v>
      </c>
      <c r="C195" s="793" t="str">
        <f>'Concept-Level Data'!B39</f>
        <v>Groundwater</v>
      </c>
      <c r="D195" s="794"/>
      <c r="E195" s="381">
        <f>'Concept-Level Data'!X39</f>
        <v>1</v>
      </c>
    </row>
    <row r="196" spans="2:5" hidden="1" x14ac:dyDescent="0.25">
      <c r="B196" s="227" t="str">
        <f>'Concept-Level Data'!A40</f>
        <v>Respondent 3</v>
      </c>
      <c r="C196" s="793" t="str">
        <f>'Concept-Level Data'!B40</f>
        <v>Imported Water Purchases</v>
      </c>
      <c r="D196" s="794"/>
      <c r="E196" s="381">
        <f>'Concept-Level Data'!X40</f>
        <v>4</v>
      </c>
    </row>
    <row r="197" spans="2:5" hidden="1" x14ac:dyDescent="0.25">
      <c r="B197" s="227" t="str">
        <f>'Concept-Level Data'!A41</f>
        <v>Respondent 3</v>
      </c>
      <c r="C197" s="793" t="str">
        <f>'Concept-Level Data'!B41</f>
        <v>Local Surface Water Reservoirs</v>
      </c>
      <c r="D197" s="794"/>
      <c r="E197" s="381">
        <f>'Concept-Level Data'!X41</f>
        <v>1</v>
      </c>
    </row>
    <row r="198" spans="2:5" hidden="1" x14ac:dyDescent="0.25">
      <c r="B198" s="227" t="str">
        <f>'Concept-Level Data'!A42</f>
        <v>Respondent 3</v>
      </c>
      <c r="C198" s="793" t="str">
        <f>'Concept-Level Data'!B42</f>
        <v>Potable Reuse</v>
      </c>
      <c r="D198" s="794"/>
      <c r="E198" s="381">
        <f>'Concept-Level Data'!X42</f>
        <v>1</v>
      </c>
    </row>
    <row r="199" spans="2:5" hidden="1" x14ac:dyDescent="0.25">
      <c r="B199" s="227" t="str">
        <f>'Concept-Level Data'!A43</f>
        <v>Respondent 3</v>
      </c>
      <c r="C199" s="793" t="str">
        <f>'Concept-Level Data'!B43</f>
        <v>Recycled Water</v>
      </c>
      <c r="D199" s="794"/>
      <c r="E199" s="381">
        <f>'Concept-Level Data'!X43</f>
        <v>2</v>
      </c>
    </row>
    <row r="200" spans="2:5" hidden="1" x14ac:dyDescent="0.25">
      <c r="B200" s="227" t="str">
        <f>'Concept-Level Data'!A44</f>
        <v>Respondent 3</v>
      </c>
      <c r="C200" s="793" t="str">
        <f>'Concept-Level Data'!B44</f>
        <v>Seawater Desalination</v>
      </c>
      <c r="D200" s="794"/>
      <c r="E200" s="381">
        <f>'Concept-Level Data'!X44</f>
        <v>1</v>
      </c>
    </row>
    <row r="201" spans="2:5" hidden="1" x14ac:dyDescent="0.25">
      <c r="B201" s="227" t="str">
        <f>'Concept-Level Data'!A45</f>
        <v>Respondent 3</v>
      </c>
      <c r="C201" s="793" t="str">
        <f>'Concept-Level Data'!B45</f>
        <v>Stormwater BMPs</v>
      </c>
      <c r="D201" s="794"/>
      <c r="E201" s="381">
        <f>'Concept-Level Data'!X45</f>
        <v>2</v>
      </c>
    </row>
    <row r="202" spans="2:5" hidden="1" x14ac:dyDescent="0.25">
      <c r="B202" s="227" t="str">
        <f>'Concept-Level Data'!A46</f>
        <v>Respondent 3</v>
      </c>
      <c r="C202" s="793" t="str">
        <f>'Concept-Level Data'!B46</f>
        <v>Stormwater Capture</v>
      </c>
      <c r="D202" s="794"/>
      <c r="E202" s="381">
        <f>'Concept-Level Data'!X46</f>
        <v>1</v>
      </c>
    </row>
    <row r="203" spans="2:5" hidden="1" x14ac:dyDescent="0.25">
      <c r="B203" s="227" t="str">
        <f>'Concept-Level Data'!A47</f>
        <v>Respondent 3</v>
      </c>
      <c r="C203" s="793" t="str">
        <f>'Concept-Level Data'!B47</f>
        <v>Urban and Agricultural Water Use Efficiency</v>
      </c>
      <c r="D203" s="794"/>
      <c r="E203" s="381">
        <f>'Concept-Level Data'!X47</f>
        <v>4</v>
      </c>
    </row>
    <row r="204" spans="2:5" hidden="1" x14ac:dyDescent="0.25">
      <c r="B204" s="227" t="str">
        <f>'Concept-Level Data'!A48</f>
        <v>Respondent 3</v>
      </c>
      <c r="C204" s="793" t="str">
        <f>'Concept-Level Data'!B48</f>
        <v>Watershed and Ecosystem Management</v>
      </c>
      <c r="D204" s="794"/>
      <c r="E204" s="381">
        <f>'Concept-Level Data'!X48</f>
        <v>2</v>
      </c>
    </row>
    <row r="205" spans="2:5" hidden="1" x14ac:dyDescent="0.25">
      <c r="B205" s="227" t="str">
        <f>'Concept-Level Data'!A49</f>
        <v>Respondent 4</v>
      </c>
      <c r="C205" s="793" t="str">
        <f>'Concept-Level Data'!B49</f>
        <v>Conveyance Improvement</v>
      </c>
      <c r="D205" s="794"/>
      <c r="E205" s="381">
        <f>'Concept-Level Data'!X49</f>
        <v>2</v>
      </c>
    </row>
    <row r="206" spans="2:5" hidden="1" x14ac:dyDescent="0.25">
      <c r="B206" s="227" t="str">
        <f>'Concept-Level Data'!A50</f>
        <v>Respondent 4</v>
      </c>
      <c r="C206" s="793" t="str">
        <f>'Concept-Level Data'!B50</f>
        <v>Drought Restriction/Allocation</v>
      </c>
      <c r="D206" s="794"/>
      <c r="E206" s="381">
        <f>'Concept-Level Data'!X50</f>
        <v>4</v>
      </c>
    </row>
    <row r="207" spans="2:5" hidden="1" x14ac:dyDescent="0.25">
      <c r="B207" s="227" t="str">
        <f>'Concept-Level Data'!A51</f>
        <v>Respondent 4</v>
      </c>
      <c r="C207" s="793" t="str">
        <f>'Concept-Level Data'!B51</f>
        <v>Firm Water Supply Agreements</v>
      </c>
      <c r="D207" s="794"/>
      <c r="E207" s="381">
        <f>'Concept-Level Data'!X51</f>
        <v>4</v>
      </c>
    </row>
    <row r="208" spans="2:5" hidden="1" x14ac:dyDescent="0.25">
      <c r="B208" s="227" t="str">
        <f>'Concept-Level Data'!A52</f>
        <v>Respondent 4</v>
      </c>
      <c r="C208" s="793" t="str">
        <f>'Concept-Level Data'!B52</f>
        <v>Gray Water Use</v>
      </c>
      <c r="D208" s="794"/>
      <c r="E208" s="381">
        <f>'Concept-Level Data'!X52</f>
        <v>2</v>
      </c>
    </row>
    <row r="209" spans="2:5" hidden="1" x14ac:dyDescent="0.25">
      <c r="B209" s="227" t="str">
        <f>'Concept-Level Data'!A53</f>
        <v>Respondent 4</v>
      </c>
      <c r="C209" s="793" t="str">
        <f>'Concept-Level Data'!B53</f>
        <v>Groundwater</v>
      </c>
      <c r="D209" s="794"/>
      <c r="E209" s="381">
        <f>'Concept-Level Data'!X53</f>
        <v>2</v>
      </c>
    </row>
    <row r="210" spans="2:5" hidden="1" x14ac:dyDescent="0.25">
      <c r="B210" s="227" t="str">
        <f>'Concept-Level Data'!A54</f>
        <v>Respondent 4</v>
      </c>
      <c r="C210" s="793" t="str">
        <f>'Concept-Level Data'!B54</f>
        <v>Imported Water Purchases</v>
      </c>
      <c r="D210" s="794"/>
      <c r="E210" s="381">
        <f>'Concept-Level Data'!X54</f>
        <v>5</v>
      </c>
    </row>
    <row r="211" spans="2:5" hidden="1" x14ac:dyDescent="0.25">
      <c r="B211" s="227" t="str">
        <f>'Concept-Level Data'!A55</f>
        <v>Respondent 4</v>
      </c>
      <c r="C211" s="793" t="str">
        <f>'Concept-Level Data'!B55</f>
        <v>Local Surface Water Reservoirs</v>
      </c>
      <c r="D211" s="794"/>
      <c r="E211" s="381">
        <f>'Concept-Level Data'!X55</f>
        <v>2</v>
      </c>
    </row>
    <row r="212" spans="2:5" hidden="1" x14ac:dyDescent="0.25">
      <c r="B212" s="227" t="str">
        <f>'Concept-Level Data'!A56</f>
        <v>Respondent 4</v>
      </c>
      <c r="C212" s="793" t="str">
        <f>'Concept-Level Data'!B56</f>
        <v>Potable Reuse</v>
      </c>
      <c r="D212" s="794"/>
      <c r="E212" s="381">
        <f>'Concept-Level Data'!X56</f>
        <v>1</v>
      </c>
    </row>
    <row r="213" spans="2:5" hidden="1" x14ac:dyDescent="0.25">
      <c r="B213" s="227" t="str">
        <f>'Concept-Level Data'!A57</f>
        <v>Respondent 4</v>
      </c>
      <c r="C213" s="793" t="str">
        <f>'Concept-Level Data'!B57</f>
        <v>Recycled Water</v>
      </c>
      <c r="D213" s="794"/>
      <c r="E213" s="381">
        <f>'Concept-Level Data'!X57</f>
        <v>2</v>
      </c>
    </row>
    <row r="214" spans="2:5" hidden="1" x14ac:dyDescent="0.25">
      <c r="B214" s="227" t="str">
        <f>'Concept-Level Data'!A58</f>
        <v>Respondent 4</v>
      </c>
      <c r="C214" s="793" t="str">
        <f>'Concept-Level Data'!B58</f>
        <v>Seawater Desalination</v>
      </c>
      <c r="D214" s="794"/>
      <c r="E214" s="381">
        <f>'Concept-Level Data'!X58</f>
        <v>2</v>
      </c>
    </row>
    <row r="215" spans="2:5" hidden="1" x14ac:dyDescent="0.25">
      <c r="B215" s="227" t="str">
        <f>'Concept-Level Data'!A59</f>
        <v>Respondent 4</v>
      </c>
      <c r="C215" s="793" t="str">
        <f>'Concept-Level Data'!B59</f>
        <v>Stormwater BMPs</v>
      </c>
      <c r="D215" s="794"/>
      <c r="E215" s="381">
        <f>'Concept-Level Data'!X59</f>
        <v>4</v>
      </c>
    </row>
    <row r="216" spans="2:5" hidden="1" x14ac:dyDescent="0.25">
      <c r="B216" s="227" t="str">
        <f>'Concept-Level Data'!A60</f>
        <v>Respondent 4</v>
      </c>
      <c r="C216" s="793" t="str">
        <f>'Concept-Level Data'!B60</f>
        <v>Stormwater Capture</v>
      </c>
      <c r="D216" s="794"/>
      <c r="E216" s="381">
        <f>'Concept-Level Data'!X60</f>
        <v>2</v>
      </c>
    </row>
    <row r="217" spans="2:5" hidden="1" x14ac:dyDescent="0.25">
      <c r="B217" s="227" t="str">
        <f>'Concept-Level Data'!A61</f>
        <v>Respondent 4</v>
      </c>
      <c r="C217" s="793" t="str">
        <f>'Concept-Level Data'!B61</f>
        <v>Urban and Agricultural Water Use Efficiency</v>
      </c>
      <c r="D217" s="794"/>
      <c r="E217" s="381">
        <f>'Concept-Level Data'!X61</f>
        <v>4</v>
      </c>
    </row>
    <row r="218" spans="2:5" hidden="1" x14ac:dyDescent="0.25">
      <c r="B218" s="227" t="str">
        <f>'Concept-Level Data'!A62</f>
        <v>Respondent 4</v>
      </c>
      <c r="C218" s="793" t="str">
        <f>'Concept-Level Data'!B62</f>
        <v>Watershed and Ecosystem Management</v>
      </c>
      <c r="D218" s="794"/>
      <c r="E218" s="381">
        <f>'Concept-Level Data'!X62</f>
        <v>2</v>
      </c>
    </row>
    <row r="219" spans="2:5" hidden="1" x14ac:dyDescent="0.25">
      <c r="B219" s="227" t="str">
        <f>'Concept-Level Data'!A63</f>
        <v>Respondent 5</v>
      </c>
      <c r="C219" s="793" t="str">
        <f>'Concept-Level Data'!B63</f>
        <v>Conveyance Improvement</v>
      </c>
      <c r="D219" s="794"/>
      <c r="E219" s="381">
        <f>'Concept-Level Data'!X63</f>
        <v>2</v>
      </c>
    </row>
    <row r="220" spans="2:5" hidden="1" x14ac:dyDescent="0.25">
      <c r="B220" s="227" t="str">
        <f>'Concept-Level Data'!A64</f>
        <v>Respondent 5</v>
      </c>
      <c r="C220" s="793" t="str">
        <f>'Concept-Level Data'!B64</f>
        <v>Drought Restriction/Allocation</v>
      </c>
      <c r="D220" s="794"/>
      <c r="E220" s="381">
        <f>'Concept-Level Data'!X64</f>
        <v>3</v>
      </c>
    </row>
    <row r="221" spans="2:5" hidden="1" x14ac:dyDescent="0.25">
      <c r="B221" s="227" t="str">
        <f>'Concept-Level Data'!A65</f>
        <v>Respondent 5</v>
      </c>
      <c r="C221" s="793" t="str">
        <f>'Concept-Level Data'!B65</f>
        <v>Firm Water Supply Agreements</v>
      </c>
      <c r="D221" s="794"/>
      <c r="E221" s="381">
        <f>'Concept-Level Data'!X65</f>
        <v>2</v>
      </c>
    </row>
    <row r="222" spans="2:5" hidden="1" x14ac:dyDescent="0.25">
      <c r="B222" s="227" t="str">
        <f>'Concept-Level Data'!A66</f>
        <v>Respondent 5</v>
      </c>
      <c r="C222" s="793" t="str">
        <f>'Concept-Level Data'!B66</f>
        <v>Gray Water Use</v>
      </c>
      <c r="D222" s="794"/>
      <c r="E222" s="381">
        <f>'Concept-Level Data'!X66</f>
        <v>5</v>
      </c>
    </row>
    <row r="223" spans="2:5" hidden="1" x14ac:dyDescent="0.25">
      <c r="B223" s="227" t="str">
        <f>'Concept-Level Data'!A67</f>
        <v>Respondent 5</v>
      </c>
      <c r="C223" s="793" t="str">
        <f>'Concept-Level Data'!B67</f>
        <v>Groundwater</v>
      </c>
      <c r="D223" s="794"/>
      <c r="E223" s="381">
        <f>'Concept-Level Data'!X67</f>
        <v>2</v>
      </c>
    </row>
    <row r="224" spans="2:5" hidden="1" x14ac:dyDescent="0.25">
      <c r="B224" s="227" t="str">
        <f>'Concept-Level Data'!A68</f>
        <v>Respondent 5</v>
      </c>
      <c r="C224" s="793" t="str">
        <f>'Concept-Level Data'!B68</f>
        <v>Imported Water Purchases</v>
      </c>
      <c r="D224" s="794"/>
      <c r="E224" s="381">
        <f>'Concept-Level Data'!X68</f>
        <v>2</v>
      </c>
    </row>
    <row r="225" spans="2:5" hidden="1" x14ac:dyDescent="0.25">
      <c r="B225" s="227" t="str">
        <f>'Concept-Level Data'!A69</f>
        <v>Respondent 5</v>
      </c>
      <c r="C225" s="793" t="str">
        <f>'Concept-Level Data'!B69</f>
        <v>Local Surface Water Reservoirs</v>
      </c>
      <c r="D225" s="794"/>
      <c r="E225" s="381">
        <f>'Concept-Level Data'!X69</f>
        <v>4</v>
      </c>
    </row>
    <row r="226" spans="2:5" hidden="1" x14ac:dyDescent="0.25">
      <c r="B226" s="227" t="str">
        <f>'Concept-Level Data'!A70</f>
        <v>Respondent 5</v>
      </c>
      <c r="C226" s="793" t="str">
        <f>'Concept-Level Data'!B70</f>
        <v>Potable Reuse</v>
      </c>
      <c r="D226" s="794"/>
      <c r="E226" s="381">
        <f>'Concept-Level Data'!X70</f>
        <v>4</v>
      </c>
    </row>
    <row r="227" spans="2:5" hidden="1" x14ac:dyDescent="0.25">
      <c r="B227" s="227" t="str">
        <f>'Concept-Level Data'!A71</f>
        <v>Respondent 5</v>
      </c>
      <c r="C227" s="793" t="str">
        <f>'Concept-Level Data'!B71</f>
        <v>Recycled Water</v>
      </c>
      <c r="D227" s="794"/>
      <c r="E227" s="381">
        <f>'Concept-Level Data'!X71</f>
        <v>5</v>
      </c>
    </row>
    <row r="228" spans="2:5" hidden="1" x14ac:dyDescent="0.25">
      <c r="B228" s="227" t="str">
        <f>'Concept-Level Data'!A72</f>
        <v>Respondent 5</v>
      </c>
      <c r="C228" s="793" t="str">
        <f>'Concept-Level Data'!B72</f>
        <v>Seawater Desalination</v>
      </c>
      <c r="D228" s="794"/>
      <c r="E228" s="381">
        <f>'Concept-Level Data'!X72</f>
        <v>2</v>
      </c>
    </row>
    <row r="229" spans="2:5" hidden="1" x14ac:dyDescent="0.25">
      <c r="B229" s="227" t="str">
        <f>'Concept-Level Data'!A73</f>
        <v>Respondent 5</v>
      </c>
      <c r="C229" s="793" t="str">
        <f>'Concept-Level Data'!B73</f>
        <v>Stormwater BMPs</v>
      </c>
      <c r="D229" s="794"/>
      <c r="E229" s="381">
        <f>'Concept-Level Data'!X73</f>
        <v>5</v>
      </c>
    </row>
    <row r="230" spans="2:5" hidden="1" x14ac:dyDescent="0.25">
      <c r="B230" s="227" t="str">
        <f>'Concept-Level Data'!A74</f>
        <v>Respondent 5</v>
      </c>
      <c r="C230" s="793" t="str">
        <f>'Concept-Level Data'!B74</f>
        <v>Stormwater Capture</v>
      </c>
      <c r="D230" s="794"/>
      <c r="E230" s="381">
        <f>'Concept-Level Data'!X74</f>
        <v>5</v>
      </c>
    </row>
    <row r="231" spans="2:5" hidden="1" x14ac:dyDescent="0.25">
      <c r="B231" s="227" t="str">
        <f>'Concept-Level Data'!A75</f>
        <v>Respondent 5</v>
      </c>
      <c r="C231" s="793" t="str">
        <f>'Concept-Level Data'!B75</f>
        <v>Urban and Agricultural Water Use Efficiency</v>
      </c>
      <c r="D231" s="794"/>
      <c r="E231" s="381">
        <f>'Concept-Level Data'!X75</f>
        <v>5</v>
      </c>
    </row>
    <row r="232" spans="2:5" hidden="1" x14ac:dyDescent="0.25">
      <c r="B232" s="227" t="str">
        <f>'Concept-Level Data'!A76</f>
        <v>Respondent 5</v>
      </c>
      <c r="C232" s="793" t="str">
        <f>'Concept-Level Data'!B76</f>
        <v>Watershed and Ecosystem Management</v>
      </c>
      <c r="D232" s="794"/>
      <c r="E232" s="381">
        <f>'Concept-Level Data'!X76</f>
        <v>5</v>
      </c>
    </row>
    <row r="233" spans="2:5" hidden="1" x14ac:dyDescent="0.25">
      <c r="B233" s="227" t="str">
        <f>'Concept-Level Data'!A77</f>
        <v>Respondent 6</v>
      </c>
      <c r="C233" s="793" t="str">
        <f>'Concept-Level Data'!B77</f>
        <v>Conveyance Improvement</v>
      </c>
      <c r="D233" s="794"/>
      <c r="E233" s="381">
        <f>'Concept-Level Data'!X77</f>
        <v>2</v>
      </c>
    </row>
    <row r="234" spans="2:5" hidden="1" x14ac:dyDescent="0.25">
      <c r="B234" s="227" t="str">
        <f>'Concept-Level Data'!A78</f>
        <v>Respondent 6</v>
      </c>
      <c r="C234" s="793" t="str">
        <f>'Concept-Level Data'!B78</f>
        <v>Drought Restriction/Allocation</v>
      </c>
      <c r="D234" s="794"/>
      <c r="E234" s="381">
        <f>'Concept-Level Data'!X78</f>
        <v>4</v>
      </c>
    </row>
    <row r="235" spans="2:5" hidden="1" x14ac:dyDescent="0.25">
      <c r="B235" s="227" t="str">
        <f>'Concept-Level Data'!A79</f>
        <v>Respondent 6</v>
      </c>
      <c r="C235" s="793" t="str">
        <f>'Concept-Level Data'!B79</f>
        <v>Firm Water Supply Agreements</v>
      </c>
      <c r="D235" s="794"/>
      <c r="E235" s="381">
        <f>'Concept-Level Data'!X79</f>
        <v>3</v>
      </c>
    </row>
    <row r="236" spans="2:5" hidden="1" x14ac:dyDescent="0.25">
      <c r="B236" s="227" t="str">
        <f>'Concept-Level Data'!A80</f>
        <v>Respondent 6</v>
      </c>
      <c r="C236" s="793" t="str">
        <f>'Concept-Level Data'!B80</f>
        <v>Gray Water Use</v>
      </c>
      <c r="D236" s="794"/>
      <c r="E236" s="381">
        <f>'Concept-Level Data'!X80</f>
        <v>5</v>
      </c>
    </row>
    <row r="237" spans="2:5" hidden="1" x14ac:dyDescent="0.25">
      <c r="B237" s="227" t="str">
        <f>'Concept-Level Data'!A81</f>
        <v>Respondent 6</v>
      </c>
      <c r="C237" s="793" t="str">
        <f>'Concept-Level Data'!B81</f>
        <v>Groundwater</v>
      </c>
      <c r="D237" s="794"/>
      <c r="E237" s="381">
        <f>'Concept-Level Data'!X81</f>
        <v>2</v>
      </c>
    </row>
    <row r="238" spans="2:5" hidden="1" x14ac:dyDescent="0.25">
      <c r="B238" s="227" t="str">
        <f>'Concept-Level Data'!A82</f>
        <v>Respondent 6</v>
      </c>
      <c r="C238" s="793" t="str">
        <f>'Concept-Level Data'!B82</f>
        <v>Imported Water Purchases</v>
      </c>
      <c r="D238" s="794"/>
      <c r="E238" s="381">
        <f>'Concept-Level Data'!X82</f>
        <v>5</v>
      </c>
    </row>
    <row r="239" spans="2:5" hidden="1" x14ac:dyDescent="0.25">
      <c r="B239" s="227" t="str">
        <f>'Concept-Level Data'!A83</f>
        <v>Respondent 6</v>
      </c>
      <c r="C239" s="793" t="str">
        <f>'Concept-Level Data'!B83</f>
        <v>Local Surface Water Reservoirs</v>
      </c>
      <c r="D239" s="794"/>
      <c r="E239" s="381">
        <f>'Concept-Level Data'!X83</f>
        <v>5</v>
      </c>
    </row>
    <row r="240" spans="2:5" hidden="1" x14ac:dyDescent="0.25">
      <c r="B240" s="227" t="str">
        <f>'Concept-Level Data'!A84</f>
        <v>Respondent 6</v>
      </c>
      <c r="C240" s="793" t="str">
        <f>'Concept-Level Data'!B84</f>
        <v>Potable Reuse</v>
      </c>
      <c r="D240" s="794"/>
      <c r="E240" s="381">
        <f>'Concept-Level Data'!X84</f>
        <v>4</v>
      </c>
    </row>
    <row r="241" spans="2:5" hidden="1" x14ac:dyDescent="0.25">
      <c r="B241" s="227" t="str">
        <f>'Concept-Level Data'!A85</f>
        <v>Respondent 6</v>
      </c>
      <c r="C241" s="793" t="str">
        <f>'Concept-Level Data'!B85</f>
        <v>Recycled Water</v>
      </c>
      <c r="D241" s="794"/>
      <c r="E241" s="381">
        <f>'Concept-Level Data'!X85</f>
        <v>4</v>
      </c>
    </row>
    <row r="242" spans="2:5" hidden="1" x14ac:dyDescent="0.25">
      <c r="B242" s="227" t="str">
        <f>'Concept-Level Data'!A86</f>
        <v>Respondent 6</v>
      </c>
      <c r="C242" s="793" t="str">
        <f>'Concept-Level Data'!B86</f>
        <v>Seawater Desalination</v>
      </c>
      <c r="D242" s="794"/>
      <c r="E242" s="381">
        <f>'Concept-Level Data'!X86</f>
        <v>2</v>
      </c>
    </row>
    <row r="243" spans="2:5" hidden="1" x14ac:dyDescent="0.25">
      <c r="B243" s="227" t="str">
        <f>'Concept-Level Data'!A87</f>
        <v>Respondent 6</v>
      </c>
      <c r="C243" s="793" t="str">
        <f>'Concept-Level Data'!B87</f>
        <v>Stormwater BMPs</v>
      </c>
      <c r="D243" s="794"/>
      <c r="E243" s="381">
        <f>'Concept-Level Data'!X87</f>
        <v>5</v>
      </c>
    </row>
    <row r="244" spans="2:5" hidden="1" x14ac:dyDescent="0.25">
      <c r="B244" s="227" t="str">
        <f>'Concept-Level Data'!A88</f>
        <v>Respondent 6</v>
      </c>
      <c r="C244" s="793" t="str">
        <f>'Concept-Level Data'!B88</f>
        <v>Stormwater Capture</v>
      </c>
      <c r="D244" s="794"/>
      <c r="E244" s="381">
        <f>'Concept-Level Data'!X88</f>
        <v>2</v>
      </c>
    </row>
    <row r="245" spans="2:5" hidden="1" x14ac:dyDescent="0.25">
      <c r="B245" s="227" t="str">
        <f>'Concept-Level Data'!A89</f>
        <v>Respondent 6</v>
      </c>
      <c r="C245" s="793" t="str">
        <f>'Concept-Level Data'!B89</f>
        <v>Urban and Agricultural Water Use Efficiency</v>
      </c>
      <c r="D245" s="794"/>
      <c r="E245" s="381">
        <f>'Concept-Level Data'!X89</f>
        <v>5</v>
      </c>
    </row>
    <row r="246" spans="2:5" hidden="1" x14ac:dyDescent="0.25">
      <c r="B246" s="227" t="str">
        <f>'Concept-Level Data'!A90</f>
        <v>Respondent 6</v>
      </c>
      <c r="C246" s="793" t="str">
        <f>'Concept-Level Data'!B90</f>
        <v>Watershed and Ecosystem Management</v>
      </c>
      <c r="D246" s="794"/>
      <c r="E246" s="381">
        <f>'Concept-Level Data'!X90</f>
        <v>2</v>
      </c>
    </row>
    <row r="247" spans="2:5" hidden="1" x14ac:dyDescent="0.25">
      <c r="B247" s="227" t="str">
        <f>'Concept-Level Data'!A91</f>
        <v>Respondent 7</v>
      </c>
      <c r="C247" s="793" t="str">
        <f>'Concept-Level Data'!B91</f>
        <v>Conveyance Improvement</v>
      </c>
      <c r="D247" s="794"/>
      <c r="E247" s="381">
        <f>'Concept-Level Data'!X91</f>
        <v>5</v>
      </c>
    </row>
    <row r="248" spans="2:5" hidden="1" x14ac:dyDescent="0.25">
      <c r="B248" s="227" t="str">
        <f>'Concept-Level Data'!A92</f>
        <v>Respondent 7</v>
      </c>
      <c r="C248" s="793" t="str">
        <f>'Concept-Level Data'!B92</f>
        <v>Drought Restriction/Allocation</v>
      </c>
      <c r="D248" s="794"/>
      <c r="E248" s="381">
        <f>'Concept-Level Data'!X92</f>
        <v>5</v>
      </c>
    </row>
    <row r="249" spans="2:5" hidden="1" x14ac:dyDescent="0.25">
      <c r="B249" s="227" t="str">
        <f>'Concept-Level Data'!A93</f>
        <v>Respondent 7</v>
      </c>
      <c r="C249" s="793" t="str">
        <f>'Concept-Level Data'!B93</f>
        <v>Firm Water Supply Agreements</v>
      </c>
      <c r="D249" s="794"/>
      <c r="E249" s="381">
        <f>'Concept-Level Data'!X93</f>
        <v>1</v>
      </c>
    </row>
    <row r="250" spans="2:5" hidden="1" x14ac:dyDescent="0.25">
      <c r="B250" s="227" t="str">
        <f>'Concept-Level Data'!A94</f>
        <v>Respondent 7</v>
      </c>
      <c r="C250" s="793" t="str">
        <f>'Concept-Level Data'!B94</f>
        <v>Gray Water Use</v>
      </c>
      <c r="D250" s="794"/>
      <c r="E250" s="381">
        <f>'Concept-Level Data'!X94</f>
        <v>2</v>
      </c>
    </row>
    <row r="251" spans="2:5" hidden="1" x14ac:dyDescent="0.25">
      <c r="B251" s="227" t="str">
        <f>'Concept-Level Data'!A95</f>
        <v>Respondent 7</v>
      </c>
      <c r="C251" s="793" t="str">
        <f>'Concept-Level Data'!B95</f>
        <v>Groundwater</v>
      </c>
      <c r="D251" s="794"/>
      <c r="E251" s="381">
        <f>'Concept-Level Data'!X95</f>
        <v>4</v>
      </c>
    </row>
    <row r="252" spans="2:5" hidden="1" x14ac:dyDescent="0.25">
      <c r="B252" s="227" t="str">
        <f>'Concept-Level Data'!A96</f>
        <v>Respondent 7</v>
      </c>
      <c r="C252" s="793" t="str">
        <f>'Concept-Level Data'!B96</f>
        <v>Imported Water Purchases</v>
      </c>
      <c r="D252" s="794"/>
      <c r="E252" s="381">
        <f>'Concept-Level Data'!X96</f>
        <v>1</v>
      </c>
    </row>
    <row r="253" spans="2:5" hidden="1" x14ac:dyDescent="0.25">
      <c r="B253" s="227" t="str">
        <f>'Concept-Level Data'!A97</f>
        <v>Respondent 7</v>
      </c>
      <c r="C253" s="793" t="str">
        <f>'Concept-Level Data'!B97</f>
        <v>Local Surface Water Reservoirs</v>
      </c>
      <c r="D253" s="794"/>
      <c r="E253" s="381">
        <f>'Concept-Level Data'!X97</f>
        <v>4</v>
      </c>
    </row>
    <row r="254" spans="2:5" hidden="1" x14ac:dyDescent="0.25">
      <c r="B254" s="227" t="str">
        <f>'Concept-Level Data'!A98</f>
        <v>Respondent 7</v>
      </c>
      <c r="C254" s="793" t="str">
        <f>'Concept-Level Data'!B98</f>
        <v>Potable Reuse</v>
      </c>
      <c r="D254" s="794"/>
      <c r="E254" s="381">
        <f>'Concept-Level Data'!X98</f>
        <v>2</v>
      </c>
    </row>
    <row r="255" spans="2:5" hidden="1" x14ac:dyDescent="0.25">
      <c r="B255" s="227" t="str">
        <f>'Concept-Level Data'!A99</f>
        <v>Respondent 7</v>
      </c>
      <c r="C255" s="793" t="str">
        <f>'Concept-Level Data'!B99</f>
        <v>Recycled Water</v>
      </c>
      <c r="D255" s="794"/>
      <c r="E255" s="381">
        <f>'Concept-Level Data'!X99</f>
        <v>4</v>
      </c>
    </row>
    <row r="256" spans="2:5" hidden="1" x14ac:dyDescent="0.25">
      <c r="B256" s="227" t="str">
        <f>'Concept-Level Data'!A100</f>
        <v>Respondent 7</v>
      </c>
      <c r="C256" s="793" t="str">
        <f>'Concept-Level Data'!B100</f>
        <v>Seawater Desalination</v>
      </c>
      <c r="D256" s="794"/>
      <c r="E256" s="381">
        <f>'Concept-Level Data'!X100</f>
        <v>1</v>
      </c>
    </row>
    <row r="257" spans="2:5" hidden="1" x14ac:dyDescent="0.25">
      <c r="B257" s="227" t="str">
        <f>'Concept-Level Data'!A101</f>
        <v>Respondent 7</v>
      </c>
      <c r="C257" s="793" t="str">
        <f>'Concept-Level Data'!B101</f>
        <v>Stormwater BMPs</v>
      </c>
      <c r="D257" s="794"/>
      <c r="E257" s="381">
        <f>'Concept-Level Data'!X101</f>
        <v>4</v>
      </c>
    </row>
    <row r="258" spans="2:5" hidden="1" x14ac:dyDescent="0.25">
      <c r="B258" s="227" t="str">
        <f>'Concept-Level Data'!A102</f>
        <v>Respondent 7</v>
      </c>
      <c r="C258" s="793" t="str">
        <f>'Concept-Level Data'!B102</f>
        <v>Stormwater Capture</v>
      </c>
      <c r="D258" s="794"/>
      <c r="E258" s="381">
        <f>'Concept-Level Data'!X102</f>
        <v>2</v>
      </c>
    </row>
    <row r="259" spans="2:5" hidden="1" x14ac:dyDescent="0.25">
      <c r="B259" s="227" t="str">
        <f>'Concept-Level Data'!A103</f>
        <v>Respondent 7</v>
      </c>
      <c r="C259" s="793" t="str">
        <f>'Concept-Level Data'!B103</f>
        <v>Urban and Agricultural Water Use Efficiency</v>
      </c>
      <c r="D259" s="794"/>
      <c r="E259" s="381">
        <f>'Concept-Level Data'!X103</f>
        <v>4</v>
      </c>
    </row>
    <row r="260" spans="2:5" hidden="1" x14ac:dyDescent="0.25">
      <c r="B260" s="227" t="str">
        <f>'Concept-Level Data'!A104</f>
        <v>Respondent 7</v>
      </c>
      <c r="C260" s="793" t="str">
        <f>'Concept-Level Data'!B104</f>
        <v>Watershed and Ecosystem Management</v>
      </c>
      <c r="D260" s="794"/>
      <c r="E260" s="381">
        <f>'Concept-Level Data'!X104</f>
        <v>5</v>
      </c>
    </row>
    <row r="261" spans="2:5" hidden="1" x14ac:dyDescent="0.25">
      <c r="B261" s="227" t="str">
        <f>'Concept-Level Data'!A105</f>
        <v>Respondent 8</v>
      </c>
      <c r="C261" s="793" t="str">
        <f>'Concept-Level Data'!B105</f>
        <v>Conveyance Improvement</v>
      </c>
      <c r="D261" s="794"/>
      <c r="E261" s="381">
        <f>'Concept-Level Data'!X105</f>
        <v>5</v>
      </c>
    </row>
    <row r="262" spans="2:5" hidden="1" x14ac:dyDescent="0.25">
      <c r="B262" s="227" t="str">
        <f>'Concept-Level Data'!A106</f>
        <v>Respondent 8</v>
      </c>
      <c r="C262" s="793" t="str">
        <f>'Concept-Level Data'!B106</f>
        <v>Drought Restriction/Allocation</v>
      </c>
      <c r="D262" s="794"/>
      <c r="E262" s="381" t="str">
        <f>'Concept-Level Data'!X106</f>
        <v>MISSING</v>
      </c>
    </row>
    <row r="263" spans="2:5" hidden="1" x14ac:dyDescent="0.25">
      <c r="B263" s="227" t="str">
        <f>'Concept-Level Data'!A107</f>
        <v>Respondent 8</v>
      </c>
      <c r="C263" s="793" t="str">
        <f>'Concept-Level Data'!B107</f>
        <v>Firm Water Supply Agreements</v>
      </c>
      <c r="D263" s="794"/>
      <c r="E263" s="381" t="str">
        <f>'Concept-Level Data'!X107</f>
        <v>MISSING</v>
      </c>
    </row>
    <row r="264" spans="2:5" hidden="1" x14ac:dyDescent="0.25">
      <c r="B264" s="227" t="str">
        <f>'Concept-Level Data'!A108</f>
        <v>Respondent 8</v>
      </c>
      <c r="C264" s="793" t="str">
        <f>'Concept-Level Data'!B108</f>
        <v>Gray Water Use</v>
      </c>
      <c r="D264" s="794"/>
      <c r="E264" s="381" t="str">
        <f>'Concept-Level Data'!X108</f>
        <v>MISSING</v>
      </c>
    </row>
    <row r="265" spans="2:5" hidden="1" x14ac:dyDescent="0.25">
      <c r="B265" s="227" t="str">
        <f>'Concept-Level Data'!A109</f>
        <v>Respondent 8</v>
      </c>
      <c r="C265" s="793" t="str">
        <f>'Concept-Level Data'!B109</f>
        <v>Groundwater</v>
      </c>
      <c r="D265" s="794"/>
      <c r="E265" s="381" t="str">
        <f>'Concept-Level Data'!X109</f>
        <v>MISSING</v>
      </c>
    </row>
    <row r="266" spans="2:5" hidden="1" x14ac:dyDescent="0.25">
      <c r="B266" s="227" t="str">
        <f>'Concept-Level Data'!A110</f>
        <v>Respondent 8</v>
      </c>
      <c r="C266" s="793" t="str">
        <f>'Concept-Level Data'!B110</f>
        <v>Imported Water Purchases</v>
      </c>
      <c r="D266" s="794"/>
      <c r="E266" s="381" t="str">
        <f>'Concept-Level Data'!X110</f>
        <v>MISSING</v>
      </c>
    </row>
    <row r="267" spans="2:5" hidden="1" x14ac:dyDescent="0.25">
      <c r="B267" s="227" t="str">
        <f>'Concept-Level Data'!A111</f>
        <v>Respondent 8</v>
      </c>
      <c r="C267" s="793" t="str">
        <f>'Concept-Level Data'!B111</f>
        <v>Local Surface Water Reservoirs</v>
      </c>
      <c r="D267" s="794"/>
      <c r="E267" s="381" t="str">
        <f>'Concept-Level Data'!X111</f>
        <v>MISSING</v>
      </c>
    </row>
    <row r="268" spans="2:5" hidden="1" x14ac:dyDescent="0.25">
      <c r="B268" s="227" t="str">
        <f>'Concept-Level Data'!A112</f>
        <v>Respondent 8</v>
      </c>
      <c r="C268" s="793" t="str">
        <f>'Concept-Level Data'!B112</f>
        <v>Potable Reuse</v>
      </c>
      <c r="D268" s="794"/>
      <c r="E268" s="381" t="str">
        <f>'Concept-Level Data'!X112</f>
        <v>MISSING</v>
      </c>
    </row>
    <row r="269" spans="2:5" hidden="1" x14ac:dyDescent="0.25">
      <c r="B269" s="227" t="str">
        <f>'Concept-Level Data'!A113</f>
        <v>Respondent 8</v>
      </c>
      <c r="C269" s="793" t="str">
        <f>'Concept-Level Data'!B113</f>
        <v>Recycled Water</v>
      </c>
      <c r="D269" s="794"/>
      <c r="E269" s="381" t="str">
        <f>'Concept-Level Data'!X113</f>
        <v>MISSING</v>
      </c>
    </row>
    <row r="270" spans="2:5" hidden="1" x14ac:dyDescent="0.25">
      <c r="B270" s="227" t="str">
        <f>'Concept-Level Data'!A114</f>
        <v>Respondent 8</v>
      </c>
      <c r="C270" s="793" t="str">
        <f>'Concept-Level Data'!B114</f>
        <v>Seawater Desalination</v>
      </c>
      <c r="D270" s="794"/>
      <c r="E270" s="381" t="str">
        <f>'Concept-Level Data'!X114</f>
        <v>MISSING</v>
      </c>
    </row>
    <row r="271" spans="2:5" hidden="1" x14ac:dyDescent="0.25">
      <c r="B271" s="227" t="str">
        <f>'Concept-Level Data'!A115</f>
        <v>Respondent 8</v>
      </c>
      <c r="C271" s="793" t="str">
        <f>'Concept-Level Data'!B115</f>
        <v>Stormwater BMPs</v>
      </c>
      <c r="D271" s="794"/>
      <c r="E271" s="381" t="str">
        <f>'Concept-Level Data'!X115</f>
        <v>MISSING</v>
      </c>
    </row>
    <row r="272" spans="2:5" hidden="1" x14ac:dyDescent="0.25">
      <c r="B272" s="227" t="str">
        <f>'Concept-Level Data'!A116</f>
        <v>Respondent 8</v>
      </c>
      <c r="C272" s="793" t="str">
        <f>'Concept-Level Data'!B116</f>
        <v>Stormwater Capture</v>
      </c>
      <c r="D272" s="794"/>
      <c r="E272" s="381" t="str">
        <f>'Concept-Level Data'!X116</f>
        <v>MISSING</v>
      </c>
    </row>
    <row r="273" spans="2:5" hidden="1" x14ac:dyDescent="0.25">
      <c r="B273" s="227" t="str">
        <f>'Concept-Level Data'!A117</f>
        <v>Respondent 8</v>
      </c>
      <c r="C273" s="793" t="str">
        <f>'Concept-Level Data'!B117</f>
        <v>Urban and Agricultural Water Use Efficiency</v>
      </c>
      <c r="D273" s="794"/>
      <c r="E273" s="381" t="str">
        <f>'Concept-Level Data'!X117</f>
        <v>MISSING</v>
      </c>
    </row>
    <row r="274" spans="2:5" hidden="1" x14ac:dyDescent="0.25">
      <c r="B274" s="227" t="str">
        <f>'Concept-Level Data'!A118</f>
        <v>Respondent 8</v>
      </c>
      <c r="C274" s="793" t="str">
        <f>'Concept-Level Data'!B118</f>
        <v>Watershed and Ecosystem Management</v>
      </c>
      <c r="D274" s="794"/>
      <c r="E274" s="381" t="str">
        <f>'Concept-Level Data'!X118</f>
        <v>MISSING</v>
      </c>
    </row>
    <row r="275" spans="2:5" hidden="1" x14ac:dyDescent="0.25">
      <c r="B275" s="227" t="str">
        <f>'Concept-Level Data'!A119</f>
        <v>Respondent 9</v>
      </c>
      <c r="C275" s="793" t="str">
        <f>'Concept-Level Data'!B119</f>
        <v>Conveyance Improvement</v>
      </c>
      <c r="D275" s="794"/>
      <c r="E275" s="381">
        <f>'Concept-Level Data'!X119</f>
        <v>2</v>
      </c>
    </row>
    <row r="276" spans="2:5" hidden="1" x14ac:dyDescent="0.25">
      <c r="B276" s="227" t="str">
        <f>'Concept-Level Data'!A120</f>
        <v>Respondent 9</v>
      </c>
      <c r="C276" s="793" t="str">
        <f>'Concept-Level Data'!B120</f>
        <v>Drought Restriction/Allocation</v>
      </c>
      <c r="D276" s="794"/>
      <c r="E276" s="381">
        <f>'Concept-Level Data'!X120</f>
        <v>4</v>
      </c>
    </row>
    <row r="277" spans="2:5" hidden="1" x14ac:dyDescent="0.25">
      <c r="B277" s="227" t="str">
        <f>'Concept-Level Data'!A121</f>
        <v>Respondent 9</v>
      </c>
      <c r="C277" s="793" t="str">
        <f>'Concept-Level Data'!B121</f>
        <v>Firm Water Supply Agreements</v>
      </c>
      <c r="D277" s="794"/>
      <c r="E277" s="381">
        <f>'Concept-Level Data'!X121</f>
        <v>4</v>
      </c>
    </row>
    <row r="278" spans="2:5" hidden="1" x14ac:dyDescent="0.25">
      <c r="B278" s="227" t="str">
        <f>'Concept-Level Data'!A122</f>
        <v>Respondent 9</v>
      </c>
      <c r="C278" s="793" t="str">
        <f>'Concept-Level Data'!B122</f>
        <v>Gray Water Use</v>
      </c>
      <c r="D278" s="794"/>
      <c r="E278" s="381">
        <f>'Concept-Level Data'!X122</f>
        <v>2</v>
      </c>
    </row>
    <row r="279" spans="2:5" hidden="1" x14ac:dyDescent="0.25">
      <c r="B279" s="227" t="str">
        <f>'Concept-Level Data'!A123</f>
        <v>Respondent 9</v>
      </c>
      <c r="C279" s="793" t="str">
        <f>'Concept-Level Data'!B123</f>
        <v>Groundwater</v>
      </c>
      <c r="D279" s="794"/>
      <c r="E279" s="381">
        <f>'Concept-Level Data'!X123</f>
        <v>3</v>
      </c>
    </row>
    <row r="280" spans="2:5" hidden="1" x14ac:dyDescent="0.25">
      <c r="B280" s="227" t="str">
        <f>'Concept-Level Data'!A124</f>
        <v>Respondent 9</v>
      </c>
      <c r="C280" s="793" t="str">
        <f>'Concept-Level Data'!B124</f>
        <v>Imported Water Purchases</v>
      </c>
      <c r="D280" s="794"/>
      <c r="E280" s="381">
        <f>'Concept-Level Data'!X124</f>
        <v>4</v>
      </c>
    </row>
    <row r="281" spans="2:5" hidden="1" x14ac:dyDescent="0.25">
      <c r="B281" s="227" t="str">
        <f>'Concept-Level Data'!A125</f>
        <v>Respondent 9</v>
      </c>
      <c r="C281" s="793" t="str">
        <f>'Concept-Level Data'!B125</f>
        <v>Local Surface Water Reservoirs</v>
      </c>
      <c r="D281" s="794"/>
      <c r="E281" s="381">
        <f>'Concept-Level Data'!X125</f>
        <v>4</v>
      </c>
    </row>
    <row r="282" spans="2:5" hidden="1" x14ac:dyDescent="0.25">
      <c r="B282" s="227" t="str">
        <f>'Concept-Level Data'!A126</f>
        <v>Respondent 9</v>
      </c>
      <c r="C282" s="793" t="str">
        <f>'Concept-Level Data'!B126</f>
        <v>Potable Reuse</v>
      </c>
      <c r="D282" s="794"/>
      <c r="E282" s="381">
        <f>'Concept-Level Data'!X126</f>
        <v>2</v>
      </c>
    </row>
    <row r="283" spans="2:5" hidden="1" x14ac:dyDescent="0.25">
      <c r="B283" s="227" t="str">
        <f>'Concept-Level Data'!A127</f>
        <v>Respondent 9</v>
      </c>
      <c r="C283" s="793" t="str">
        <f>'Concept-Level Data'!B127</f>
        <v>Recycled Water</v>
      </c>
      <c r="D283" s="794"/>
      <c r="E283" s="381">
        <f>'Concept-Level Data'!X127</f>
        <v>2</v>
      </c>
    </row>
    <row r="284" spans="2:5" hidden="1" x14ac:dyDescent="0.25">
      <c r="B284" s="227" t="str">
        <f>'Concept-Level Data'!A128</f>
        <v>Respondent 9</v>
      </c>
      <c r="C284" s="793" t="str">
        <f>'Concept-Level Data'!B128</f>
        <v>Seawater Desalination</v>
      </c>
      <c r="D284" s="794"/>
      <c r="E284" s="381">
        <f>'Concept-Level Data'!X128</f>
        <v>2</v>
      </c>
    </row>
    <row r="285" spans="2:5" hidden="1" x14ac:dyDescent="0.25">
      <c r="B285" s="227" t="str">
        <f>'Concept-Level Data'!A129</f>
        <v>Respondent 9</v>
      </c>
      <c r="C285" s="793" t="str">
        <f>'Concept-Level Data'!B129</f>
        <v>Stormwater BMPs</v>
      </c>
      <c r="D285" s="794"/>
      <c r="E285" s="381">
        <f>'Concept-Level Data'!X129</f>
        <v>4</v>
      </c>
    </row>
    <row r="286" spans="2:5" hidden="1" x14ac:dyDescent="0.25">
      <c r="B286" s="227" t="str">
        <f>'Concept-Level Data'!A130</f>
        <v>Respondent 9</v>
      </c>
      <c r="C286" s="793" t="str">
        <f>'Concept-Level Data'!B130</f>
        <v>Stormwater Capture</v>
      </c>
      <c r="D286" s="794"/>
      <c r="E286" s="381">
        <f>'Concept-Level Data'!X130</f>
        <v>4</v>
      </c>
    </row>
    <row r="287" spans="2:5" hidden="1" x14ac:dyDescent="0.25">
      <c r="B287" s="227" t="str">
        <f>'Concept-Level Data'!A131</f>
        <v>Respondent 9</v>
      </c>
      <c r="C287" s="793" t="str">
        <f>'Concept-Level Data'!B131</f>
        <v>Urban and Agricultural Water Use Efficiency</v>
      </c>
      <c r="D287" s="794"/>
      <c r="E287" s="381">
        <f>'Concept-Level Data'!X131</f>
        <v>4</v>
      </c>
    </row>
    <row r="288" spans="2:5" hidden="1" x14ac:dyDescent="0.25">
      <c r="B288" s="227" t="str">
        <f>'Concept-Level Data'!A132</f>
        <v>Respondent 9</v>
      </c>
      <c r="C288" s="793" t="str">
        <f>'Concept-Level Data'!B132</f>
        <v>Watershed and Ecosystem Management</v>
      </c>
      <c r="D288" s="794"/>
      <c r="E288" s="381">
        <f>'Concept-Level Data'!X132</f>
        <v>5</v>
      </c>
    </row>
    <row r="289" spans="2:5" hidden="1" x14ac:dyDescent="0.25">
      <c r="B289" s="251" t="str">
        <f>'Concept-Level Data'!A133</f>
        <v>Respondent 10</v>
      </c>
      <c r="C289" s="793" t="str">
        <f>'Concept-Level Data'!B133</f>
        <v>Conveyance Improvement</v>
      </c>
      <c r="D289" s="794"/>
      <c r="E289" s="381">
        <f>'Concept-Level Data'!X133</f>
        <v>2</v>
      </c>
    </row>
    <row r="290" spans="2:5" hidden="1" x14ac:dyDescent="0.25">
      <c r="B290" s="251" t="str">
        <f>'Concept-Level Data'!A134</f>
        <v>Respondent 10</v>
      </c>
      <c r="C290" s="793" t="str">
        <f>'Concept-Level Data'!B134</f>
        <v>Drought Restriction/Allocation</v>
      </c>
      <c r="D290" s="794"/>
      <c r="E290" s="381">
        <f>'Concept-Level Data'!X134</f>
        <v>2</v>
      </c>
    </row>
    <row r="291" spans="2:5" hidden="1" x14ac:dyDescent="0.25">
      <c r="B291" s="251" t="str">
        <f>'Concept-Level Data'!A135</f>
        <v>Respondent 10</v>
      </c>
      <c r="C291" s="793" t="str">
        <f>'Concept-Level Data'!B135</f>
        <v>Firm Water Supply Agreements</v>
      </c>
      <c r="D291" s="794"/>
      <c r="E291" s="381">
        <f>'Concept-Level Data'!X135</f>
        <v>2</v>
      </c>
    </row>
    <row r="292" spans="2:5" hidden="1" x14ac:dyDescent="0.25">
      <c r="B292" s="251" t="str">
        <f>'Concept-Level Data'!A136</f>
        <v>Respondent 10</v>
      </c>
      <c r="C292" s="793" t="str">
        <f>'Concept-Level Data'!B136</f>
        <v>Gray Water Use</v>
      </c>
      <c r="D292" s="794"/>
      <c r="E292" s="381">
        <f>'Concept-Level Data'!X136</f>
        <v>2</v>
      </c>
    </row>
    <row r="293" spans="2:5" hidden="1" x14ac:dyDescent="0.25">
      <c r="B293" s="251" t="str">
        <f>'Concept-Level Data'!A137</f>
        <v>Respondent 10</v>
      </c>
      <c r="C293" s="793" t="str">
        <f>'Concept-Level Data'!B137</f>
        <v>Groundwater</v>
      </c>
      <c r="D293" s="794"/>
      <c r="E293" s="381">
        <f>'Concept-Level Data'!X137</f>
        <v>2</v>
      </c>
    </row>
    <row r="294" spans="2:5" hidden="1" x14ac:dyDescent="0.25">
      <c r="B294" s="251" t="str">
        <f>'Concept-Level Data'!A138</f>
        <v>Respondent 10</v>
      </c>
      <c r="C294" s="793" t="str">
        <f>'Concept-Level Data'!B138</f>
        <v>Imported Water Purchases</v>
      </c>
      <c r="D294" s="794"/>
      <c r="E294" s="381">
        <f>'Concept-Level Data'!X138</f>
        <v>2</v>
      </c>
    </row>
    <row r="295" spans="2:5" hidden="1" x14ac:dyDescent="0.25">
      <c r="B295" s="251" t="str">
        <f>'Concept-Level Data'!A139</f>
        <v>Respondent 10</v>
      </c>
      <c r="C295" s="793" t="str">
        <f>'Concept-Level Data'!B139</f>
        <v>Local Surface Water Reservoirs</v>
      </c>
      <c r="D295" s="794"/>
      <c r="E295" s="381">
        <f>'Concept-Level Data'!X139</f>
        <v>2</v>
      </c>
    </row>
    <row r="296" spans="2:5" hidden="1" x14ac:dyDescent="0.25">
      <c r="B296" s="251" t="str">
        <f>'Concept-Level Data'!A140</f>
        <v>Respondent 10</v>
      </c>
      <c r="C296" s="793" t="str">
        <f>'Concept-Level Data'!B140</f>
        <v>Potable Reuse</v>
      </c>
      <c r="D296" s="794"/>
      <c r="E296" s="381">
        <f>'Concept-Level Data'!X140</f>
        <v>1</v>
      </c>
    </row>
    <row r="297" spans="2:5" hidden="1" x14ac:dyDescent="0.25">
      <c r="B297" s="251" t="str">
        <f>'Concept-Level Data'!A141</f>
        <v>Respondent 10</v>
      </c>
      <c r="C297" s="793" t="str">
        <f>'Concept-Level Data'!B141</f>
        <v>Recycled Water</v>
      </c>
      <c r="D297" s="794"/>
      <c r="E297" s="381">
        <f>'Concept-Level Data'!X141</f>
        <v>4</v>
      </c>
    </row>
    <row r="298" spans="2:5" hidden="1" x14ac:dyDescent="0.25">
      <c r="B298" s="251" t="str">
        <f>'Concept-Level Data'!A142</f>
        <v>Respondent 10</v>
      </c>
      <c r="C298" s="793" t="str">
        <f>'Concept-Level Data'!B142</f>
        <v>Seawater Desalination</v>
      </c>
      <c r="D298" s="794"/>
      <c r="E298" s="381">
        <f>'Concept-Level Data'!X142</f>
        <v>1</v>
      </c>
    </row>
    <row r="299" spans="2:5" hidden="1" x14ac:dyDescent="0.25">
      <c r="B299" s="251" t="str">
        <f>'Concept-Level Data'!A143</f>
        <v>Respondent 10</v>
      </c>
      <c r="C299" s="793" t="str">
        <f>'Concept-Level Data'!B143</f>
        <v>Stormwater BMPs</v>
      </c>
      <c r="D299" s="794"/>
      <c r="E299" s="381">
        <f>'Concept-Level Data'!X143</f>
        <v>4</v>
      </c>
    </row>
    <row r="300" spans="2:5" hidden="1" x14ac:dyDescent="0.25">
      <c r="B300" s="251" t="str">
        <f>'Concept-Level Data'!A144</f>
        <v>Respondent 10</v>
      </c>
      <c r="C300" s="793" t="str">
        <f>'Concept-Level Data'!B144</f>
        <v>Stormwater Capture</v>
      </c>
      <c r="D300" s="794"/>
      <c r="E300" s="381">
        <f>'Concept-Level Data'!X144</f>
        <v>2</v>
      </c>
    </row>
    <row r="301" spans="2:5" hidden="1" x14ac:dyDescent="0.25">
      <c r="B301" s="251" t="str">
        <f>'Concept-Level Data'!A145</f>
        <v>Respondent 10</v>
      </c>
      <c r="C301" s="793" t="str">
        <f>'Concept-Level Data'!B145</f>
        <v>Urban and Agricultural Water Use Efficiency</v>
      </c>
      <c r="D301" s="794"/>
      <c r="E301" s="381">
        <f>'Concept-Level Data'!X145</f>
        <v>2</v>
      </c>
    </row>
    <row r="302" spans="2:5" hidden="1" x14ac:dyDescent="0.25">
      <c r="B302" s="251" t="str">
        <f>'Concept-Level Data'!A146</f>
        <v>Respondent 10</v>
      </c>
      <c r="C302" s="793" t="str">
        <f>'Concept-Level Data'!B146</f>
        <v>Watershed and Ecosystem Management</v>
      </c>
      <c r="D302" s="794"/>
      <c r="E302" s="381">
        <f>'Concept-Level Data'!X146</f>
        <v>2</v>
      </c>
    </row>
    <row r="303" spans="2:5" hidden="1" x14ac:dyDescent="0.25">
      <c r="B303" s="251" t="str">
        <f>'Concept-Level Data'!A147</f>
        <v>Respondent 11</v>
      </c>
      <c r="C303" s="793" t="str">
        <f>'Concept-Level Data'!B147</f>
        <v>Conveyance Improvement</v>
      </c>
      <c r="D303" s="794"/>
      <c r="E303" s="381">
        <f>'Concept-Level Data'!X147</f>
        <v>3</v>
      </c>
    </row>
    <row r="304" spans="2:5" hidden="1" x14ac:dyDescent="0.25">
      <c r="B304" s="251" t="str">
        <f>'Concept-Level Data'!A148</f>
        <v>Respondent 11</v>
      </c>
      <c r="C304" s="793" t="str">
        <f>'Concept-Level Data'!B148</f>
        <v>Drought Restriction/Allocation</v>
      </c>
      <c r="D304" s="794"/>
      <c r="E304" s="381">
        <f>'Concept-Level Data'!X148</f>
        <v>2</v>
      </c>
    </row>
    <row r="305" spans="2:5" hidden="1" x14ac:dyDescent="0.25">
      <c r="B305" s="251" t="str">
        <f>'Concept-Level Data'!A149</f>
        <v>Respondent 11</v>
      </c>
      <c r="C305" s="793" t="str">
        <f>'Concept-Level Data'!B149</f>
        <v>Firm Water Supply Agreements</v>
      </c>
      <c r="D305" s="794"/>
      <c r="E305" s="381">
        <f>'Concept-Level Data'!X149</f>
        <v>2</v>
      </c>
    </row>
    <row r="306" spans="2:5" hidden="1" x14ac:dyDescent="0.25">
      <c r="B306" s="251" t="str">
        <f>'Concept-Level Data'!A150</f>
        <v>Respondent 11</v>
      </c>
      <c r="C306" s="793" t="str">
        <f>'Concept-Level Data'!B150</f>
        <v>Gray Water Use</v>
      </c>
      <c r="D306" s="794"/>
      <c r="E306" s="381">
        <f>'Concept-Level Data'!X150</f>
        <v>1</v>
      </c>
    </row>
    <row r="307" spans="2:5" hidden="1" x14ac:dyDescent="0.25">
      <c r="B307" s="251" t="str">
        <f>'Concept-Level Data'!A151</f>
        <v>Respondent 11</v>
      </c>
      <c r="C307" s="793" t="str">
        <f>'Concept-Level Data'!B151</f>
        <v>Groundwater</v>
      </c>
      <c r="D307" s="794"/>
      <c r="E307" s="381">
        <f>'Concept-Level Data'!X151</f>
        <v>1</v>
      </c>
    </row>
    <row r="308" spans="2:5" hidden="1" x14ac:dyDescent="0.25">
      <c r="B308" s="251" t="str">
        <f>'Concept-Level Data'!A152</f>
        <v>Respondent 11</v>
      </c>
      <c r="C308" s="793" t="str">
        <f>'Concept-Level Data'!B152</f>
        <v>Imported Water Purchases</v>
      </c>
      <c r="D308" s="794"/>
      <c r="E308" s="381">
        <f>'Concept-Level Data'!X152</f>
        <v>4</v>
      </c>
    </row>
    <row r="309" spans="2:5" hidden="1" x14ac:dyDescent="0.25">
      <c r="B309" s="251" t="str">
        <f>'Concept-Level Data'!A153</f>
        <v>Respondent 11</v>
      </c>
      <c r="C309" s="793" t="str">
        <f>'Concept-Level Data'!B153</f>
        <v>Local Surface Water Reservoirs</v>
      </c>
      <c r="D309" s="794"/>
      <c r="E309" s="381">
        <f>'Concept-Level Data'!X153</f>
        <v>4</v>
      </c>
    </row>
    <row r="310" spans="2:5" hidden="1" x14ac:dyDescent="0.25">
      <c r="B310" s="251" t="str">
        <f>'Concept-Level Data'!A154</f>
        <v>Respondent 11</v>
      </c>
      <c r="C310" s="793" t="str">
        <f>'Concept-Level Data'!B154</f>
        <v>Potable Reuse</v>
      </c>
      <c r="D310" s="794"/>
      <c r="E310" s="381">
        <f>'Concept-Level Data'!X154</f>
        <v>1</v>
      </c>
    </row>
    <row r="311" spans="2:5" hidden="1" x14ac:dyDescent="0.25">
      <c r="B311" s="251" t="str">
        <f>'Concept-Level Data'!A155</f>
        <v>Respondent 11</v>
      </c>
      <c r="C311" s="793" t="str">
        <f>'Concept-Level Data'!B155</f>
        <v>Recycled Water</v>
      </c>
      <c r="D311" s="794"/>
      <c r="E311" s="381">
        <f>'Concept-Level Data'!X155</f>
        <v>1</v>
      </c>
    </row>
    <row r="312" spans="2:5" hidden="1" x14ac:dyDescent="0.25">
      <c r="B312" s="251" t="str">
        <f>'Concept-Level Data'!A156</f>
        <v>Respondent 11</v>
      </c>
      <c r="C312" s="793" t="str">
        <f>'Concept-Level Data'!B156</f>
        <v>Seawater Desalination</v>
      </c>
      <c r="D312" s="794"/>
      <c r="E312" s="381">
        <f>'Concept-Level Data'!X156</f>
        <v>1</v>
      </c>
    </row>
    <row r="313" spans="2:5" hidden="1" x14ac:dyDescent="0.25">
      <c r="B313" s="251" t="str">
        <f>'Concept-Level Data'!A157</f>
        <v>Respondent 11</v>
      </c>
      <c r="C313" s="793" t="str">
        <f>'Concept-Level Data'!B157</f>
        <v>Stormwater BMPs</v>
      </c>
      <c r="D313" s="794"/>
      <c r="E313" s="381">
        <f>'Concept-Level Data'!X157</f>
        <v>2</v>
      </c>
    </row>
    <row r="314" spans="2:5" hidden="1" x14ac:dyDescent="0.25">
      <c r="B314" s="251" t="str">
        <f>'Concept-Level Data'!A158</f>
        <v>Respondent 11</v>
      </c>
      <c r="C314" s="793" t="str">
        <f>'Concept-Level Data'!B158</f>
        <v>Stormwater Capture</v>
      </c>
      <c r="D314" s="794"/>
      <c r="E314" s="381">
        <f>'Concept-Level Data'!X158</f>
        <v>1</v>
      </c>
    </row>
    <row r="315" spans="2:5" hidden="1" x14ac:dyDescent="0.25">
      <c r="B315" s="251" t="str">
        <f>'Concept-Level Data'!A159</f>
        <v>Respondent 11</v>
      </c>
      <c r="C315" s="793" t="str">
        <f>'Concept-Level Data'!B159</f>
        <v>Urban and Agricultural Water Use Efficiency</v>
      </c>
      <c r="D315" s="794"/>
      <c r="E315" s="381">
        <f>'Concept-Level Data'!X159</f>
        <v>4</v>
      </c>
    </row>
    <row r="316" spans="2:5" hidden="1" x14ac:dyDescent="0.25">
      <c r="B316" s="251" t="str">
        <f>'Concept-Level Data'!A160</f>
        <v>Respondent 11</v>
      </c>
      <c r="C316" s="793" t="str">
        <f>'Concept-Level Data'!B160</f>
        <v>Watershed and Ecosystem Management</v>
      </c>
      <c r="D316" s="794"/>
      <c r="E316" s="381">
        <f>'Concept-Level Data'!X160</f>
        <v>1</v>
      </c>
    </row>
    <row r="317" spans="2:5" hidden="1" x14ac:dyDescent="0.25">
      <c r="B317" s="251" t="str">
        <f>'Concept-Level Data'!A161</f>
        <v>Respondent 12</v>
      </c>
      <c r="C317" s="793" t="str">
        <f>'Concept-Level Data'!B161</f>
        <v>Conveyance Improvement</v>
      </c>
      <c r="D317" s="794"/>
      <c r="E317" s="381">
        <f>'Concept-Level Data'!X161</f>
        <v>5</v>
      </c>
    </row>
    <row r="318" spans="2:5" hidden="1" x14ac:dyDescent="0.25">
      <c r="B318" s="251" t="str">
        <f>'Concept-Level Data'!A162</f>
        <v>Respondent 12</v>
      </c>
      <c r="C318" s="793" t="str">
        <f>'Concept-Level Data'!B162</f>
        <v>Drought Restriction/Allocation</v>
      </c>
      <c r="D318" s="794"/>
      <c r="E318" s="381">
        <f>'Concept-Level Data'!X162</f>
        <v>4</v>
      </c>
    </row>
    <row r="319" spans="2:5" hidden="1" x14ac:dyDescent="0.25">
      <c r="B319" s="251" t="str">
        <f>'Concept-Level Data'!A163</f>
        <v>Respondent 12</v>
      </c>
      <c r="C319" s="793" t="str">
        <f>'Concept-Level Data'!B163</f>
        <v>Firm Water Supply Agreements</v>
      </c>
      <c r="D319" s="794"/>
      <c r="E319" s="381">
        <f>'Concept-Level Data'!X163</f>
        <v>2</v>
      </c>
    </row>
    <row r="320" spans="2:5" hidden="1" x14ac:dyDescent="0.25">
      <c r="B320" s="251" t="str">
        <f>'Concept-Level Data'!A164</f>
        <v>Respondent 12</v>
      </c>
      <c r="C320" s="793" t="str">
        <f>'Concept-Level Data'!B164</f>
        <v>Gray Water Use</v>
      </c>
      <c r="D320" s="794"/>
      <c r="E320" s="381">
        <f>'Concept-Level Data'!X164</f>
        <v>4</v>
      </c>
    </row>
    <row r="321" spans="2:5" hidden="1" x14ac:dyDescent="0.25">
      <c r="B321" s="251" t="str">
        <f>'Concept-Level Data'!A165</f>
        <v>Respondent 12</v>
      </c>
      <c r="C321" s="793" t="str">
        <f>'Concept-Level Data'!B165</f>
        <v>Groundwater</v>
      </c>
      <c r="D321" s="794"/>
      <c r="E321" s="381">
        <f>'Concept-Level Data'!X165</f>
        <v>2</v>
      </c>
    </row>
    <row r="322" spans="2:5" hidden="1" x14ac:dyDescent="0.25">
      <c r="B322" s="251" t="str">
        <f>'Concept-Level Data'!A166</f>
        <v>Respondent 12</v>
      </c>
      <c r="C322" s="793" t="str">
        <f>'Concept-Level Data'!B166</f>
        <v>Imported Water Purchases</v>
      </c>
      <c r="D322" s="794"/>
      <c r="E322" s="381" t="str">
        <f>'Concept-Level Data'!X166</f>
        <v>MISSING</v>
      </c>
    </row>
    <row r="323" spans="2:5" hidden="1" x14ac:dyDescent="0.25">
      <c r="B323" s="251" t="str">
        <f>'Concept-Level Data'!A167</f>
        <v>Respondent 12</v>
      </c>
      <c r="C323" s="793" t="str">
        <f>'Concept-Level Data'!B167</f>
        <v>Local Surface Water Reservoirs</v>
      </c>
      <c r="D323" s="794"/>
      <c r="E323" s="381">
        <f>'Concept-Level Data'!X167</f>
        <v>1</v>
      </c>
    </row>
    <row r="324" spans="2:5" hidden="1" x14ac:dyDescent="0.25">
      <c r="B324" s="251" t="str">
        <f>'Concept-Level Data'!A168</f>
        <v>Respondent 12</v>
      </c>
      <c r="C324" s="793" t="str">
        <f>'Concept-Level Data'!B168</f>
        <v>Potable Reuse</v>
      </c>
      <c r="D324" s="794"/>
      <c r="E324" s="381">
        <f>'Concept-Level Data'!X168</f>
        <v>2</v>
      </c>
    </row>
    <row r="325" spans="2:5" hidden="1" x14ac:dyDescent="0.25">
      <c r="B325" s="251" t="str">
        <f>'Concept-Level Data'!A169</f>
        <v>Respondent 12</v>
      </c>
      <c r="C325" s="793" t="str">
        <f>'Concept-Level Data'!B169</f>
        <v>Recycled Water</v>
      </c>
      <c r="D325" s="794"/>
      <c r="E325" s="381">
        <f>'Concept-Level Data'!X169</f>
        <v>2</v>
      </c>
    </row>
    <row r="326" spans="2:5" hidden="1" x14ac:dyDescent="0.25">
      <c r="B326" s="251" t="str">
        <f>'Concept-Level Data'!A170</f>
        <v>Respondent 12</v>
      </c>
      <c r="C326" s="793" t="str">
        <f>'Concept-Level Data'!B170</f>
        <v>Seawater Desalination</v>
      </c>
      <c r="D326" s="794"/>
      <c r="E326" s="381">
        <f>'Concept-Level Data'!X170</f>
        <v>1</v>
      </c>
    </row>
    <row r="327" spans="2:5" hidden="1" x14ac:dyDescent="0.25">
      <c r="B327" s="251" t="str">
        <f>'Concept-Level Data'!A171</f>
        <v>Respondent 12</v>
      </c>
      <c r="C327" s="793" t="str">
        <f>'Concept-Level Data'!B171</f>
        <v>Stormwater BMPs</v>
      </c>
      <c r="D327" s="794"/>
      <c r="E327" s="381">
        <f>'Concept-Level Data'!X171</f>
        <v>2</v>
      </c>
    </row>
    <row r="328" spans="2:5" hidden="1" x14ac:dyDescent="0.25">
      <c r="B328" s="251" t="str">
        <f>'Concept-Level Data'!A172</f>
        <v>Respondent 12</v>
      </c>
      <c r="C328" s="793" t="str">
        <f>'Concept-Level Data'!B172</f>
        <v>Stormwater Capture</v>
      </c>
      <c r="D328" s="794"/>
      <c r="E328" s="381">
        <f>'Concept-Level Data'!X172</f>
        <v>2</v>
      </c>
    </row>
    <row r="329" spans="2:5" hidden="1" x14ac:dyDescent="0.25">
      <c r="B329" s="251" t="str">
        <f>'Concept-Level Data'!A173</f>
        <v>Respondent 12</v>
      </c>
      <c r="C329" s="793" t="str">
        <f>'Concept-Level Data'!B173</f>
        <v>Urban and Agricultural Water Use Efficiency</v>
      </c>
      <c r="D329" s="794"/>
      <c r="E329" s="381">
        <f>'Concept-Level Data'!X173</f>
        <v>4</v>
      </c>
    </row>
    <row r="330" spans="2:5" hidden="1" x14ac:dyDescent="0.25">
      <c r="B330" s="251" t="str">
        <f>'Concept-Level Data'!A174</f>
        <v>Respondent 12</v>
      </c>
      <c r="C330" s="793" t="str">
        <f>'Concept-Level Data'!B174</f>
        <v>Watershed and Ecosystem Management</v>
      </c>
      <c r="D330" s="794"/>
      <c r="E330" s="381">
        <f>'Concept-Level Data'!X174</f>
        <v>3</v>
      </c>
    </row>
    <row r="331" spans="2:5" hidden="1" x14ac:dyDescent="0.25">
      <c r="B331" s="251" t="str">
        <f>'Concept-Level Data'!A175</f>
        <v>Respondent 13</v>
      </c>
      <c r="C331" s="793" t="str">
        <f>'Concept-Level Data'!B175</f>
        <v>Conveyance Improvement</v>
      </c>
      <c r="D331" s="794"/>
      <c r="E331" s="381">
        <f>'Concept-Level Data'!X175</f>
        <v>4</v>
      </c>
    </row>
    <row r="332" spans="2:5" hidden="1" x14ac:dyDescent="0.25">
      <c r="B332" s="251" t="str">
        <f>'Concept-Level Data'!A176</f>
        <v>Respondent 13</v>
      </c>
      <c r="C332" s="793" t="str">
        <f>'Concept-Level Data'!B176</f>
        <v>Drought Restriction/Allocation</v>
      </c>
      <c r="D332" s="794"/>
      <c r="E332" s="381">
        <f>'Concept-Level Data'!X176</f>
        <v>2</v>
      </c>
    </row>
    <row r="333" spans="2:5" hidden="1" x14ac:dyDescent="0.25">
      <c r="B333" s="251" t="str">
        <f>'Concept-Level Data'!A177</f>
        <v>Respondent 13</v>
      </c>
      <c r="C333" s="793" t="str">
        <f>'Concept-Level Data'!B177</f>
        <v>Firm Water Supply Agreements</v>
      </c>
      <c r="D333" s="794"/>
      <c r="E333" s="381">
        <f>'Concept-Level Data'!X177</f>
        <v>2</v>
      </c>
    </row>
    <row r="334" spans="2:5" hidden="1" x14ac:dyDescent="0.25">
      <c r="B334" s="251" t="str">
        <f>'Concept-Level Data'!A178</f>
        <v>Respondent 13</v>
      </c>
      <c r="C334" s="793" t="str">
        <f>'Concept-Level Data'!B178</f>
        <v>Gray Water Use</v>
      </c>
      <c r="D334" s="794"/>
      <c r="E334" s="381">
        <f>'Concept-Level Data'!X178</f>
        <v>3</v>
      </c>
    </row>
    <row r="335" spans="2:5" hidden="1" x14ac:dyDescent="0.25">
      <c r="B335" s="251" t="str">
        <f>'Concept-Level Data'!A179</f>
        <v>Respondent 13</v>
      </c>
      <c r="C335" s="793" t="str">
        <f>'Concept-Level Data'!B179</f>
        <v>Groundwater</v>
      </c>
      <c r="D335" s="794"/>
      <c r="E335" s="381">
        <f>'Concept-Level Data'!X179</f>
        <v>2</v>
      </c>
    </row>
    <row r="336" spans="2:5" hidden="1" x14ac:dyDescent="0.25">
      <c r="B336" s="251" t="str">
        <f>'Concept-Level Data'!A180</f>
        <v>Respondent 13</v>
      </c>
      <c r="C336" s="793" t="str">
        <f>'Concept-Level Data'!B180</f>
        <v>Imported Water Purchases</v>
      </c>
      <c r="D336" s="794"/>
      <c r="E336" s="381">
        <f>'Concept-Level Data'!X180</f>
        <v>2</v>
      </c>
    </row>
    <row r="337" spans="2:5" hidden="1" x14ac:dyDescent="0.25">
      <c r="B337" s="251" t="str">
        <f>'Concept-Level Data'!A181</f>
        <v>Respondent 13</v>
      </c>
      <c r="C337" s="793" t="str">
        <f>'Concept-Level Data'!B181</f>
        <v>Local Surface Water Reservoirs</v>
      </c>
      <c r="D337" s="794"/>
      <c r="E337" s="381">
        <f>'Concept-Level Data'!X181</f>
        <v>2</v>
      </c>
    </row>
    <row r="338" spans="2:5" hidden="1" x14ac:dyDescent="0.25">
      <c r="B338" s="251" t="str">
        <f>'Concept-Level Data'!A182</f>
        <v>Respondent 13</v>
      </c>
      <c r="C338" s="793" t="str">
        <f>'Concept-Level Data'!B182</f>
        <v>Potable Reuse</v>
      </c>
      <c r="D338" s="794"/>
      <c r="E338" s="381">
        <f>'Concept-Level Data'!X182</f>
        <v>2</v>
      </c>
    </row>
    <row r="339" spans="2:5" hidden="1" x14ac:dyDescent="0.25">
      <c r="B339" s="251" t="str">
        <f>'Concept-Level Data'!A183</f>
        <v>Respondent 13</v>
      </c>
      <c r="C339" s="793" t="str">
        <f>'Concept-Level Data'!B183</f>
        <v>Recycled Water</v>
      </c>
      <c r="D339" s="794"/>
      <c r="E339" s="381">
        <f>'Concept-Level Data'!X183</f>
        <v>4</v>
      </c>
    </row>
    <row r="340" spans="2:5" hidden="1" x14ac:dyDescent="0.25">
      <c r="B340" s="251" t="str">
        <f>'Concept-Level Data'!A184</f>
        <v>Respondent 13</v>
      </c>
      <c r="C340" s="793" t="str">
        <f>'Concept-Level Data'!B184</f>
        <v>Seawater Desalination</v>
      </c>
      <c r="D340" s="794"/>
      <c r="E340" s="381">
        <f>'Concept-Level Data'!X184</f>
        <v>1</v>
      </c>
    </row>
    <row r="341" spans="2:5" hidden="1" x14ac:dyDescent="0.25">
      <c r="B341" s="251" t="str">
        <f>'Concept-Level Data'!A185</f>
        <v>Respondent 13</v>
      </c>
      <c r="C341" s="793" t="str">
        <f>'Concept-Level Data'!B185</f>
        <v>Stormwater BMPs</v>
      </c>
      <c r="D341" s="794"/>
      <c r="E341" s="381">
        <f>'Concept-Level Data'!X185</f>
        <v>2</v>
      </c>
    </row>
    <row r="342" spans="2:5" hidden="1" x14ac:dyDescent="0.25">
      <c r="B342" s="251" t="str">
        <f>'Concept-Level Data'!A186</f>
        <v>Respondent 13</v>
      </c>
      <c r="C342" s="793" t="str">
        <f>'Concept-Level Data'!B186</f>
        <v>Stormwater Capture</v>
      </c>
      <c r="D342" s="794"/>
      <c r="E342" s="381">
        <f>'Concept-Level Data'!X186</f>
        <v>1</v>
      </c>
    </row>
    <row r="343" spans="2:5" hidden="1" x14ac:dyDescent="0.25">
      <c r="B343" s="251" t="str">
        <f>'Concept-Level Data'!A187</f>
        <v>Respondent 13</v>
      </c>
      <c r="C343" s="793" t="str">
        <f>'Concept-Level Data'!B187</f>
        <v>Urban and Agricultural Water Use Efficiency</v>
      </c>
      <c r="D343" s="794"/>
      <c r="E343" s="381">
        <f>'Concept-Level Data'!X187</f>
        <v>4</v>
      </c>
    </row>
    <row r="344" spans="2:5" hidden="1" x14ac:dyDescent="0.25">
      <c r="B344" s="251" t="str">
        <f>'Concept-Level Data'!A188</f>
        <v>Respondent 13</v>
      </c>
      <c r="C344" s="793" t="str">
        <f>'Concept-Level Data'!B188</f>
        <v>Watershed and Ecosystem Management</v>
      </c>
      <c r="D344" s="794"/>
      <c r="E344" s="381">
        <f>'Concept-Level Data'!X188</f>
        <v>4</v>
      </c>
    </row>
    <row r="345" spans="2:5" hidden="1" x14ac:dyDescent="0.25">
      <c r="B345" s="251" t="str">
        <f>'Concept-Level Data'!A189</f>
        <v>Respondent 14</v>
      </c>
      <c r="C345" s="793" t="str">
        <f>'Concept-Level Data'!B189</f>
        <v>Conveyance Improvement</v>
      </c>
      <c r="D345" s="794"/>
      <c r="E345" s="381">
        <f>'Concept-Level Data'!X189</f>
        <v>4</v>
      </c>
    </row>
    <row r="346" spans="2:5" hidden="1" x14ac:dyDescent="0.25">
      <c r="B346" s="251" t="str">
        <f>'Concept-Level Data'!A190</f>
        <v>Respondent 14</v>
      </c>
      <c r="C346" s="793" t="str">
        <f>'Concept-Level Data'!B190</f>
        <v>Drought Restriction/Allocation</v>
      </c>
      <c r="D346" s="794"/>
      <c r="E346" s="381">
        <f>'Concept-Level Data'!X190</f>
        <v>5</v>
      </c>
    </row>
    <row r="347" spans="2:5" hidden="1" x14ac:dyDescent="0.25">
      <c r="B347" s="251" t="str">
        <f>'Concept-Level Data'!A191</f>
        <v>Respondent 14</v>
      </c>
      <c r="C347" s="793" t="str">
        <f>'Concept-Level Data'!B191</f>
        <v>Firm Water Supply Agreements</v>
      </c>
      <c r="D347" s="794"/>
      <c r="E347" s="381">
        <f>'Concept-Level Data'!X191</f>
        <v>2</v>
      </c>
    </row>
    <row r="348" spans="2:5" hidden="1" x14ac:dyDescent="0.25">
      <c r="B348" s="251" t="str">
        <f>'Concept-Level Data'!A192</f>
        <v>Respondent 14</v>
      </c>
      <c r="C348" s="793" t="str">
        <f>'Concept-Level Data'!B192</f>
        <v>Gray Water Use</v>
      </c>
      <c r="D348" s="794"/>
      <c r="E348" s="381">
        <f>'Concept-Level Data'!X192</f>
        <v>2</v>
      </c>
    </row>
    <row r="349" spans="2:5" hidden="1" x14ac:dyDescent="0.25">
      <c r="B349" s="251" t="str">
        <f>'Concept-Level Data'!A193</f>
        <v>Respondent 14</v>
      </c>
      <c r="C349" s="793" t="str">
        <f>'Concept-Level Data'!B193</f>
        <v>Groundwater</v>
      </c>
      <c r="D349" s="794"/>
      <c r="E349" s="381">
        <f>'Concept-Level Data'!X193</f>
        <v>2</v>
      </c>
    </row>
    <row r="350" spans="2:5" hidden="1" x14ac:dyDescent="0.25">
      <c r="B350" s="251" t="str">
        <f>'Concept-Level Data'!A194</f>
        <v>Respondent 14</v>
      </c>
      <c r="C350" s="793" t="str">
        <f>'Concept-Level Data'!B194</f>
        <v>Imported Water Purchases</v>
      </c>
      <c r="D350" s="794"/>
      <c r="E350" s="381">
        <f>'Concept-Level Data'!X194</f>
        <v>3</v>
      </c>
    </row>
    <row r="351" spans="2:5" hidden="1" x14ac:dyDescent="0.25">
      <c r="B351" s="251" t="str">
        <f>'Concept-Level Data'!A195</f>
        <v>Respondent 14</v>
      </c>
      <c r="C351" s="793" t="str">
        <f>'Concept-Level Data'!B195</f>
        <v>Local Surface Water Reservoirs</v>
      </c>
      <c r="D351" s="794"/>
      <c r="E351" s="381">
        <f>'Concept-Level Data'!X195</f>
        <v>3</v>
      </c>
    </row>
    <row r="352" spans="2:5" hidden="1" x14ac:dyDescent="0.25">
      <c r="B352" s="251" t="str">
        <f>'Concept-Level Data'!A196</f>
        <v>Respondent 14</v>
      </c>
      <c r="C352" s="793" t="str">
        <f>'Concept-Level Data'!B196</f>
        <v>Potable Reuse</v>
      </c>
      <c r="D352" s="794"/>
      <c r="E352" s="381">
        <f>'Concept-Level Data'!X196</f>
        <v>1</v>
      </c>
    </row>
    <row r="353" spans="2:5" hidden="1" x14ac:dyDescent="0.25">
      <c r="B353" s="251" t="str">
        <f>'Concept-Level Data'!A197</f>
        <v>Respondent 14</v>
      </c>
      <c r="C353" s="793" t="str">
        <f>'Concept-Level Data'!B197</f>
        <v>Recycled Water</v>
      </c>
      <c r="D353" s="794"/>
      <c r="E353" s="381">
        <f>'Concept-Level Data'!X197</f>
        <v>2</v>
      </c>
    </row>
    <row r="354" spans="2:5" hidden="1" x14ac:dyDescent="0.25">
      <c r="B354" s="251" t="str">
        <f>'Concept-Level Data'!A198</f>
        <v>Respondent 14</v>
      </c>
      <c r="C354" s="793" t="str">
        <f>'Concept-Level Data'!B198</f>
        <v>Seawater Desalination</v>
      </c>
      <c r="D354" s="794"/>
      <c r="E354" s="381">
        <f>'Concept-Level Data'!X198</f>
        <v>1</v>
      </c>
    </row>
    <row r="355" spans="2:5" hidden="1" x14ac:dyDescent="0.25">
      <c r="B355" s="251" t="str">
        <f>'Concept-Level Data'!A199</f>
        <v>Respondent 14</v>
      </c>
      <c r="C355" s="793" t="str">
        <f>'Concept-Level Data'!B199</f>
        <v>Stormwater BMPs</v>
      </c>
      <c r="D355" s="794"/>
      <c r="E355" s="381">
        <f>'Concept-Level Data'!X199</f>
        <v>4</v>
      </c>
    </row>
    <row r="356" spans="2:5" hidden="1" x14ac:dyDescent="0.25">
      <c r="B356" s="251" t="str">
        <f>'Concept-Level Data'!A200</f>
        <v>Respondent 14</v>
      </c>
      <c r="C356" s="793" t="str">
        <f>'Concept-Level Data'!B200</f>
        <v>Stormwater Capture</v>
      </c>
      <c r="D356" s="794"/>
      <c r="E356" s="381">
        <f>'Concept-Level Data'!X200</f>
        <v>2</v>
      </c>
    </row>
    <row r="357" spans="2:5" hidden="1" x14ac:dyDescent="0.25">
      <c r="B357" s="251" t="str">
        <f>'Concept-Level Data'!A201</f>
        <v>Respondent 14</v>
      </c>
      <c r="C357" s="793" t="str">
        <f>'Concept-Level Data'!B201</f>
        <v>Urban and Agricultural Water Use Efficiency</v>
      </c>
      <c r="D357" s="794"/>
      <c r="E357" s="381">
        <f>'Concept-Level Data'!X201</f>
        <v>5</v>
      </c>
    </row>
    <row r="358" spans="2:5" hidden="1" x14ac:dyDescent="0.25">
      <c r="B358" s="251" t="str">
        <f>'Concept-Level Data'!A202</f>
        <v>Respondent 14</v>
      </c>
      <c r="C358" s="793" t="str">
        <f>'Concept-Level Data'!B202</f>
        <v>Watershed and Ecosystem Management</v>
      </c>
      <c r="D358" s="794"/>
      <c r="E358" s="381">
        <f>'Concept-Level Data'!X202</f>
        <v>2</v>
      </c>
    </row>
    <row r="359" spans="2:5" hidden="1" x14ac:dyDescent="0.25">
      <c r="B359" s="251" t="str">
        <f>'Concept-Level Data'!A203</f>
        <v>Respondent 15</v>
      </c>
      <c r="C359" s="793" t="str">
        <f>'Concept-Level Data'!B203</f>
        <v>Conveyance Improvement</v>
      </c>
      <c r="D359" s="794"/>
      <c r="E359" s="381">
        <f>'Concept-Level Data'!X203</f>
        <v>4</v>
      </c>
    </row>
    <row r="360" spans="2:5" hidden="1" x14ac:dyDescent="0.25">
      <c r="B360" s="251" t="str">
        <f>'Concept-Level Data'!A204</f>
        <v>Respondent 15</v>
      </c>
      <c r="C360" s="793" t="str">
        <f>'Concept-Level Data'!B204</f>
        <v>Drought Restriction/Allocation</v>
      </c>
      <c r="D360" s="794"/>
      <c r="E360" s="381">
        <f>'Concept-Level Data'!X204</f>
        <v>4</v>
      </c>
    </row>
    <row r="361" spans="2:5" hidden="1" x14ac:dyDescent="0.25">
      <c r="B361" s="251" t="str">
        <f>'Concept-Level Data'!A205</f>
        <v>Respondent 15</v>
      </c>
      <c r="C361" s="793" t="str">
        <f>'Concept-Level Data'!B205</f>
        <v>Firm Water Supply Agreements</v>
      </c>
      <c r="D361" s="794"/>
      <c r="E361" s="381">
        <f>'Concept-Level Data'!X205</f>
        <v>1</v>
      </c>
    </row>
    <row r="362" spans="2:5" hidden="1" x14ac:dyDescent="0.25">
      <c r="B362" s="251" t="str">
        <f>'Concept-Level Data'!A206</f>
        <v>Respondent 15</v>
      </c>
      <c r="C362" s="793" t="str">
        <f>'Concept-Level Data'!B206</f>
        <v>Gray Water Use</v>
      </c>
      <c r="D362" s="794"/>
      <c r="E362" s="381">
        <f>'Concept-Level Data'!X206</f>
        <v>4</v>
      </c>
    </row>
    <row r="363" spans="2:5" hidden="1" x14ac:dyDescent="0.25">
      <c r="B363" s="251" t="str">
        <f>'Concept-Level Data'!A207</f>
        <v>Respondent 15</v>
      </c>
      <c r="C363" s="793" t="str">
        <f>'Concept-Level Data'!B207</f>
        <v>Groundwater</v>
      </c>
      <c r="D363" s="794"/>
      <c r="E363" s="381">
        <f>'Concept-Level Data'!X207</f>
        <v>1</v>
      </c>
    </row>
    <row r="364" spans="2:5" hidden="1" x14ac:dyDescent="0.25">
      <c r="B364" s="251" t="str">
        <f>'Concept-Level Data'!A208</f>
        <v>Respondent 15</v>
      </c>
      <c r="C364" s="793" t="str">
        <f>'Concept-Level Data'!B208</f>
        <v>Imported Water Purchases</v>
      </c>
      <c r="D364" s="794"/>
      <c r="E364" s="381">
        <f>'Concept-Level Data'!X208</f>
        <v>3</v>
      </c>
    </row>
    <row r="365" spans="2:5" hidden="1" x14ac:dyDescent="0.25">
      <c r="B365" s="251" t="str">
        <f>'Concept-Level Data'!A209</f>
        <v>Respondent 15</v>
      </c>
      <c r="C365" s="793" t="str">
        <f>'Concept-Level Data'!B209</f>
        <v>Local Surface Water Reservoirs</v>
      </c>
      <c r="D365" s="794"/>
      <c r="E365" s="381">
        <f>'Concept-Level Data'!X209</f>
        <v>2</v>
      </c>
    </row>
    <row r="366" spans="2:5" hidden="1" x14ac:dyDescent="0.25">
      <c r="B366" s="251" t="str">
        <f>'Concept-Level Data'!A210</f>
        <v>Respondent 15</v>
      </c>
      <c r="C366" s="793" t="str">
        <f>'Concept-Level Data'!B210</f>
        <v>Potable Reuse</v>
      </c>
      <c r="D366" s="794"/>
      <c r="E366" s="381">
        <f>'Concept-Level Data'!X210</f>
        <v>1</v>
      </c>
    </row>
    <row r="367" spans="2:5" hidden="1" x14ac:dyDescent="0.25">
      <c r="B367" s="251" t="str">
        <f>'Concept-Level Data'!A211</f>
        <v>Respondent 15</v>
      </c>
      <c r="C367" s="793" t="str">
        <f>'Concept-Level Data'!B211</f>
        <v>Recycled Water</v>
      </c>
      <c r="D367" s="794"/>
      <c r="E367" s="381">
        <f>'Concept-Level Data'!X211</f>
        <v>4</v>
      </c>
    </row>
    <row r="368" spans="2:5" hidden="1" x14ac:dyDescent="0.25">
      <c r="B368" s="251" t="str">
        <f>'Concept-Level Data'!A212</f>
        <v>Respondent 15</v>
      </c>
      <c r="C368" s="793" t="str">
        <f>'Concept-Level Data'!B212</f>
        <v>Seawater Desalination</v>
      </c>
      <c r="D368" s="794"/>
      <c r="E368" s="381">
        <f>'Concept-Level Data'!X212</f>
        <v>1</v>
      </c>
    </row>
    <row r="369" spans="2:5" hidden="1" x14ac:dyDescent="0.25">
      <c r="B369" s="251" t="str">
        <f>'Concept-Level Data'!A213</f>
        <v>Respondent 15</v>
      </c>
      <c r="C369" s="793" t="str">
        <f>'Concept-Level Data'!B213</f>
        <v>Stormwater BMPs</v>
      </c>
      <c r="D369" s="794"/>
      <c r="E369" s="381">
        <f>'Concept-Level Data'!X213</f>
        <v>5</v>
      </c>
    </row>
    <row r="370" spans="2:5" hidden="1" x14ac:dyDescent="0.25">
      <c r="B370" s="251" t="str">
        <f>'Concept-Level Data'!A214</f>
        <v>Respondent 15</v>
      </c>
      <c r="C370" s="793" t="str">
        <f>'Concept-Level Data'!B214</f>
        <v>Stormwater Capture</v>
      </c>
      <c r="D370" s="794"/>
      <c r="E370" s="381">
        <f>'Concept-Level Data'!X214</f>
        <v>2</v>
      </c>
    </row>
    <row r="371" spans="2:5" hidden="1" x14ac:dyDescent="0.25">
      <c r="B371" s="251" t="str">
        <f>'Concept-Level Data'!A215</f>
        <v>Respondent 15</v>
      </c>
      <c r="C371" s="793" t="str">
        <f>'Concept-Level Data'!B215</f>
        <v>Urban and Agricultural Water Use Efficiency</v>
      </c>
      <c r="D371" s="794"/>
      <c r="E371" s="381">
        <f>'Concept-Level Data'!X215</f>
        <v>4</v>
      </c>
    </row>
    <row r="372" spans="2:5" hidden="1" x14ac:dyDescent="0.25">
      <c r="B372" s="251" t="str">
        <f>'Concept-Level Data'!A216</f>
        <v>Respondent 15</v>
      </c>
      <c r="C372" s="793" t="str">
        <f>'Concept-Level Data'!B216</f>
        <v>Watershed and Ecosystem Management</v>
      </c>
      <c r="D372" s="794"/>
      <c r="E372" s="381">
        <f>'Concept-Level Data'!X216</f>
        <v>4</v>
      </c>
    </row>
    <row r="373" spans="2:5" hidden="1" x14ac:dyDescent="0.25">
      <c r="B373" s="251" t="str">
        <f>'Concept-Level Data'!A217</f>
        <v>Respondent 16</v>
      </c>
      <c r="C373" s="793" t="str">
        <f>'Concept-Level Data'!B217</f>
        <v>Conveyance Improvement</v>
      </c>
      <c r="D373" s="794"/>
      <c r="E373" s="381">
        <f>'Concept-Level Data'!X217</f>
        <v>3</v>
      </c>
    </row>
    <row r="374" spans="2:5" hidden="1" x14ac:dyDescent="0.25">
      <c r="B374" s="251" t="str">
        <f>'Concept-Level Data'!A218</f>
        <v>Respondent 16</v>
      </c>
      <c r="C374" s="793" t="str">
        <f>'Concept-Level Data'!B218</f>
        <v>Drought Restriction/Allocation</v>
      </c>
      <c r="D374" s="794"/>
      <c r="E374" s="381">
        <f>'Concept-Level Data'!X218</f>
        <v>3</v>
      </c>
    </row>
    <row r="375" spans="2:5" hidden="1" x14ac:dyDescent="0.25">
      <c r="B375" s="251" t="str">
        <f>'Concept-Level Data'!A219</f>
        <v>Respondent 16</v>
      </c>
      <c r="C375" s="793" t="str">
        <f>'Concept-Level Data'!B219</f>
        <v>Firm Water Supply Agreements</v>
      </c>
      <c r="D375" s="794"/>
      <c r="E375" s="381">
        <f>'Concept-Level Data'!X219</f>
        <v>3</v>
      </c>
    </row>
    <row r="376" spans="2:5" hidden="1" x14ac:dyDescent="0.25">
      <c r="B376" s="251" t="str">
        <f>'Concept-Level Data'!A220</f>
        <v>Respondent 16</v>
      </c>
      <c r="C376" s="793" t="str">
        <f>'Concept-Level Data'!B220</f>
        <v>Gray Water Use</v>
      </c>
      <c r="D376" s="794"/>
      <c r="E376" s="381">
        <f>'Concept-Level Data'!X220</f>
        <v>3</v>
      </c>
    </row>
    <row r="377" spans="2:5" hidden="1" x14ac:dyDescent="0.25">
      <c r="B377" s="251" t="str">
        <f>'Concept-Level Data'!A221</f>
        <v>Respondent 16</v>
      </c>
      <c r="C377" s="793" t="str">
        <f>'Concept-Level Data'!B221</f>
        <v>Groundwater</v>
      </c>
      <c r="D377" s="794"/>
      <c r="E377" s="381">
        <f>'Concept-Level Data'!X221</f>
        <v>3</v>
      </c>
    </row>
    <row r="378" spans="2:5" hidden="1" x14ac:dyDescent="0.25">
      <c r="B378" s="251" t="str">
        <f>'Concept-Level Data'!A222</f>
        <v>Respondent 16</v>
      </c>
      <c r="C378" s="793" t="str">
        <f>'Concept-Level Data'!B222</f>
        <v>Imported Water Purchases</v>
      </c>
      <c r="D378" s="794"/>
      <c r="E378" s="381">
        <f>'Concept-Level Data'!X222</f>
        <v>3</v>
      </c>
    </row>
    <row r="379" spans="2:5" hidden="1" x14ac:dyDescent="0.25">
      <c r="B379" s="251" t="str">
        <f>'Concept-Level Data'!A223</f>
        <v>Respondent 16</v>
      </c>
      <c r="C379" s="793" t="str">
        <f>'Concept-Level Data'!B223</f>
        <v>Local Surface Water Reservoirs</v>
      </c>
      <c r="D379" s="794"/>
      <c r="E379" s="381">
        <f>'Concept-Level Data'!X223</f>
        <v>3</v>
      </c>
    </row>
    <row r="380" spans="2:5" hidden="1" x14ac:dyDescent="0.25">
      <c r="B380" s="251" t="str">
        <f>'Concept-Level Data'!A224</f>
        <v>Respondent 16</v>
      </c>
      <c r="C380" s="793" t="str">
        <f>'Concept-Level Data'!B224</f>
        <v>Potable Reuse</v>
      </c>
      <c r="D380" s="794"/>
      <c r="E380" s="381">
        <f>'Concept-Level Data'!X224</f>
        <v>3</v>
      </c>
    </row>
    <row r="381" spans="2:5" hidden="1" x14ac:dyDescent="0.25">
      <c r="B381" s="251" t="str">
        <f>'Concept-Level Data'!A225</f>
        <v>Respondent 16</v>
      </c>
      <c r="C381" s="793" t="str">
        <f>'Concept-Level Data'!B225</f>
        <v>Recycled Water</v>
      </c>
      <c r="D381" s="794"/>
      <c r="E381" s="381">
        <f>'Concept-Level Data'!X225</f>
        <v>3</v>
      </c>
    </row>
    <row r="382" spans="2:5" hidden="1" x14ac:dyDescent="0.25">
      <c r="B382" s="251" t="str">
        <f>'Concept-Level Data'!A226</f>
        <v>Respondent 16</v>
      </c>
      <c r="C382" s="793" t="str">
        <f>'Concept-Level Data'!B226</f>
        <v>Seawater Desalination</v>
      </c>
      <c r="D382" s="794"/>
      <c r="E382" s="381">
        <f>'Concept-Level Data'!X226</f>
        <v>3</v>
      </c>
    </row>
    <row r="383" spans="2:5" hidden="1" x14ac:dyDescent="0.25">
      <c r="B383" s="251" t="str">
        <f>'Concept-Level Data'!A227</f>
        <v>Respondent 16</v>
      </c>
      <c r="C383" s="793" t="str">
        <f>'Concept-Level Data'!B227</f>
        <v>Stormwater BMPs</v>
      </c>
      <c r="D383" s="794"/>
      <c r="E383" s="381">
        <f>'Concept-Level Data'!X227</f>
        <v>3</v>
      </c>
    </row>
    <row r="384" spans="2:5" hidden="1" x14ac:dyDescent="0.25">
      <c r="B384" s="251" t="str">
        <f>'Concept-Level Data'!A228</f>
        <v>Respondent 16</v>
      </c>
      <c r="C384" s="793" t="str">
        <f>'Concept-Level Data'!B228</f>
        <v>Stormwater Capture</v>
      </c>
      <c r="D384" s="794"/>
      <c r="E384" s="381">
        <f>'Concept-Level Data'!X228</f>
        <v>3</v>
      </c>
    </row>
    <row r="385" spans="2:5" hidden="1" x14ac:dyDescent="0.25">
      <c r="B385" s="251" t="str">
        <f>'Concept-Level Data'!A229</f>
        <v>Respondent 16</v>
      </c>
      <c r="C385" s="793" t="str">
        <f>'Concept-Level Data'!B229</f>
        <v>Urban and Agricultural Water Use Efficiency</v>
      </c>
      <c r="D385" s="794"/>
      <c r="E385" s="381">
        <f>'Concept-Level Data'!X229</f>
        <v>3</v>
      </c>
    </row>
    <row r="386" spans="2:5" ht="15.75" hidden="1" thickBot="1" x14ac:dyDescent="0.3">
      <c r="B386" s="252" t="str">
        <f>'Concept-Level Data'!A230</f>
        <v>Respondent 16</v>
      </c>
      <c r="C386" s="791" t="str">
        <f>'Concept-Level Data'!B230</f>
        <v>Watershed and Ecosystem Management</v>
      </c>
      <c r="D386" s="792"/>
      <c r="E386" s="385">
        <f>'Concept-Level Data'!X230</f>
        <v>3</v>
      </c>
    </row>
    <row r="387" spans="2:5" hidden="1" x14ac:dyDescent="0.25">
      <c r="B387" s="548"/>
      <c r="C387" s="515" t="s">
        <v>855</v>
      </c>
      <c r="D387" s="515"/>
      <c r="E387" s="398">
        <f>COUNTIFS(E163:E386, "=MISSING")</f>
        <v>14</v>
      </c>
    </row>
    <row r="388" spans="2:5" hidden="1" x14ac:dyDescent="0.25">
      <c r="B388" s="549"/>
      <c r="C388" s="516" t="s">
        <v>856</v>
      </c>
      <c r="D388" s="516"/>
      <c r="E388" s="381">
        <f>COUNTIFS(E163:E386, "=No Response")</f>
        <v>0</v>
      </c>
    </row>
    <row r="389" spans="2:5" hidden="1" x14ac:dyDescent="0.25">
      <c r="B389" s="549"/>
      <c r="C389" s="516" t="s">
        <v>858</v>
      </c>
      <c r="D389" s="516"/>
      <c r="E389" s="381">
        <f>COUNTIFS(E163:E386, "=REMOVED")</f>
        <v>0</v>
      </c>
    </row>
    <row r="390" spans="2:5" ht="15.75" hidden="1" thickBot="1" x14ac:dyDescent="0.3">
      <c r="B390" s="550"/>
      <c r="C390" s="517" t="s">
        <v>859</v>
      </c>
      <c r="D390" s="517"/>
      <c r="E390" s="385">
        <f>COUNTIFS(E163:E386, "&gt;0")</f>
        <v>210</v>
      </c>
    </row>
  </sheetData>
  <sheetProtection algorithmName="SHA-512" hashValue="mE06R9RnbPBxUzaaw/QO4qdbimCgnO8BxSwD+4gCZ1opw8DDPErAGJm5AT8I274Iv9eBnLwjgrsKCKzH3TeZNw==" saltValue="4jiEsRhG8u15wFl6RrTQZw==" spinCount="100000" sheet="1" objects="1" scenarios="1"/>
  <autoFilter ref="B35:E155" xr:uid="{D445EE0B-A0E8-4312-B76F-93026BA9E2A4}">
    <sortState ref="B36:E155">
      <sortCondition ref="C35:C155"/>
    </sortState>
  </autoFilter>
  <mergeCells count="226">
    <mergeCell ref="C163:D163"/>
    <mergeCell ref="C164:D164"/>
    <mergeCell ref="C165:D165"/>
    <mergeCell ref="B3:G3"/>
    <mergeCell ref="C162:D162"/>
    <mergeCell ref="C171:D171"/>
    <mergeCell ref="C172:D172"/>
    <mergeCell ref="C173:D173"/>
    <mergeCell ref="C174:D174"/>
    <mergeCell ref="C175:D175"/>
    <mergeCell ref="C166:D166"/>
    <mergeCell ref="C167:D167"/>
    <mergeCell ref="C168:D168"/>
    <mergeCell ref="C169:D169"/>
    <mergeCell ref="C170:D170"/>
    <mergeCell ref="C181:D181"/>
    <mergeCell ref="C182:D182"/>
    <mergeCell ref="C183:D183"/>
    <mergeCell ref="C184:D184"/>
    <mergeCell ref="C185:D185"/>
    <mergeCell ref="C176:D176"/>
    <mergeCell ref="C177:D177"/>
    <mergeCell ref="C178:D178"/>
    <mergeCell ref="C179:D179"/>
    <mergeCell ref="C180:D180"/>
    <mergeCell ref="C191:D191"/>
    <mergeCell ref="C192:D192"/>
    <mergeCell ref="C193:D193"/>
    <mergeCell ref="C194:D194"/>
    <mergeCell ref="C195:D195"/>
    <mergeCell ref="C186:D186"/>
    <mergeCell ref="C187:D187"/>
    <mergeCell ref="C188:D188"/>
    <mergeCell ref="C189:D189"/>
    <mergeCell ref="C190:D190"/>
    <mergeCell ref="C201:D201"/>
    <mergeCell ref="C202:D202"/>
    <mergeCell ref="C203:D203"/>
    <mergeCell ref="C204:D204"/>
    <mergeCell ref="C205:D205"/>
    <mergeCell ref="C196:D196"/>
    <mergeCell ref="C197:D197"/>
    <mergeCell ref="C198:D198"/>
    <mergeCell ref="C199:D199"/>
    <mergeCell ref="C200:D200"/>
    <mergeCell ref="C211:D211"/>
    <mergeCell ref="C212:D212"/>
    <mergeCell ref="C213:D213"/>
    <mergeCell ref="C214:D214"/>
    <mergeCell ref="C215:D215"/>
    <mergeCell ref="C206:D206"/>
    <mergeCell ref="C207:D207"/>
    <mergeCell ref="C208:D208"/>
    <mergeCell ref="C209:D209"/>
    <mergeCell ref="C210:D210"/>
    <mergeCell ref="C221:D221"/>
    <mergeCell ref="C222:D222"/>
    <mergeCell ref="C223:D223"/>
    <mergeCell ref="C224:D224"/>
    <mergeCell ref="C225:D225"/>
    <mergeCell ref="C216:D216"/>
    <mergeCell ref="C217:D217"/>
    <mergeCell ref="C218:D218"/>
    <mergeCell ref="C219:D219"/>
    <mergeCell ref="C220:D220"/>
    <mergeCell ref="C231:D231"/>
    <mergeCell ref="C232:D232"/>
    <mergeCell ref="C233:D233"/>
    <mergeCell ref="C234:D234"/>
    <mergeCell ref="C235:D235"/>
    <mergeCell ref="C226:D226"/>
    <mergeCell ref="C227:D227"/>
    <mergeCell ref="C228:D228"/>
    <mergeCell ref="C229:D229"/>
    <mergeCell ref="C230:D230"/>
    <mergeCell ref="C241:D241"/>
    <mergeCell ref="C242:D242"/>
    <mergeCell ref="C243:D243"/>
    <mergeCell ref="C244:D244"/>
    <mergeCell ref="C245:D245"/>
    <mergeCell ref="C236:D236"/>
    <mergeCell ref="C237:D237"/>
    <mergeCell ref="C238:D238"/>
    <mergeCell ref="C239:D239"/>
    <mergeCell ref="C240:D240"/>
    <mergeCell ref="C251:D251"/>
    <mergeCell ref="C252:D252"/>
    <mergeCell ref="C253:D253"/>
    <mergeCell ref="C254:D254"/>
    <mergeCell ref="C255:D255"/>
    <mergeCell ref="C246:D246"/>
    <mergeCell ref="C247:D247"/>
    <mergeCell ref="C248:D248"/>
    <mergeCell ref="C249:D249"/>
    <mergeCell ref="C250:D250"/>
    <mergeCell ref="C261:D261"/>
    <mergeCell ref="C262:D262"/>
    <mergeCell ref="C263:D263"/>
    <mergeCell ref="C264:D264"/>
    <mergeCell ref="C265:D265"/>
    <mergeCell ref="C256:D256"/>
    <mergeCell ref="C257:D257"/>
    <mergeCell ref="C258:D258"/>
    <mergeCell ref="C259:D259"/>
    <mergeCell ref="C260:D260"/>
    <mergeCell ref="C271:D271"/>
    <mergeCell ref="C272:D272"/>
    <mergeCell ref="C273:D273"/>
    <mergeCell ref="C274:D274"/>
    <mergeCell ref="C275:D275"/>
    <mergeCell ref="C266:D266"/>
    <mergeCell ref="C267:D267"/>
    <mergeCell ref="C268:D268"/>
    <mergeCell ref="C269:D269"/>
    <mergeCell ref="C270:D270"/>
    <mergeCell ref="C281:D281"/>
    <mergeCell ref="C282:D282"/>
    <mergeCell ref="C283:D283"/>
    <mergeCell ref="C284:D284"/>
    <mergeCell ref="C285:D285"/>
    <mergeCell ref="C276:D276"/>
    <mergeCell ref="C277:D277"/>
    <mergeCell ref="C278:D278"/>
    <mergeCell ref="C279:D279"/>
    <mergeCell ref="C280:D280"/>
    <mergeCell ref="C291:D291"/>
    <mergeCell ref="C292:D292"/>
    <mergeCell ref="C293:D293"/>
    <mergeCell ref="C294:D294"/>
    <mergeCell ref="C295:D295"/>
    <mergeCell ref="C286:D286"/>
    <mergeCell ref="C287:D287"/>
    <mergeCell ref="C288:D288"/>
    <mergeCell ref="C289:D289"/>
    <mergeCell ref="C290:D290"/>
    <mergeCell ref="C301:D301"/>
    <mergeCell ref="C302:D302"/>
    <mergeCell ref="C303:D303"/>
    <mergeCell ref="C304:D304"/>
    <mergeCell ref="C305:D305"/>
    <mergeCell ref="C296:D296"/>
    <mergeCell ref="C297:D297"/>
    <mergeCell ref="C298:D298"/>
    <mergeCell ref="C299:D299"/>
    <mergeCell ref="C300:D300"/>
    <mergeCell ref="C311:D311"/>
    <mergeCell ref="C312:D312"/>
    <mergeCell ref="C313:D313"/>
    <mergeCell ref="C314:D314"/>
    <mergeCell ref="C315:D315"/>
    <mergeCell ref="C306:D306"/>
    <mergeCell ref="C307:D307"/>
    <mergeCell ref="C308:D308"/>
    <mergeCell ref="C309:D309"/>
    <mergeCell ref="C310:D310"/>
    <mergeCell ref="C321:D321"/>
    <mergeCell ref="C322:D322"/>
    <mergeCell ref="C323:D323"/>
    <mergeCell ref="C324:D324"/>
    <mergeCell ref="C325:D325"/>
    <mergeCell ref="C316:D316"/>
    <mergeCell ref="C317:D317"/>
    <mergeCell ref="C318:D318"/>
    <mergeCell ref="C319:D319"/>
    <mergeCell ref="C320:D320"/>
    <mergeCell ref="C331:D331"/>
    <mergeCell ref="C332:D332"/>
    <mergeCell ref="C333:D333"/>
    <mergeCell ref="C334:D334"/>
    <mergeCell ref="C335:D335"/>
    <mergeCell ref="C326:D326"/>
    <mergeCell ref="C327:D327"/>
    <mergeCell ref="C328:D328"/>
    <mergeCell ref="C329:D329"/>
    <mergeCell ref="C330:D330"/>
    <mergeCell ref="C341:D341"/>
    <mergeCell ref="C342:D342"/>
    <mergeCell ref="C343:D343"/>
    <mergeCell ref="C344:D344"/>
    <mergeCell ref="C345:D345"/>
    <mergeCell ref="C336:D336"/>
    <mergeCell ref="C337:D337"/>
    <mergeCell ref="C338:D338"/>
    <mergeCell ref="C339:D339"/>
    <mergeCell ref="C340:D340"/>
    <mergeCell ref="C351:D351"/>
    <mergeCell ref="C352:D352"/>
    <mergeCell ref="C353:D353"/>
    <mergeCell ref="C354:D354"/>
    <mergeCell ref="C355:D355"/>
    <mergeCell ref="C346:D346"/>
    <mergeCell ref="C347:D347"/>
    <mergeCell ref="C348:D348"/>
    <mergeCell ref="C349:D349"/>
    <mergeCell ref="C350:D350"/>
    <mergeCell ref="C361:D361"/>
    <mergeCell ref="C362:D362"/>
    <mergeCell ref="C363:D363"/>
    <mergeCell ref="C364:D364"/>
    <mergeCell ref="C365:D365"/>
    <mergeCell ref="C356:D356"/>
    <mergeCell ref="C357:D357"/>
    <mergeCell ref="C358:D358"/>
    <mergeCell ref="C359:D359"/>
    <mergeCell ref="C360:D360"/>
    <mergeCell ref="C371:D371"/>
    <mergeCell ref="C372:D372"/>
    <mergeCell ref="C373:D373"/>
    <mergeCell ref="C374:D374"/>
    <mergeCell ref="C375:D375"/>
    <mergeCell ref="C366:D366"/>
    <mergeCell ref="C367:D367"/>
    <mergeCell ref="C368:D368"/>
    <mergeCell ref="C369:D369"/>
    <mergeCell ref="C370:D370"/>
    <mergeCell ref="C386:D386"/>
    <mergeCell ref="C381:D381"/>
    <mergeCell ref="C382:D382"/>
    <mergeCell ref="C383:D383"/>
    <mergeCell ref="C384:D384"/>
    <mergeCell ref="C385:D385"/>
    <mergeCell ref="C376:D376"/>
    <mergeCell ref="C377:D377"/>
    <mergeCell ref="C378:D378"/>
    <mergeCell ref="C379:D379"/>
    <mergeCell ref="C380:D380"/>
  </mergeCells>
  <pageMargins left="0.7" right="0.7" top="0.75" bottom="0.75" header="0.3" footer="0.3"/>
  <pageSetup paperSize="3" scale="58"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'Data Validation Sheet'!$B$3:$B$4</xm:f>
          </x14:formula1>
          <xm:sqref>H8:H19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8"/>
    <pageSetUpPr fitToPage="1"/>
  </sheetPr>
  <dimension ref="A1:S252"/>
  <sheetViews>
    <sheetView showGridLines="0" zoomScale="80" zoomScaleNormal="80" workbookViewId="0">
      <selection activeCell="F25" sqref="F1:P1048576"/>
    </sheetView>
  </sheetViews>
  <sheetFormatPr defaultRowHeight="15" x14ac:dyDescent="0.25"/>
  <cols>
    <col min="1" max="1" width="5.7109375" customWidth="1"/>
    <col min="2" max="2" width="45.85546875" customWidth="1"/>
    <col min="3" max="6" width="20.7109375" customWidth="1"/>
    <col min="7" max="13" width="20.7109375" hidden="1" customWidth="1"/>
    <col min="15" max="15" width="2.5703125" style="49" customWidth="1"/>
    <col min="16" max="16" width="5.7109375" customWidth="1"/>
  </cols>
  <sheetData>
    <row r="1" spans="1:19" s="96" customFormat="1" ht="15.75" x14ac:dyDescent="0.25">
      <c r="A1" s="56" t="s">
        <v>243</v>
      </c>
    </row>
    <row r="2" spans="1:19" s="96" customFormat="1" ht="26.25" x14ac:dyDescent="0.4">
      <c r="A2" s="112" t="s">
        <v>108</v>
      </c>
    </row>
    <row r="3" spans="1:19" s="49" customFormat="1" ht="14.25" customHeight="1" x14ac:dyDescent="0.5">
      <c r="B3" s="53"/>
      <c r="C3" s="53"/>
      <c r="D3" s="53"/>
      <c r="E3" s="53"/>
      <c r="F3" s="53"/>
      <c r="G3" s="53"/>
      <c r="H3" s="53"/>
      <c r="I3" s="53"/>
    </row>
    <row r="4" spans="1:19" s="10" customFormat="1" ht="18.75" x14ac:dyDescent="0.3">
      <c r="A4" s="47" t="s">
        <v>961</v>
      </c>
      <c r="B4" s="5"/>
      <c r="C4" s="6"/>
      <c r="D4" s="12"/>
      <c r="E4" s="12"/>
      <c r="F4" s="12"/>
      <c r="G4" s="12"/>
      <c r="H4" s="12"/>
      <c r="I4" s="12"/>
      <c r="O4" s="51"/>
      <c r="P4" s="45" t="s">
        <v>120</v>
      </c>
    </row>
    <row r="5" spans="1:19" s="10" customFormat="1" ht="18" customHeight="1" x14ac:dyDescent="0.25">
      <c r="C5" s="4"/>
      <c r="D5" s="46"/>
      <c r="E5" s="46"/>
      <c r="F5" s="46"/>
      <c r="G5" s="46"/>
      <c r="H5" s="46"/>
      <c r="O5" s="49"/>
    </row>
    <row r="6" spans="1:19" s="10" customFormat="1" ht="18" customHeight="1" thickBot="1" x14ac:dyDescent="0.3">
      <c r="A6"/>
      <c r="B6" s="61" t="s">
        <v>973</v>
      </c>
      <c r="C6" s="4"/>
      <c r="D6" s="46"/>
      <c r="E6" s="46"/>
      <c r="F6" s="46"/>
      <c r="G6" s="46"/>
      <c r="H6" s="46"/>
      <c r="O6" s="49"/>
    </row>
    <row r="7" spans="1:19" s="14" customFormat="1" ht="75" x14ac:dyDescent="0.25">
      <c r="A7"/>
      <c r="B7" s="25" t="s">
        <v>6</v>
      </c>
      <c r="C7" s="413" t="s">
        <v>217</v>
      </c>
      <c r="D7" s="413" t="s">
        <v>1025</v>
      </c>
      <c r="E7" s="413" t="s">
        <v>1026</v>
      </c>
      <c r="F7" s="297" t="s">
        <v>218</v>
      </c>
      <c r="K7" s="13"/>
      <c r="L7" s="13"/>
      <c r="M7" s="13"/>
      <c r="N7" s="13"/>
      <c r="O7" s="52"/>
      <c r="P7" s="13"/>
      <c r="Q7" s="13"/>
      <c r="R7" s="13"/>
      <c r="S7" s="13"/>
    </row>
    <row r="8" spans="1:19" x14ac:dyDescent="0.25">
      <c r="B8" s="28" t="s">
        <v>7</v>
      </c>
      <c r="C8" s="87">
        <f>IFERROR(AVERAGEIFS($G$112:$G$231,$C$112:$C$231,"="&amp;B8), "NA")</f>
        <v>3</v>
      </c>
      <c r="D8" s="87">
        <f>IFERROR(AVERAGEIFS($J$112:$J$231,$C$112:$C$231,"="&amp;B8), "NA")</f>
        <v>3</v>
      </c>
      <c r="E8" s="87">
        <f>IFERROR(AVERAGEIFS($M$112:$M$231,$C$112:$C$231,"="&amp;B8), "NA")</f>
        <v>3</v>
      </c>
      <c r="F8" s="39">
        <f>IF(AND(C8="NA",D8="NA",E8="NA"),"NA",AVERAGE(C8:E8))</f>
        <v>3</v>
      </c>
      <c r="K8" s="5"/>
      <c r="L8" s="5"/>
    </row>
    <row r="9" spans="1:19" x14ac:dyDescent="0.25">
      <c r="B9" s="29" t="s">
        <v>34</v>
      </c>
      <c r="C9" s="87" t="str">
        <f t="shared" ref="C9:C19" si="0">IFERROR(AVERAGEIFS($G$112:$G$231,$C$112:$C$231,"="&amp;B9), "NA")</f>
        <v>NA</v>
      </c>
      <c r="D9" s="87" t="str">
        <f t="shared" ref="D9:D19" si="1">IFERROR(AVERAGEIFS($J$112:$J$231,$C$112:$C$231,"="&amp;B9), "NA")</f>
        <v>NA</v>
      </c>
      <c r="E9" s="87" t="str">
        <f t="shared" ref="E9:E19" si="2">IFERROR(AVERAGEIFS($M$112:$M$231,$C$112:$C$231,"="&amp;B9), "NA")</f>
        <v>NA</v>
      </c>
      <c r="F9" s="39" t="str">
        <f t="shared" ref="F9:F19" si="3">IF(AND(C9="NA",D9="NA",E9="NA"),"NA",AVERAGE(C9:E9))</f>
        <v>NA</v>
      </c>
      <c r="K9" s="5"/>
      <c r="L9" s="5"/>
      <c r="O9" s="52"/>
    </row>
    <row r="10" spans="1:19" x14ac:dyDescent="0.25">
      <c r="B10" s="29" t="s">
        <v>18</v>
      </c>
      <c r="C10" s="87">
        <f t="shared" si="0"/>
        <v>3</v>
      </c>
      <c r="D10" s="87">
        <f t="shared" si="1"/>
        <v>3</v>
      </c>
      <c r="E10" s="87">
        <f t="shared" si="2"/>
        <v>3</v>
      </c>
      <c r="F10" s="39">
        <f t="shared" si="3"/>
        <v>3</v>
      </c>
      <c r="K10" s="5"/>
      <c r="L10" s="5"/>
    </row>
    <row r="11" spans="1:19" x14ac:dyDescent="0.25">
      <c r="B11" s="29" t="s">
        <v>9</v>
      </c>
      <c r="C11" s="87">
        <f t="shared" si="0"/>
        <v>3</v>
      </c>
      <c r="D11" s="87">
        <f t="shared" si="1"/>
        <v>3</v>
      </c>
      <c r="E11" s="87">
        <f t="shared" si="2"/>
        <v>3.1818181818181817</v>
      </c>
      <c r="F11" s="39">
        <f t="shared" si="3"/>
        <v>3.0606060606060606</v>
      </c>
      <c r="K11" s="5"/>
      <c r="L11" s="5"/>
    </row>
    <row r="12" spans="1:19" x14ac:dyDescent="0.25">
      <c r="B12" s="29" t="s">
        <v>10</v>
      </c>
      <c r="C12" s="87">
        <f t="shared" si="0"/>
        <v>3</v>
      </c>
      <c r="D12" s="87">
        <f t="shared" si="1"/>
        <v>3</v>
      </c>
      <c r="E12" s="87">
        <f t="shared" si="2"/>
        <v>3</v>
      </c>
      <c r="F12" s="39">
        <f t="shared" si="3"/>
        <v>3</v>
      </c>
      <c r="K12" s="5"/>
      <c r="L12" s="5"/>
      <c r="O12" s="52"/>
    </row>
    <row r="13" spans="1:19" x14ac:dyDescent="0.25">
      <c r="B13" s="29" t="s">
        <v>11</v>
      </c>
      <c r="C13" s="87">
        <f t="shared" si="0"/>
        <v>3</v>
      </c>
      <c r="D13" s="87">
        <f t="shared" si="1"/>
        <v>3</v>
      </c>
      <c r="E13" s="87">
        <f t="shared" si="2"/>
        <v>3</v>
      </c>
      <c r="F13" s="39">
        <f t="shared" si="3"/>
        <v>3</v>
      </c>
      <c r="K13" s="5"/>
      <c r="L13" s="5"/>
    </row>
    <row r="14" spans="1:19" x14ac:dyDescent="0.25">
      <c r="B14" s="29" t="s">
        <v>12</v>
      </c>
      <c r="C14" s="87">
        <f t="shared" si="0"/>
        <v>3</v>
      </c>
      <c r="D14" s="87">
        <f t="shared" si="1"/>
        <v>3</v>
      </c>
      <c r="E14" s="87">
        <f t="shared" si="2"/>
        <v>3</v>
      </c>
      <c r="F14" s="39">
        <f t="shared" si="3"/>
        <v>3</v>
      </c>
      <c r="K14" s="5"/>
      <c r="L14" s="5"/>
      <c r="O14" s="52"/>
    </row>
    <row r="15" spans="1:19" x14ac:dyDescent="0.25">
      <c r="B15" s="29" t="s">
        <v>13</v>
      </c>
      <c r="C15" s="87">
        <f t="shared" si="0"/>
        <v>3</v>
      </c>
      <c r="D15" s="87">
        <f t="shared" si="1"/>
        <v>3</v>
      </c>
      <c r="E15" s="87">
        <f t="shared" si="2"/>
        <v>3</v>
      </c>
      <c r="F15" s="39">
        <f t="shared" si="3"/>
        <v>3</v>
      </c>
      <c r="K15" s="5"/>
      <c r="L15" s="5"/>
      <c r="O15" s="52"/>
    </row>
    <row r="16" spans="1:19" x14ac:dyDescent="0.25">
      <c r="B16" s="29" t="s">
        <v>14</v>
      </c>
      <c r="C16" s="87">
        <f t="shared" si="0"/>
        <v>3.2307692307692308</v>
      </c>
      <c r="D16" s="87">
        <f t="shared" si="1"/>
        <v>3.08</v>
      </c>
      <c r="E16" s="87">
        <f t="shared" si="2"/>
        <v>3.263157894736842</v>
      </c>
      <c r="F16" s="39">
        <f t="shared" si="3"/>
        <v>3.1913090418353574</v>
      </c>
      <c r="K16" s="5"/>
      <c r="L16" s="5"/>
    </row>
    <row r="17" spans="2:13" x14ac:dyDescent="0.25">
      <c r="B17" s="29" t="s">
        <v>15</v>
      </c>
      <c r="C17" s="87">
        <f t="shared" si="0"/>
        <v>3</v>
      </c>
      <c r="D17" s="87">
        <f t="shared" si="1"/>
        <v>3</v>
      </c>
      <c r="E17" s="87">
        <f t="shared" si="2"/>
        <v>3</v>
      </c>
      <c r="F17" s="39">
        <f t="shared" si="3"/>
        <v>3</v>
      </c>
      <c r="K17" s="5"/>
      <c r="L17" s="5"/>
    </row>
    <row r="18" spans="2:13" x14ac:dyDescent="0.25">
      <c r="B18" s="29" t="s">
        <v>16</v>
      </c>
      <c r="C18" s="87">
        <f t="shared" si="0"/>
        <v>3</v>
      </c>
      <c r="D18" s="87">
        <f t="shared" si="1"/>
        <v>3</v>
      </c>
      <c r="E18" s="87">
        <f t="shared" si="2"/>
        <v>3.25</v>
      </c>
      <c r="F18" s="39">
        <f t="shared" si="3"/>
        <v>3.0833333333333335</v>
      </c>
      <c r="K18" s="5"/>
      <c r="L18" s="5"/>
    </row>
    <row r="19" spans="2:13" ht="15.75" thickBot="1" x14ac:dyDescent="0.3">
      <c r="B19" s="30" t="s">
        <v>17</v>
      </c>
      <c r="C19" s="88">
        <f t="shared" si="0"/>
        <v>3.3571428571428572</v>
      </c>
      <c r="D19" s="88">
        <f t="shared" si="1"/>
        <v>3.0588235294117645</v>
      </c>
      <c r="E19" s="88">
        <f t="shared" si="2"/>
        <v>3.6428571428571428</v>
      </c>
      <c r="F19" s="42">
        <f t="shared" si="3"/>
        <v>3.3529411764705883</v>
      </c>
      <c r="K19" s="5"/>
      <c r="L19" s="5"/>
      <c r="M19" s="5"/>
    </row>
    <row r="21" spans="2:13" ht="15.75" hidden="1" thickBot="1" x14ac:dyDescent="0.3">
      <c r="B21" s="1" t="s">
        <v>846</v>
      </c>
    </row>
    <row r="22" spans="2:13" ht="75" hidden="1" x14ac:dyDescent="0.25">
      <c r="B22" s="494" t="s">
        <v>851</v>
      </c>
      <c r="C22" s="413" t="str">
        <f>C7</f>
        <v>Impacts to Ecosystems Performance Measure Scores</v>
      </c>
      <c r="D22" s="413" t="str">
        <f>D7</f>
        <v>Impacts to Threatened and Endangered
Performance Measure Scores</v>
      </c>
      <c r="E22" s="413" t="str">
        <f t="shared" ref="E22:F22" si="4">E7</f>
        <v>Impacts to Native Species Performance Measure Scores</v>
      </c>
      <c r="F22" s="297" t="str">
        <f t="shared" si="4"/>
        <v>Protect Habitats, Wildlife, and Ecosystem Services Evaluation Objective Unweighted Scores</v>
      </c>
    </row>
    <row r="23" spans="2:13" hidden="1" x14ac:dyDescent="0.25">
      <c r="B23" s="463" t="s">
        <v>848</v>
      </c>
      <c r="C23" s="241">
        <f>MAX(C8:C19)</f>
        <v>3.3571428571428572</v>
      </c>
      <c r="D23" s="241">
        <f>MAX(D8:D19)</f>
        <v>3.08</v>
      </c>
      <c r="E23" s="241">
        <f>MAX(E8:E19)</f>
        <v>3.6428571428571428</v>
      </c>
      <c r="F23" s="464">
        <f>MAX(F8:F19)</f>
        <v>3.3529411764705883</v>
      </c>
    </row>
    <row r="24" spans="2:13" ht="45" hidden="1" x14ac:dyDescent="0.25">
      <c r="B24" s="463" t="s">
        <v>849</v>
      </c>
      <c r="C24" s="461" t="str">
        <f>INDEX($B8:$B19,MATCH(C23,C8:C19,0))</f>
        <v>Watershed and Ecosystem Management</v>
      </c>
      <c r="D24" s="461" t="str">
        <f>INDEX($B8:$B19,MATCH(D23,D8:D19,0))</f>
        <v>Stormwater BMPs</v>
      </c>
      <c r="E24" s="461" t="str">
        <f>INDEX($B8:$B19,MATCH(E23,E8:E19,0))</f>
        <v>Watershed and Ecosystem Management</v>
      </c>
      <c r="F24" s="462" t="str">
        <f>INDEX($B8:$B19,MATCH(F23,F8:F19,0))</f>
        <v>Watershed and Ecosystem Management</v>
      </c>
    </row>
    <row r="25" spans="2:13" hidden="1" x14ac:dyDescent="0.25">
      <c r="B25" s="504" t="s">
        <v>861</v>
      </c>
      <c r="C25" s="497">
        <f>LARGE(C8:C19,2)</f>
        <v>3.2307692307692308</v>
      </c>
      <c r="D25" s="497">
        <f>LARGE(D8:D19,2)</f>
        <v>3.0588235294117645</v>
      </c>
      <c r="E25" s="497">
        <f>LARGE(E8:E19,2)</f>
        <v>3.263157894736842</v>
      </c>
      <c r="F25" s="498">
        <f>LARGE(F8:F19,2)</f>
        <v>3.1913090418353574</v>
      </c>
    </row>
    <row r="26" spans="2:13" ht="45" hidden="1" x14ac:dyDescent="0.25">
      <c r="B26" s="505" t="s">
        <v>862</v>
      </c>
      <c r="C26" s="499" t="str">
        <f>INDEX($B8:$B19,MATCH(C25,C8:C19,0))</f>
        <v>Stormwater BMPs</v>
      </c>
      <c r="D26" s="499" t="str">
        <f>INDEX($B8:$B19,MATCH(D25,D8:D19,0))</f>
        <v>Watershed and Ecosystem Management</v>
      </c>
      <c r="E26" s="499" t="str">
        <f>INDEX($B8:$B19,MATCH(E25,E8:E19,0))</f>
        <v>Stormwater BMPs</v>
      </c>
      <c r="F26" s="500" t="str">
        <f>INDEX($B8:$B19,MATCH(F25,F8:F19,0))</f>
        <v>Stormwater BMPs</v>
      </c>
    </row>
    <row r="27" spans="2:13" hidden="1" x14ac:dyDescent="0.25">
      <c r="B27" s="463" t="s">
        <v>847</v>
      </c>
      <c r="C27" s="241">
        <f>MIN(C8:C19)</f>
        <v>3</v>
      </c>
      <c r="D27" s="241">
        <f>MIN(D8:D19)</f>
        <v>3</v>
      </c>
      <c r="E27" s="241">
        <f>MIN(E8:E19)</f>
        <v>3</v>
      </c>
      <c r="F27" s="464">
        <f>MIN(F8:F19)</f>
        <v>3</v>
      </c>
    </row>
    <row r="28" spans="2:13" ht="30" hidden="1" x14ac:dyDescent="0.25">
      <c r="B28" s="505" t="s">
        <v>850</v>
      </c>
      <c r="C28" s="499" t="str">
        <f>INDEX($B8:$B19,MATCH(C27,C8:C19,0))</f>
        <v>Conveyance Improvement</v>
      </c>
      <c r="D28" s="499" t="str">
        <f>INDEX($B8:$B19,MATCH(D27,D8:D19,0))</f>
        <v>Conveyance Improvement</v>
      </c>
      <c r="E28" s="499" t="str">
        <f>INDEX($B8:$B19,MATCH(E27,E8:E19,0))</f>
        <v>Conveyance Improvement</v>
      </c>
      <c r="F28" s="500" t="str">
        <f>INDEX($B8:$B19,MATCH(F27,F8:F19,0))</f>
        <v>Conveyance Improvement</v>
      </c>
    </row>
    <row r="29" spans="2:13" hidden="1" x14ac:dyDescent="0.25">
      <c r="B29" s="504" t="s">
        <v>864</v>
      </c>
      <c r="C29" s="497">
        <f>SMALL(C8:C19,2)</f>
        <v>3</v>
      </c>
      <c r="D29" s="497">
        <f>SMALL(D8:D19,2)</f>
        <v>3</v>
      </c>
      <c r="E29" s="497">
        <f>SMALL(E8:E19,2)</f>
        <v>3</v>
      </c>
      <c r="F29" s="498">
        <f>SMALL(F8:F19,2)</f>
        <v>3</v>
      </c>
    </row>
    <row r="30" spans="2:13" ht="30" hidden="1" x14ac:dyDescent="0.25">
      <c r="B30" s="505" t="s">
        <v>863</v>
      </c>
      <c r="C30" s="499" t="str">
        <f>INDEX($B8:$B19,MATCH(C29,C8:C19,0))</f>
        <v>Conveyance Improvement</v>
      </c>
      <c r="D30" s="499" t="str">
        <f>INDEX($B8:$B19,MATCH(D29,D8:D19,0))</f>
        <v>Conveyance Improvement</v>
      </c>
      <c r="E30" s="499" t="str">
        <f>INDEX($B8:$B19,MATCH(E29,E8:E19,0))</f>
        <v>Conveyance Improvement</v>
      </c>
      <c r="F30" s="500" t="str">
        <f>INDEX($B8:$B19,MATCH(F29,F8:F19,0))</f>
        <v>Conveyance Improvement</v>
      </c>
    </row>
    <row r="31" spans="2:13" hidden="1" x14ac:dyDescent="0.25">
      <c r="B31" s="506" t="s">
        <v>844</v>
      </c>
      <c r="C31" s="502">
        <f>C23-C27</f>
        <v>0.35714285714285721</v>
      </c>
      <c r="D31" s="502">
        <f>D23-D27</f>
        <v>8.0000000000000071E-2</v>
      </c>
      <c r="E31" s="502">
        <f>E23-E27</f>
        <v>0.64285714285714279</v>
      </c>
      <c r="F31" s="503">
        <f>F23-F27</f>
        <v>0.35294117647058831</v>
      </c>
    </row>
    <row r="32" spans="2:13" ht="15.75" hidden="1" thickBot="1" x14ac:dyDescent="0.3">
      <c r="B32" s="507" t="s">
        <v>865</v>
      </c>
      <c r="C32" s="41">
        <f>AVERAGE(C8:C19)</f>
        <v>3.0534465534465536</v>
      </c>
      <c r="D32" s="41">
        <f>AVERAGE(D8:D19)</f>
        <v>3.012620320855615</v>
      </c>
      <c r="E32" s="41">
        <f>AVERAGE(E8:E19)</f>
        <v>3.1216212017647424</v>
      </c>
      <c r="F32" s="44">
        <f>AVERAGE(F8:F19)</f>
        <v>3.0625626920223037</v>
      </c>
    </row>
    <row r="33" spans="2:8" hidden="1" x14ac:dyDescent="0.25"/>
    <row r="34" spans="2:8" ht="15.75" hidden="1" thickBot="1" x14ac:dyDescent="0.3">
      <c r="B34" s="1" t="s">
        <v>769</v>
      </c>
    </row>
    <row r="35" spans="2:8" ht="105" hidden="1" x14ac:dyDescent="0.25">
      <c r="B35" s="25" t="s">
        <v>6</v>
      </c>
      <c r="C35" s="293" t="s">
        <v>759</v>
      </c>
      <c r="D35" s="293" t="s">
        <v>760</v>
      </c>
      <c r="E35" s="299" t="s">
        <v>765</v>
      </c>
      <c r="F35" s="294" t="s">
        <v>766</v>
      </c>
      <c r="G35" s="299" t="s">
        <v>761</v>
      </c>
      <c r="H35" s="294" t="s">
        <v>762</v>
      </c>
    </row>
    <row r="36" spans="2:8" hidden="1" x14ac:dyDescent="0.25">
      <c r="B36" s="28" t="s">
        <v>7</v>
      </c>
      <c r="C36" s="300">
        <f>COUNTIFS($C$112:$C$231, "="&amp;B36,$E$112:$E$231,"&gt;=0")</f>
        <v>5</v>
      </c>
      <c r="D36" s="300">
        <f>COUNTIFS($C$112:$C$231, "="&amp;B36,$F$112:$F$231,"&gt;=0")</f>
        <v>6</v>
      </c>
      <c r="E36" s="301">
        <f>COUNTIFS($C$112:$C$231, "="&amp;B36,$H$112:$H$231,"&gt;=0")</f>
        <v>5</v>
      </c>
      <c r="F36" s="302">
        <f>COUNTIFS($C$112:$C$231, "="&amp;B36,$I$112:$I$231,"&gt;=0")</f>
        <v>6</v>
      </c>
      <c r="G36" s="301">
        <f>COUNTIFS($C$112:$C$231, "="&amp;B36,$K$112:$K$231,"&gt;=0")</f>
        <v>5</v>
      </c>
      <c r="H36" s="302">
        <f>COUNTIFS($C$112:$C$231, "="&amp;B36,$M$112:$M$231,"&gt;=0")</f>
        <v>6</v>
      </c>
    </row>
    <row r="37" spans="2:8" hidden="1" x14ac:dyDescent="0.25">
      <c r="B37" s="29" t="s">
        <v>34</v>
      </c>
      <c r="C37" s="300">
        <f t="shared" ref="C37:C47" si="5">COUNTIFS($C$112:$C$231, "="&amp;B37,$E$112:$E$231,"&gt;=0")</f>
        <v>0</v>
      </c>
      <c r="D37" s="303">
        <f t="shared" ref="D37:D47" si="6">COUNTIFS($C$112:$C$231, "="&amp;B37,$F$112:$F$231,"&gt;=0")</f>
        <v>0</v>
      </c>
      <c r="E37" s="301">
        <f t="shared" ref="E37:E47" si="7">COUNTIFS($C$112:$C$231, "="&amp;B37,$H$112:$H$231,"&gt;=0")</f>
        <v>0</v>
      </c>
      <c r="F37" s="304">
        <f t="shared" ref="F37:F47" si="8">COUNTIFS($C$112:$C$231, "="&amp;B37,$I$112:$I$231,"&gt;=0")</f>
        <v>0</v>
      </c>
      <c r="G37" s="301">
        <f t="shared" ref="G37:G47" si="9">COUNTIFS($C$112:$C$231, "="&amp;B37,$K$112:$K$231,"&gt;=0")</f>
        <v>0</v>
      </c>
      <c r="H37" s="304">
        <f>COUNTIFS($C$112:$C$231, "="&amp;B37,$M$112:$M$231,"&gt;=0")</f>
        <v>0</v>
      </c>
    </row>
    <row r="38" spans="2:8" hidden="1" x14ac:dyDescent="0.25">
      <c r="B38" s="29" t="s">
        <v>18</v>
      </c>
      <c r="C38" s="300">
        <f t="shared" si="5"/>
        <v>1</v>
      </c>
      <c r="D38" s="303">
        <f t="shared" si="6"/>
        <v>1</v>
      </c>
      <c r="E38" s="301">
        <f t="shared" si="7"/>
        <v>1</v>
      </c>
      <c r="F38" s="304">
        <f t="shared" si="8"/>
        <v>1</v>
      </c>
      <c r="G38" s="301">
        <f t="shared" si="9"/>
        <v>1</v>
      </c>
      <c r="H38" s="304">
        <f t="shared" ref="H38:H47" si="10">COUNTIFS($C$112:$C$231, "="&amp;B38,$M$112:$M$231,"&gt;=0")</f>
        <v>1</v>
      </c>
    </row>
    <row r="39" spans="2:8" hidden="1" x14ac:dyDescent="0.25">
      <c r="B39" s="29" t="s">
        <v>9</v>
      </c>
      <c r="C39" s="300">
        <f t="shared" si="5"/>
        <v>11</v>
      </c>
      <c r="D39" s="303">
        <f t="shared" si="6"/>
        <v>9</v>
      </c>
      <c r="E39" s="301">
        <f t="shared" si="7"/>
        <v>11</v>
      </c>
      <c r="F39" s="304">
        <f t="shared" si="8"/>
        <v>8</v>
      </c>
      <c r="G39" s="301">
        <f t="shared" si="9"/>
        <v>11</v>
      </c>
      <c r="H39" s="304">
        <f t="shared" si="10"/>
        <v>11</v>
      </c>
    </row>
    <row r="40" spans="2:8" hidden="1" x14ac:dyDescent="0.25">
      <c r="B40" s="29" t="s">
        <v>10</v>
      </c>
      <c r="C40" s="300">
        <f t="shared" si="5"/>
        <v>0</v>
      </c>
      <c r="D40" s="303">
        <f t="shared" si="6"/>
        <v>1</v>
      </c>
      <c r="E40" s="301">
        <f t="shared" si="7"/>
        <v>0</v>
      </c>
      <c r="F40" s="304">
        <f t="shared" si="8"/>
        <v>1</v>
      </c>
      <c r="G40" s="301">
        <f t="shared" si="9"/>
        <v>0</v>
      </c>
      <c r="H40" s="304">
        <f t="shared" si="10"/>
        <v>1</v>
      </c>
    </row>
    <row r="41" spans="2:8" hidden="1" x14ac:dyDescent="0.25">
      <c r="B41" s="29" t="s">
        <v>11</v>
      </c>
      <c r="C41" s="300">
        <f t="shared" si="5"/>
        <v>12</v>
      </c>
      <c r="D41" s="303">
        <f t="shared" si="6"/>
        <v>9</v>
      </c>
      <c r="E41" s="301">
        <f t="shared" si="7"/>
        <v>12</v>
      </c>
      <c r="F41" s="304">
        <f t="shared" si="8"/>
        <v>10</v>
      </c>
      <c r="G41" s="301">
        <f t="shared" si="9"/>
        <v>12</v>
      </c>
      <c r="H41" s="304">
        <f t="shared" si="10"/>
        <v>12</v>
      </c>
    </row>
    <row r="42" spans="2:8" hidden="1" x14ac:dyDescent="0.25">
      <c r="B42" s="29" t="s">
        <v>12</v>
      </c>
      <c r="C42" s="300">
        <f t="shared" si="5"/>
        <v>28</v>
      </c>
      <c r="D42" s="303">
        <f t="shared" si="6"/>
        <v>16</v>
      </c>
      <c r="E42" s="301">
        <f t="shared" si="7"/>
        <v>28</v>
      </c>
      <c r="F42" s="304">
        <f t="shared" si="8"/>
        <v>16</v>
      </c>
      <c r="G42" s="301">
        <f t="shared" si="9"/>
        <v>28</v>
      </c>
      <c r="H42" s="304">
        <f t="shared" si="10"/>
        <v>27</v>
      </c>
    </row>
    <row r="43" spans="2:8" hidden="1" x14ac:dyDescent="0.25">
      <c r="B43" s="29" t="s">
        <v>13</v>
      </c>
      <c r="C43" s="300">
        <f t="shared" si="5"/>
        <v>2</v>
      </c>
      <c r="D43" s="303">
        <f t="shared" si="6"/>
        <v>2</v>
      </c>
      <c r="E43" s="301">
        <f t="shared" si="7"/>
        <v>2</v>
      </c>
      <c r="F43" s="304">
        <f t="shared" si="8"/>
        <v>2</v>
      </c>
      <c r="G43" s="301">
        <f t="shared" si="9"/>
        <v>2</v>
      </c>
      <c r="H43" s="304">
        <f t="shared" si="10"/>
        <v>3</v>
      </c>
    </row>
    <row r="44" spans="2:8" hidden="1" x14ac:dyDescent="0.25">
      <c r="B44" s="29" t="s">
        <v>14</v>
      </c>
      <c r="C44" s="300">
        <f t="shared" si="5"/>
        <v>29</v>
      </c>
      <c r="D44" s="303">
        <f t="shared" si="6"/>
        <v>19</v>
      </c>
      <c r="E44" s="301">
        <f t="shared" si="7"/>
        <v>29</v>
      </c>
      <c r="F44" s="304">
        <f t="shared" si="8"/>
        <v>19</v>
      </c>
      <c r="G44" s="301">
        <f t="shared" si="9"/>
        <v>29</v>
      </c>
      <c r="H44" s="304">
        <f t="shared" si="10"/>
        <v>19</v>
      </c>
    </row>
    <row r="45" spans="2:8" hidden="1" x14ac:dyDescent="0.25">
      <c r="B45" s="29" t="s">
        <v>15</v>
      </c>
      <c r="C45" s="300">
        <f t="shared" si="5"/>
        <v>1</v>
      </c>
      <c r="D45" s="303">
        <f t="shared" si="6"/>
        <v>2</v>
      </c>
      <c r="E45" s="301">
        <f t="shared" si="7"/>
        <v>1</v>
      </c>
      <c r="F45" s="304">
        <f t="shared" si="8"/>
        <v>2</v>
      </c>
      <c r="G45" s="301">
        <f t="shared" si="9"/>
        <v>1</v>
      </c>
      <c r="H45" s="304">
        <f t="shared" si="10"/>
        <v>2</v>
      </c>
    </row>
    <row r="46" spans="2:8" hidden="1" x14ac:dyDescent="0.25">
      <c r="B46" s="29" t="s">
        <v>16</v>
      </c>
      <c r="C46" s="300">
        <f t="shared" si="5"/>
        <v>4</v>
      </c>
      <c r="D46" s="303">
        <f t="shared" si="6"/>
        <v>3</v>
      </c>
      <c r="E46" s="301">
        <f t="shared" si="7"/>
        <v>4</v>
      </c>
      <c r="F46" s="304">
        <f t="shared" si="8"/>
        <v>5</v>
      </c>
      <c r="G46" s="301">
        <f t="shared" si="9"/>
        <v>4</v>
      </c>
      <c r="H46" s="304">
        <f t="shared" si="10"/>
        <v>4</v>
      </c>
    </row>
    <row r="47" spans="2:8" ht="15.75" hidden="1" thickBot="1" x14ac:dyDescent="0.3">
      <c r="B47" s="30" t="s">
        <v>17</v>
      </c>
      <c r="C47" s="305">
        <f t="shared" si="5"/>
        <v>18</v>
      </c>
      <c r="D47" s="306">
        <f t="shared" si="6"/>
        <v>13</v>
      </c>
      <c r="E47" s="307">
        <f t="shared" si="7"/>
        <v>18</v>
      </c>
      <c r="F47" s="308">
        <f t="shared" si="8"/>
        <v>14</v>
      </c>
      <c r="G47" s="307">
        <f t="shared" si="9"/>
        <v>18</v>
      </c>
      <c r="H47" s="308">
        <f t="shared" si="10"/>
        <v>14</v>
      </c>
    </row>
    <row r="48" spans="2:8" hidden="1" x14ac:dyDescent="0.25">
      <c r="B48" s="11"/>
      <c r="C48" s="300"/>
      <c r="D48" s="303"/>
      <c r="E48" s="300"/>
      <c r="F48" s="303"/>
      <c r="G48" s="300"/>
      <c r="H48" s="303"/>
    </row>
    <row r="49" spans="2:8" ht="15.75" hidden="1" thickBot="1" x14ac:dyDescent="0.3">
      <c r="B49" s="1" t="s">
        <v>880</v>
      </c>
    </row>
    <row r="50" spans="2:8" ht="195" hidden="1" x14ac:dyDescent="0.25">
      <c r="B50" s="25" t="s">
        <v>6</v>
      </c>
      <c r="C50" s="413" t="s">
        <v>867</v>
      </c>
      <c r="D50" s="413" t="s">
        <v>868</v>
      </c>
      <c r="E50" s="299" t="s">
        <v>873</v>
      </c>
      <c r="F50" s="297" t="s">
        <v>874</v>
      </c>
      <c r="G50" s="299" t="s">
        <v>927</v>
      </c>
      <c r="H50" s="297" t="s">
        <v>928</v>
      </c>
    </row>
    <row r="51" spans="2:8" hidden="1" x14ac:dyDescent="0.25">
      <c r="B51" s="28" t="s">
        <v>7</v>
      </c>
      <c r="C51" s="66">
        <f>IFERROR(COUNTIFS($C$112:$C$231, "="&amp;B51,$E$112:$E$231,"=1")/C36, "NA")</f>
        <v>0.4</v>
      </c>
      <c r="D51" s="66">
        <f>IFERROR(COUNTIFS($C$112:$C$231, "="&amp;B51,$F$112:$F$231,"=1")/D36, "NA")</f>
        <v>0</v>
      </c>
      <c r="E51" s="309">
        <f>IFERROR(COUNTIFS($C$112:$C$231, "="&amp;B51,$H$112:$H$231,"=1")/E36, "NA")</f>
        <v>0.2</v>
      </c>
      <c r="F51" s="310">
        <f>IFERROR(COUNTIFS($C$112:$C$231,"="&amp;B51,$I$112:$I$231,"=1")/F36,"NA")</f>
        <v>0</v>
      </c>
      <c r="G51" s="309">
        <f>IFERROR(COUNTIFS($C$112:$C$231, "="&amp;B51,$K$112:$K$231,"=1")/G36, "NA")</f>
        <v>0.2</v>
      </c>
      <c r="H51" s="310">
        <f>IFERROR(COUNTIFS($C$112:$C$231, "="&amp;B51,$L$112:$L$231,"=1")/H36, "NA")</f>
        <v>0</v>
      </c>
    </row>
    <row r="52" spans="2:8" hidden="1" x14ac:dyDescent="0.25">
      <c r="B52" s="29" t="s">
        <v>34</v>
      </c>
      <c r="C52" s="66" t="str">
        <f t="shared" ref="C52:C62" si="11">IFERROR(COUNTIFS($C$112:$C$231, "="&amp;B52,$E$112:$E$231,"=1")/C37, "NA")</f>
        <v>NA</v>
      </c>
      <c r="D52" s="66" t="str">
        <f t="shared" ref="D52:D62" si="12">IFERROR(COUNTIFS($C$112:$C$231, "="&amp;B52,$F$112:$F$231,"=1")/D37, "NA")</f>
        <v>NA</v>
      </c>
      <c r="E52" s="309" t="str">
        <f t="shared" ref="E52:E62" si="13">IFERROR(COUNTIFS($C$112:$C$231, "="&amp;B52,$H$112:$H$231,"=1")/E37, "NA")</f>
        <v>NA</v>
      </c>
      <c r="F52" s="310" t="str">
        <f t="shared" ref="F52:F62" si="14">IFERROR(COUNTIFS($C$112:$C$231,"="&amp;B52,$I$112:$I$231,"=1")/F37,"NA")</f>
        <v>NA</v>
      </c>
      <c r="G52" s="309" t="str">
        <f t="shared" ref="G52:G62" si="15">IFERROR(COUNTIFS($C$112:$C$231, "="&amp;B52,$K$112:$K$231,"=1")/G37, "NA")</f>
        <v>NA</v>
      </c>
      <c r="H52" s="310" t="str">
        <f t="shared" ref="H52:H62" si="16">IFERROR(COUNTIFS($C$112:$C$231, "="&amp;B52,$L$112:$L$231,"=1")/H37, "NA")</f>
        <v>NA</v>
      </c>
    </row>
    <row r="53" spans="2:8" hidden="1" x14ac:dyDescent="0.25">
      <c r="B53" s="29" t="s">
        <v>18</v>
      </c>
      <c r="C53" s="66">
        <f t="shared" si="11"/>
        <v>0</v>
      </c>
      <c r="D53" s="66">
        <f t="shared" si="12"/>
        <v>0</v>
      </c>
      <c r="E53" s="309">
        <f t="shared" si="13"/>
        <v>0</v>
      </c>
      <c r="F53" s="310">
        <f t="shared" si="14"/>
        <v>0</v>
      </c>
      <c r="G53" s="309">
        <f t="shared" si="15"/>
        <v>1</v>
      </c>
      <c r="H53" s="310">
        <f t="shared" si="16"/>
        <v>0</v>
      </c>
    </row>
    <row r="54" spans="2:8" hidden="1" x14ac:dyDescent="0.25">
      <c r="B54" s="29" t="s">
        <v>9</v>
      </c>
      <c r="C54" s="66">
        <f t="shared" si="11"/>
        <v>9.0909090909090912E-2</v>
      </c>
      <c r="D54" s="66">
        <f t="shared" si="12"/>
        <v>0</v>
      </c>
      <c r="E54" s="309">
        <f t="shared" si="13"/>
        <v>0</v>
      </c>
      <c r="F54" s="310">
        <f>IFERROR(COUNTIFS($C$112:$C$231,"="&amp;B54,$I$112:$I$231,"=1")/F39,"NA")</f>
        <v>0</v>
      </c>
      <c r="G54" s="309">
        <f t="shared" si="15"/>
        <v>9.0909090909090912E-2</v>
      </c>
      <c r="H54" s="310">
        <f t="shared" si="16"/>
        <v>0</v>
      </c>
    </row>
    <row r="55" spans="2:8" hidden="1" x14ac:dyDescent="0.25">
      <c r="B55" s="29" t="s">
        <v>10</v>
      </c>
      <c r="C55" s="66" t="str">
        <f t="shared" si="11"/>
        <v>NA</v>
      </c>
      <c r="D55" s="66">
        <f t="shared" si="12"/>
        <v>0</v>
      </c>
      <c r="E55" s="309" t="str">
        <f t="shared" si="13"/>
        <v>NA</v>
      </c>
      <c r="F55" s="310">
        <f t="shared" si="14"/>
        <v>0</v>
      </c>
      <c r="G55" s="309" t="str">
        <f t="shared" si="15"/>
        <v>NA</v>
      </c>
      <c r="H55" s="310">
        <f t="shared" si="16"/>
        <v>0</v>
      </c>
    </row>
    <row r="56" spans="2:8" hidden="1" x14ac:dyDescent="0.25">
      <c r="B56" s="29" t="s">
        <v>11</v>
      </c>
      <c r="C56" s="66">
        <f t="shared" si="11"/>
        <v>0</v>
      </c>
      <c r="D56" s="66">
        <f t="shared" si="12"/>
        <v>0.1111111111111111</v>
      </c>
      <c r="E56" s="309">
        <f t="shared" si="13"/>
        <v>0</v>
      </c>
      <c r="F56" s="310">
        <f t="shared" si="14"/>
        <v>0.1</v>
      </c>
      <c r="G56" s="309">
        <f t="shared" si="15"/>
        <v>0</v>
      </c>
      <c r="H56" s="310">
        <f t="shared" si="16"/>
        <v>8.3333333333333329E-2</v>
      </c>
    </row>
    <row r="57" spans="2:8" hidden="1" x14ac:dyDescent="0.25">
      <c r="B57" s="29" t="s">
        <v>12</v>
      </c>
      <c r="C57" s="66">
        <f t="shared" si="11"/>
        <v>3.5714285714285712E-2</v>
      </c>
      <c r="D57" s="66">
        <f t="shared" si="12"/>
        <v>0</v>
      </c>
      <c r="E57" s="309">
        <f t="shared" si="13"/>
        <v>0</v>
      </c>
      <c r="F57" s="310">
        <f t="shared" si="14"/>
        <v>0</v>
      </c>
      <c r="G57" s="309">
        <f t="shared" si="15"/>
        <v>0</v>
      </c>
      <c r="H57" s="310">
        <f t="shared" si="16"/>
        <v>0</v>
      </c>
    </row>
    <row r="58" spans="2:8" hidden="1" x14ac:dyDescent="0.25">
      <c r="B58" s="29" t="s">
        <v>13</v>
      </c>
      <c r="C58" s="66">
        <f t="shared" si="11"/>
        <v>0</v>
      </c>
      <c r="D58" s="66">
        <f t="shared" si="12"/>
        <v>0</v>
      </c>
      <c r="E58" s="309">
        <f t="shared" si="13"/>
        <v>0</v>
      </c>
      <c r="F58" s="310">
        <f t="shared" si="14"/>
        <v>0</v>
      </c>
      <c r="G58" s="309">
        <f t="shared" si="15"/>
        <v>0</v>
      </c>
      <c r="H58" s="310">
        <f t="shared" si="16"/>
        <v>0</v>
      </c>
    </row>
    <row r="59" spans="2:8" hidden="1" x14ac:dyDescent="0.25">
      <c r="B59" s="29" t="s">
        <v>14</v>
      </c>
      <c r="C59" s="66">
        <f t="shared" si="11"/>
        <v>0.31034482758620691</v>
      </c>
      <c r="D59" s="66">
        <f t="shared" si="12"/>
        <v>0</v>
      </c>
      <c r="E59" s="309">
        <f t="shared" si="13"/>
        <v>0.17241379310344829</v>
      </c>
      <c r="F59" s="310">
        <f t="shared" si="14"/>
        <v>0</v>
      </c>
      <c r="G59" s="309">
        <f t="shared" si="15"/>
        <v>0.2413793103448276</v>
      </c>
      <c r="H59" s="310">
        <f t="shared" si="16"/>
        <v>0</v>
      </c>
    </row>
    <row r="60" spans="2:8" hidden="1" x14ac:dyDescent="0.25">
      <c r="B60" s="29" t="s">
        <v>15</v>
      </c>
      <c r="C60" s="66">
        <f t="shared" si="11"/>
        <v>0</v>
      </c>
      <c r="D60" s="66">
        <f t="shared" si="12"/>
        <v>0</v>
      </c>
      <c r="E60" s="309">
        <f t="shared" si="13"/>
        <v>0</v>
      </c>
      <c r="F60" s="310">
        <f t="shared" si="14"/>
        <v>0</v>
      </c>
      <c r="G60" s="309">
        <f t="shared" si="15"/>
        <v>0</v>
      </c>
      <c r="H60" s="310">
        <f t="shared" si="16"/>
        <v>0</v>
      </c>
    </row>
    <row r="61" spans="2:8" hidden="1" x14ac:dyDescent="0.25">
      <c r="B61" s="29" t="s">
        <v>16</v>
      </c>
      <c r="C61" s="66">
        <f t="shared" si="11"/>
        <v>0.25</v>
      </c>
      <c r="D61" s="66">
        <f t="shared" si="12"/>
        <v>0</v>
      </c>
      <c r="E61" s="309">
        <f t="shared" si="13"/>
        <v>0</v>
      </c>
      <c r="F61" s="310">
        <f t="shared" si="14"/>
        <v>0</v>
      </c>
      <c r="G61" s="309">
        <f t="shared" si="15"/>
        <v>0.25</v>
      </c>
      <c r="H61" s="310">
        <f t="shared" si="16"/>
        <v>0</v>
      </c>
    </row>
    <row r="62" spans="2:8" ht="15.75" hidden="1" thickBot="1" x14ac:dyDescent="0.3">
      <c r="B62" s="30" t="s">
        <v>17</v>
      </c>
      <c r="C62" s="67">
        <f t="shared" si="11"/>
        <v>0.33333333333333331</v>
      </c>
      <c r="D62" s="67">
        <f t="shared" si="12"/>
        <v>0</v>
      </c>
      <c r="E62" s="311">
        <f t="shared" si="13"/>
        <v>5.5555555555555552E-2</v>
      </c>
      <c r="F62" s="312">
        <f t="shared" si="14"/>
        <v>0</v>
      </c>
      <c r="G62" s="311">
        <f t="shared" si="15"/>
        <v>0.22222222222222221</v>
      </c>
      <c r="H62" s="312">
        <f t="shared" si="16"/>
        <v>0</v>
      </c>
    </row>
    <row r="63" spans="2:8" hidden="1" x14ac:dyDescent="0.25">
      <c r="B63" s="11"/>
      <c r="C63" s="300"/>
      <c r="D63" s="303"/>
      <c r="E63" s="300"/>
      <c r="F63" s="303"/>
      <c r="G63" s="300"/>
      <c r="H63" s="303"/>
    </row>
    <row r="64" spans="2:8" ht="15.75" hidden="1" thickBot="1" x14ac:dyDescent="0.3">
      <c r="B64" s="1" t="s">
        <v>881</v>
      </c>
    </row>
    <row r="65" spans="2:8" ht="165" hidden="1" x14ac:dyDescent="0.25">
      <c r="B65" s="25" t="s">
        <v>6</v>
      </c>
      <c r="C65" s="413" t="s">
        <v>866</v>
      </c>
      <c r="D65" s="413" t="s">
        <v>869</v>
      </c>
      <c r="E65" s="299" t="s">
        <v>872</v>
      </c>
      <c r="F65" s="297" t="s">
        <v>879</v>
      </c>
      <c r="G65" s="299" t="s">
        <v>926</v>
      </c>
      <c r="H65" s="297" t="s">
        <v>925</v>
      </c>
    </row>
    <row r="66" spans="2:8" hidden="1" x14ac:dyDescent="0.25">
      <c r="B66" s="28" t="s">
        <v>7</v>
      </c>
      <c r="C66" s="66">
        <f>IFERROR(COUNTIFS($C$112:$C$231, "="&amp;B66,$E$112:$E$231,"=2")/C36, "NA")</f>
        <v>0</v>
      </c>
      <c r="D66" s="66">
        <f>IFERROR(COUNTIFS($C$112:$C$231, "="&amp;B66,$F$112:$F$231,"=5")/D36, "NA")</f>
        <v>0</v>
      </c>
      <c r="E66" s="309">
        <f>IFERROR(COUNTIFS($C$112:$C$231, "="&amp;B66,$H$112:$H$231,"=2")/E36, "NA")</f>
        <v>0</v>
      </c>
      <c r="F66" s="310">
        <f>IFERROR(COUNTIFS($C$112:$C$231, "="&amp;B66,$I$112:$I$231,"=5")/F36, "NA")</f>
        <v>0</v>
      </c>
      <c r="G66" s="309">
        <f>IFERROR(COUNTIFS($C$112:$C$231, "="&amp;B66,$K$112:$K$231,"=2")/G36, "NA")</f>
        <v>0.4</v>
      </c>
      <c r="H66" s="310">
        <f>IFERROR(COUNTIFS($C$112:$C$231, "="&amp;B66,$L$112:$L$231,"=5")/H36, "NA")</f>
        <v>0</v>
      </c>
    </row>
    <row r="67" spans="2:8" hidden="1" x14ac:dyDescent="0.25">
      <c r="B67" s="29" t="s">
        <v>34</v>
      </c>
      <c r="C67" s="66" t="str">
        <f t="shared" ref="C67:C77" si="17">IFERROR(COUNTIFS($C$112:$C$231, "="&amp;B67,$E$112:$E$231,"=2")/C37, "NA")</f>
        <v>NA</v>
      </c>
      <c r="D67" s="66" t="str">
        <f t="shared" ref="D67:D77" si="18">IFERROR(COUNTIFS($C$112:$C$231, "="&amp;B67,$F$112:$F$231,"=5")/D37, "NA")</f>
        <v>NA</v>
      </c>
      <c r="E67" s="309" t="str">
        <f t="shared" ref="E67:E77" si="19">IFERROR(COUNTIFS($C$112:$C$231, "="&amp;B67,$H$112:$H$231,"=2")/E37, "NA")</f>
        <v>NA</v>
      </c>
      <c r="F67" s="310" t="str">
        <f t="shared" ref="F67:F77" si="20">IFERROR(COUNTIFS($C$112:$C$231, "="&amp;B67,$I$112:$I$231,"=5")/F37, "NA")</f>
        <v>NA</v>
      </c>
      <c r="G67" s="309" t="str">
        <f t="shared" ref="G67:G77" si="21">IFERROR(COUNTIFS($C$112:$C$231, "="&amp;B67,$K$112:$K$231,"=2")/G37, "NA")</f>
        <v>NA</v>
      </c>
      <c r="H67" s="310" t="str">
        <f t="shared" ref="H67:H77" si="22">IFERROR(COUNTIFS($C$112:$C$231, "="&amp;B67,$L$112:$L$231,"=5")/H37, "NA")</f>
        <v>NA</v>
      </c>
    </row>
    <row r="68" spans="2:8" hidden="1" x14ac:dyDescent="0.25">
      <c r="B68" s="29" t="s">
        <v>18</v>
      </c>
      <c r="C68" s="66">
        <f t="shared" si="17"/>
        <v>0</v>
      </c>
      <c r="D68" s="66">
        <f t="shared" si="18"/>
        <v>0</v>
      </c>
      <c r="E68" s="309">
        <f t="shared" si="19"/>
        <v>0</v>
      </c>
      <c r="F68" s="310">
        <f t="shared" si="20"/>
        <v>0</v>
      </c>
      <c r="G68" s="309">
        <f t="shared" si="21"/>
        <v>0</v>
      </c>
      <c r="H68" s="310">
        <f t="shared" si="22"/>
        <v>0</v>
      </c>
    </row>
    <row r="69" spans="2:8" hidden="1" x14ac:dyDescent="0.25">
      <c r="B69" s="29" t="s">
        <v>9</v>
      </c>
      <c r="C69" s="66">
        <f t="shared" si="17"/>
        <v>0</v>
      </c>
      <c r="D69" s="66">
        <f t="shared" si="18"/>
        <v>0.22222222222222221</v>
      </c>
      <c r="E69" s="309">
        <f t="shared" si="19"/>
        <v>0</v>
      </c>
      <c r="F69" s="310">
        <f>IFERROR(COUNTIFS($C$112:$C$231, "="&amp;B69,$I$112:$I$231,"=5")/F39, "NA")</f>
        <v>0.25</v>
      </c>
      <c r="G69" s="309">
        <f t="shared" si="21"/>
        <v>0.18181818181818182</v>
      </c>
      <c r="H69" s="310">
        <f t="shared" si="22"/>
        <v>0.18181818181818182</v>
      </c>
    </row>
    <row r="70" spans="2:8" hidden="1" x14ac:dyDescent="0.25">
      <c r="B70" s="29" t="s">
        <v>10</v>
      </c>
      <c r="C70" s="66" t="str">
        <f t="shared" si="17"/>
        <v>NA</v>
      </c>
      <c r="D70" s="66">
        <f t="shared" si="18"/>
        <v>0</v>
      </c>
      <c r="E70" s="309" t="str">
        <f t="shared" si="19"/>
        <v>NA</v>
      </c>
      <c r="F70" s="310">
        <f t="shared" si="20"/>
        <v>0</v>
      </c>
      <c r="G70" s="309" t="str">
        <f t="shared" si="21"/>
        <v>NA</v>
      </c>
      <c r="H70" s="310">
        <f t="shared" si="22"/>
        <v>0</v>
      </c>
    </row>
    <row r="71" spans="2:8" hidden="1" x14ac:dyDescent="0.25">
      <c r="B71" s="29" t="s">
        <v>11</v>
      </c>
      <c r="C71" s="66">
        <f t="shared" si="17"/>
        <v>0</v>
      </c>
      <c r="D71" s="66">
        <f t="shared" si="18"/>
        <v>0.1111111111111111</v>
      </c>
      <c r="E71" s="309">
        <f t="shared" si="19"/>
        <v>0</v>
      </c>
      <c r="F71" s="310">
        <f t="shared" si="20"/>
        <v>0.1</v>
      </c>
      <c r="G71" s="309">
        <f t="shared" si="21"/>
        <v>0</v>
      </c>
      <c r="H71" s="310">
        <f t="shared" si="22"/>
        <v>0.16666666666666666</v>
      </c>
    </row>
    <row r="72" spans="2:8" hidden="1" x14ac:dyDescent="0.25">
      <c r="B72" s="29" t="s">
        <v>12</v>
      </c>
      <c r="C72" s="66">
        <f t="shared" si="17"/>
        <v>0</v>
      </c>
      <c r="D72" s="66">
        <f t="shared" si="18"/>
        <v>0</v>
      </c>
      <c r="E72" s="309">
        <f t="shared" si="19"/>
        <v>3.5714285714285712E-2</v>
      </c>
      <c r="F72" s="310">
        <f t="shared" si="20"/>
        <v>0</v>
      </c>
      <c r="G72" s="309">
        <f t="shared" si="21"/>
        <v>3.5714285714285712E-2</v>
      </c>
      <c r="H72" s="310">
        <f t="shared" si="22"/>
        <v>0</v>
      </c>
    </row>
    <row r="73" spans="2:8" hidden="1" x14ac:dyDescent="0.25">
      <c r="B73" s="29" t="s">
        <v>13</v>
      </c>
      <c r="C73" s="66">
        <f t="shared" si="17"/>
        <v>0</v>
      </c>
      <c r="D73" s="66">
        <f t="shared" si="18"/>
        <v>0</v>
      </c>
      <c r="E73" s="309">
        <f t="shared" si="19"/>
        <v>0</v>
      </c>
      <c r="F73" s="310">
        <f t="shared" si="20"/>
        <v>0</v>
      </c>
      <c r="G73" s="309">
        <f t="shared" si="21"/>
        <v>0</v>
      </c>
      <c r="H73" s="310">
        <f t="shared" si="22"/>
        <v>0</v>
      </c>
    </row>
    <row r="74" spans="2:8" hidden="1" x14ac:dyDescent="0.25">
      <c r="B74" s="29" t="s">
        <v>14</v>
      </c>
      <c r="C74" s="66">
        <f t="shared" si="17"/>
        <v>0.10344827586206896</v>
      </c>
      <c r="D74" s="66">
        <f t="shared" si="18"/>
        <v>0.31578947368421051</v>
      </c>
      <c r="E74" s="309">
        <f t="shared" si="19"/>
        <v>0</v>
      </c>
      <c r="F74" s="310">
        <f t="shared" si="20"/>
        <v>0.26315789473684209</v>
      </c>
      <c r="G74" s="309">
        <f t="shared" si="21"/>
        <v>0.75862068965517238</v>
      </c>
      <c r="H74" s="310">
        <f t="shared" si="22"/>
        <v>0.26315789473684209</v>
      </c>
    </row>
    <row r="75" spans="2:8" hidden="1" x14ac:dyDescent="0.25">
      <c r="B75" s="29" t="s">
        <v>15</v>
      </c>
      <c r="C75" s="66">
        <f t="shared" si="17"/>
        <v>0</v>
      </c>
      <c r="D75" s="66">
        <f t="shared" si="18"/>
        <v>0</v>
      </c>
      <c r="E75" s="309">
        <f t="shared" si="19"/>
        <v>0</v>
      </c>
      <c r="F75" s="310">
        <f t="shared" si="20"/>
        <v>0</v>
      </c>
      <c r="G75" s="309">
        <f t="shared" si="21"/>
        <v>0</v>
      </c>
      <c r="H75" s="310">
        <f t="shared" si="22"/>
        <v>0</v>
      </c>
    </row>
    <row r="76" spans="2:8" hidden="1" x14ac:dyDescent="0.25">
      <c r="B76" s="29" t="s">
        <v>16</v>
      </c>
      <c r="C76" s="66">
        <f t="shared" si="17"/>
        <v>0</v>
      </c>
      <c r="D76" s="66">
        <f t="shared" si="18"/>
        <v>0.66666666666666663</v>
      </c>
      <c r="E76" s="309">
        <f t="shared" si="19"/>
        <v>0</v>
      </c>
      <c r="F76" s="310">
        <f t="shared" si="20"/>
        <v>0</v>
      </c>
      <c r="G76" s="309">
        <f t="shared" si="21"/>
        <v>0.25</v>
      </c>
      <c r="H76" s="310">
        <f t="shared" si="22"/>
        <v>1</v>
      </c>
    </row>
    <row r="77" spans="2:8" ht="15.75" hidden="1" thickBot="1" x14ac:dyDescent="0.3">
      <c r="B77" s="30" t="s">
        <v>17</v>
      </c>
      <c r="C77" s="66">
        <f t="shared" si="17"/>
        <v>5.5555555555555552E-2</v>
      </c>
      <c r="D77" s="66">
        <f t="shared" si="18"/>
        <v>0.38461538461538464</v>
      </c>
      <c r="E77" s="309">
        <f t="shared" si="19"/>
        <v>5.5555555555555552E-2</v>
      </c>
      <c r="F77" s="310">
        <f t="shared" si="20"/>
        <v>0.35714285714285715</v>
      </c>
      <c r="G77" s="309">
        <f t="shared" si="21"/>
        <v>0.72222222222222221</v>
      </c>
      <c r="H77" s="310">
        <f t="shared" si="22"/>
        <v>0.42857142857142855</v>
      </c>
    </row>
    <row r="78" spans="2:8" hidden="1" x14ac:dyDescent="0.25"/>
    <row r="79" spans="2:8" ht="15.75" hidden="1" thickBot="1" x14ac:dyDescent="0.3">
      <c r="B79" s="1" t="s">
        <v>882</v>
      </c>
    </row>
    <row r="80" spans="2:8" ht="165" hidden="1" x14ac:dyDescent="0.25">
      <c r="B80" s="25" t="s">
        <v>6</v>
      </c>
      <c r="C80" s="413" t="s">
        <v>870</v>
      </c>
      <c r="D80" s="413" t="s">
        <v>871</v>
      </c>
      <c r="E80" s="413" t="s">
        <v>878</v>
      </c>
      <c r="F80" s="413" t="s">
        <v>877</v>
      </c>
      <c r="G80" s="413" t="s">
        <v>876</v>
      </c>
      <c r="H80" s="297" t="s">
        <v>875</v>
      </c>
    </row>
    <row r="81" spans="2:8" hidden="1" x14ac:dyDescent="0.25">
      <c r="B81" s="28" t="s">
        <v>7</v>
      </c>
      <c r="C81" s="66">
        <f>IFERROR(COUNTIFS($C$112:$C$231, "="&amp;B81,$E$112:$E$231,"=3")/C36, "NA")</f>
        <v>0.6</v>
      </c>
      <c r="D81" s="66">
        <f>IFERROR(COUNTIFS($C$112:$C$231, "="&amp;B81,$F$112:$F$231,"=3")/D36, "NA")</f>
        <v>1</v>
      </c>
      <c r="E81" s="309">
        <f>IFERROR(COUNTIFS($C$112:$C$231, "="&amp;B81,$H$112:$H$231,"=3")/E36, "NA")</f>
        <v>0.8</v>
      </c>
      <c r="F81" s="310">
        <f>IFERROR(COUNTIFS($C$112:$C$231, "="&amp;B81,$I$112:$I$231,"=3")/F36, "NA")</f>
        <v>1</v>
      </c>
      <c r="G81" s="309">
        <f>IFERROR(COUNTIFS($C$112:$C$231, "="&amp;B81,$K$112:$K$231,"=3")/G36, "NA")</f>
        <v>0.4</v>
      </c>
      <c r="H81" s="310">
        <f>IFERROR(COUNTIFS($C$112:$C$231, "="&amp;B81,$L$112:$L$231,"=3")/H36, "NA")</f>
        <v>1</v>
      </c>
    </row>
    <row r="82" spans="2:8" hidden="1" x14ac:dyDescent="0.25">
      <c r="B82" s="29" t="s">
        <v>34</v>
      </c>
      <c r="C82" s="66" t="str">
        <f t="shared" ref="C82:C92" si="23">IFERROR(COUNTIFS($C$112:$C$231, "="&amp;B82,$E$112:$E$231,"=3")/C37, "NA")</f>
        <v>NA</v>
      </c>
      <c r="D82" s="66" t="str">
        <f t="shared" ref="D82:D92" si="24">IFERROR(COUNTIFS($C$112:$C$231, "="&amp;B82,$F$112:$F$231,"=3")/D37, "NA")</f>
        <v>NA</v>
      </c>
      <c r="E82" s="309" t="str">
        <f t="shared" ref="E82:E92" si="25">IFERROR(COUNTIFS($C$112:$C$231, "="&amp;B82,$H$112:$H$231,"=3")/E37, "NA")</f>
        <v>NA</v>
      </c>
      <c r="F82" s="310" t="str">
        <f t="shared" ref="F82:F92" si="26">IFERROR(COUNTIFS($C$112:$C$231, "="&amp;B82,$I$112:$I$231,"=3")/F37, "NA")</f>
        <v>NA</v>
      </c>
      <c r="G82" s="309" t="str">
        <f t="shared" ref="G82:G92" si="27">IFERROR(COUNTIFS($C$112:$C$231, "="&amp;B82,$K$112:$K$231,"=3")/G37, "NA")</f>
        <v>NA</v>
      </c>
      <c r="H82" s="310" t="str">
        <f t="shared" ref="H82:H92" si="28">IFERROR(COUNTIFS($C$112:$C$231, "="&amp;B82,$L$112:$L$231,"=3")/H37, "NA")</f>
        <v>NA</v>
      </c>
    </row>
    <row r="83" spans="2:8" hidden="1" x14ac:dyDescent="0.25">
      <c r="B83" s="29" t="s">
        <v>18</v>
      </c>
      <c r="C83" s="66">
        <f t="shared" si="23"/>
        <v>1</v>
      </c>
      <c r="D83" s="66">
        <f t="shared" si="24"/>
        <v>1</v>
      </c>
      <c r="E83" s="309">
        <f t="shared" si="25"/>
        <v>1</v>
      </c>
      <c r="F83" s="310">
        <f t="shared" si="26"/>
        <v>1</v>
      </c>
      <c r="G83" s="309">
        <f t="shared" si="27"/>
        <v>0</v>
      </c>
      <c r="H83" s="310">
        <f t="shared" si="28"/>
        <v>1</v>
      </c>
    </row>
    <row r="84" spans="2:8" hidden="1" x14ac:dyDescent="0.25">
      <c r="B84" s="29" t="s">
        <v>9</v>
      </c>
      <c r="C84" s="66">
        <f t="shared" si="23"/>
        <v>0.90909090909090906</v>
      </c>
      <c r="D84" s="66">
        <f t="shared" si="24"/>
        <v>0.77777777777777779</v>
      </c>
      <c r="E84" s="309">
        <f t="shared" si="25"/>
        <v>1</v>
      </c>
      <c r="F84" s="310">
        <f t="shared" si="26"/>
        <v>0.75</v>
      </c>
      <c r="G84" s="309">
        <f t="shared" si="27"/>
        <v>0.72727272727272729</v>
      </c>
      <c r="H84" s="310">
        <f t="shared" si="28"/>
        <v>0.63636363636363635</v>
      </c>
    </row>
    <row r="85" spans="2:8" hidden="1" x14ac:dyDescent="0.25">
      <c r="B85" s="29" t="s">
        <v>10</v>
      </c>
      <c r="C85" s="66" t="str">
        <f t="shared" si="23"/>
        <v>NA</v>
      </c>
      <c r="D85" s="66">
        <f t="shared" si="24"/>
        <v>1</v>
      </c>
      <c r="E85" s="309" t="str">
        <f t="shared" si="25"/>
        <v>NA</v>
      </c>
      <c r="F85" s="310">
        <f t="shared" si="26"/>
        <v>1</v>
      </c>
      <c r="G85" s="309" t="str">
        <f t="shared" si="27"/>
        <v>NA</v>
      </c>
      <c r="H85" s="310">
        <f t="shared" si="28"/>
        <v>1</v>
      </c>
    </row>
    <row r="86" spans="2:8" hidden="1" x14ac:dyDescent="0.25">
      <c r="B86" s="29" t="s">
        <v>11</v>
      </c>
      <c r="C86" s="66">
        <f t="shared" si="23"/>
        <v>1</v>
      </c>
      <c r="D86" s="66">
        <f t="shared" si="24"/>
        <v>0.77777777777777779</v>
      </c>
      <c r="E86" s="309">
        <f t="shared" si="25"/>
        <v>1</v>
      </c>
      <c r="F86" s="310">
        <f t="shared" si="26"/>
        <v>0.8</v>
      </c>
      <c r="G86" s="309">
        <f t="shared" si="27"/>
        <v>1</v>
      </c>
      <c r="H86" s="310">
        <f t="shared" si="28"/>
        <v>0.58333333333333337</v>
      </c>
    </row>
    <row r="87" spans="2:8" hidden="1" x14ac:dyDescent="0.25">
      <c r="B87" s="29" t="s">
        <v>12</v>
      </c>
      <c r="C87" s="66">
        <f t="shared" si="23"/>
        <v>0.9642857142857143</v>
      </c>
      <c r="D87" s="66">
        <f t="shared" si="24"/>
        <v>1</v>
      </c>
      <c r="E87" s="309">
        <f t="shared" si="25"/>
        <v>0.9642857142857143</v>
      </c>
      <c r="F87" s="310">
        <f t="shared" si="26"/>
        <v>1</v>
      </c>
      <c r="G87" s="309">
        <f t="shared" si="27"/>
        <v>0.9642857142857143</v>
      </c>
      <c r="H87" s="310">
        <f t="shared" si="28"/>
        <v>0.59259259259259256</v>
      </c>
    </row>
    <row r="88" spans="2:8" hidden="1" x14ac:dyDescent="0.25">
      <c r="B88" s="29" t="s">
        <v>13</v>
      </c>
      <c r="C88" s="66">
        <f t="shared" si="23"/>
        <v>1</v>
      </c>
      <c r="D88" s="66">
        <f t="shared" si="24"/>
        <v>1</v>
      </c>
      <c r="E88" s="309">
        <f t="shared" si="25"/>
        <v>1</v>
      </c>
      <c r="F88" s="310">
        <f t="shared" si="26"/>
        <v>1</v>
      </c>
      <c r="G88" s="309">
        <f t="shared" si="27"/>
        <v>1</v>
      </c>
      <c r="H88" s="310">
        <f t="shared" si="28"/>
        <v>0.66666666666666663</v>
      </c>
    </row>
    <row r="89" spans="2:8" hidden="1" x14ac:dyDescent="0.25">
      <c r="B89" s="29" t="s">
        <v>14</v>
      </c>
      <c r="C89" s="66">
        <f t="shared" si="23"/>
        <v>0.58620689655172409</v>
      </c>
      <c r="D89" s="66">
        <f t="shared" si="24"/>
        <v>0.68421052631578949</v>
      </c>
      <c r="E89" s="309">
        <f t="shared" si="25"/>
        <v>0.82758620689655171</v>
      </c>
      <c r="F89" s="310">
        <f t="shared" si="26"/>
        <v>0.73684210526315785</v>
      </c>
      <c r="G89" s="309">
        <f t="shared" si="27"/>
        <v>0</v>
      </c>
      <c r="H89" s="310">
        <f t="shared" si="28"/>
        <v>0.73684210526315785</v>
      </c>
    </row>
    <row r="90" spans="2:8" hidden="1" x14ac:dyDescent="0.25">
      <c r="B90" s="29" t="s">
        <v>15</v>
      </c>
      <c r="C90" s="66">
        <f t="shared" si="23"/>
        <v>1</v>
      </c>
      <c r="D90" s="66">
        <f t="shared" si="24"/>
        <v>1</v>
      </c>
      <c r="E90" s="309">
        <f t="shared" si="25"/>
        <v>1</v>
      </c>
      <c r="F90" s="310">
        <f t="shared" si="26"/>
        <v>1</v>
      </c>
      <c r="G90" s="309">
        <f t="shared" si="27"/>
        <v>1</v>
      </c>
      <c r="H90" s="310">
        <f t="shared" si="28"/>
        <v>1</v>
      </c>
    </row>
    <row r="91" spans="2:8" hidden="1" x14ac:dyDescent="0.25">
      <c r="B91" s="29" t="s">
        <v>16</v>
      </c>
      <c r="C91" s="66">
        <f t="shared" si="23"/>
        <v>0.75</v>
      </c>
      <c r="D91" s="66">
        <f t="shared" si="24"/>
        <v>0.33333333333333331</v>
      </c>
      <c r="E91" s="309">
        <f t="shared" si="25"/>
        <v>1</v>
      </c>
      <c r="F91" s="310">
        <f t="shared" si="26"/>
        <v>1</v>
      </c>
      <c r="G91" s="309">
        <f t="shared" si="27"/>
        <v>0.5</v>
      </c>
      <c r="H91" s="310">
        <f t="shared" si="28"/>
        <v>0.25</v>
      </c>
    </row>
    <row r="92" spans="2:8" ht="15.75" hidden="1" thickBot="1" x14ac:dyDescent="0.3">
      <c r="B92" s="30" t="s">
        <v>17</v>
      </c>
      <c r="C92" s="67">
        <f t="shared" si="23"/>
        <v>0.61111111111111116</v>
      </c>
      <c r="D92" s="67">
        <f t="shared" si="24"/>
        <v>0.61538461538461542</v>
      </c>
      <c r="E92" s="311">
        <f t="shared" si="25"/>
        <v>0.88888888888888884</v>
      </c>
      <c r="F92" s="312">
        <f t="shared" si="26"/>
        <v>0.6428571428571429</v>
      </c>
      <c r="G92" s="311">
        <f t="shared" si="27"/>
        <v>5.5555555555555552E-2</v>
      </c>
      <c r="H92" s="312">
        <f t="shared" si="28"/>
        <v>0.5714285714285714</v>
      </c>
    </row>
    <row r="93" spans="2:8" hidden="1" x14ac:dyDescent="0.25"/>
    <row r="94" spans="2:8" ht="15.75" hidden="1" thickBot="1" x14ac:dyDescent="0.3">
      <c r="B94" s="1" t="s">
        <v>770</v>
      </c>
    </row>
    <row r="95" spans="2:8" ht="90" hidden="1" x14ac:dyDescent="0.25">
      <c r="B95" s="25" t="s">
        <v>6</v>
      </c>
      <c r="C95" s="293" t="s">
        <v>763</v>
      </c>
      <c r="D95" s="299" t="s">
        <v>767</v>
      </c>
      <c r="E95" s="226" t="s">
        <v>764</v>
      </c>
      <c r="F95" s="231"/>
      <c r="G95" s="11"/>
      <c r="H95" s="231"/>
    </row>
    <row r="96" spans="2:8" hidden="1" x14ac:dyDescent="0.25">
      <c r="B96" s="28" t="s">
        <v>7</v>
      </c>
      <c r="C96" s="66">
        <f>IFERROR(COUNTIFS($C$112:$C$231, "="&amp;B96,$G$112:$G$231,"=3")/(COUNTIFS($C$112:$C$231, "="&amp;B96,$G$112:$G$231,"&gt;=0")), "NA")</f>
        <v>1</v>
      </c>
      <c r="D96" s="309">
        <f>IFERROR(COUNTIFS($C$112:$C$231, "="&amp;B96,$J$112:$J$231,"=3")/(COUNTIFS($C$112:$C$231, "="&amp;B96,$J$112:$J$231,"&gt;=0")), "NA")</f>
        <v>1</v>
      </c>
      <c r="E96" s="313">
        <f>IFERROR(COUNTIFS($C$112:$C$231, "="&amp;B96,$M$112:$M$231,"=3")/(COUNTIFS($C$112:$C$231, "="&amp;B96,$M$112:$M$231,"&gt;=0")), "NA")</f>
        <v>1</v>
      </c>
      <c r="F96" s="66"/>
      <c r="G96" s="11"/>
      <c r="H96" s="66"/>
    </row>
    <row r="97" spans="2:13" hidden="1" x14ac:dyDescent="0.25">
      <c r="B97" s="29" t="s">
        <v>34</v>
      </c>
      <c r="C97" s="66" t="str">
        <f t="shared" ref="C97:C107" si="29">IFERROR(COUNTIFS($C$112:$C$231, "="&amp;B97,$G$112:$G$231,"=3")/(COUNTIFS($C$112:$C$231, "="&amp;B97,$G$112:$G$231,"&gt;=0")), "NA")</f>
        <v>NA</v>
      </c>
      <c r="D97" s="309" t="str">
        <f t="shared" ref="D97:D107" si="30">IFERROR(COUNTIFS($C$112:$C$231, "="&amp;B97,$J$112:$J$231,"=3")/(COUNTIFS($C$112:$C$231, "="&amp;B97,$J$112:$J$231,"&gt;=0")), "NA")</f>
        <v>NA</v>
      </c>
      <c r="E97" s="313" t="str">
        <f t="shared" ref="E97:E107" si="31">IFERROR(COUNTIFS($C$112:$C$231, "="&amp;B97,$M$112:$M$231,"=3")/(COUNTIFS($C$112:$C$231, "="&amp;B97,$M$112:$M$231,"&gt;=0")), "NA")</f>
        <v>NA</v>
      </c>
      <c r="F97" s="66"/>
      <c r="G97" s="11"/>
      <c r="H97" s="66"/>
    </row>
    <row r="98" spans="2:13" hidden="1" x14ac:dyDescent="0.25">
      <c r="B98" s="29" t="s">
        <v>18</v>
      </c>
      <c r="C98" s="66">
        <f t="shared" si="29"/>
        <v>1</v>
      </c>
      <c r="D98" s="309">
        <f t="shared" si="30"/>
        <v>1</v>
      </c>
      <c r="E98" s="313">
        <f t="shared" si="31"/>
        <v>1</v>
      </c>
      <c r="F98" s="66"/>
      <c r="G98" s="11"/>
      <c r="H98" s="66"/>
    </row>
    <row r="99" spans="2:13" hidden="1" x14ac:dyDescent="0.25">
      <c r="B99" s="29" t="s">
        <v>9</v>
      </c>
      <c r="C99" s="66">
        <f t="shared" si="29"/>
        <v>1</v>
      </c>
      <c r="D99" s="309">
        <f t="shared" si="30"/>
        <v>1</v>
      </c>
      <c r="E99" s="313">
        <f t="shared" si="31"/>
        <v>0.90909090909090906</v>
      </c>
      <c r="F99" s="66"/>
      <c r="G99" s="11"/>
      <c r="H99" s="66"/>
    </row>
    <row r="100" spans="2:13" hidden="1" x14ac:dyDescent="0.25">
      <c r="B100" s="29" t="s">
        <v>10</v>
      </c>
      <c r="C100" s="66">
        <f t="shared" si="29"/>
        <v>1</v>
      </c>
      <c r="D100" s="309">
        <f t="shared" si="30"/>
        <v>1</v>
      </c>
      <c r="E100" s="313">
        <f t="shared" si="31"/>
        <v>1</v>
      </c>
      <c r="F100" s="66"/>
      <c r="G100" s="11"/>
      <c r="H100" s="66"/>
    </row>
    <row r="101" spans="2:13" hidden="1" x14ac:dyDescent="0.25">
      <c r="B101" s="29" t="s">
        <v>11</v>
      </c>
      <c r="C101" s="66">
        <f t="shared" si="29"/>
        <v>1</v>
      </c>
      <c r="D101" s="309">
        <f t="shared" si="30"/>
        <v>1</v>
      </c>
      <c r="E101" s="313">
        <f t="shared" si="31"/>
        <v>1</v>
      </c>
      <c r="F101" s="66"/>
      <c r="G101" s="11"/>
      <c r="H101" s="66"/>
    </row>
    <row r="102" spans="2:13" hidden="1" x14ac:dyDescent="0.25">
      <c r="B102" s="29" t="s">
        <v>12</v>
      </c>
      <c r="C102" s="66">
        <f t="shared" si="29"/>
        <v>1</v>
      </c>
      <c r="D102" s="309">
        <f t="shared" si="30"/>
        <v>1</v>
      </c>
      <c r="E102" s="313">
        <f t="shared" si="31"/>
        <v>1</v>
      </c>
      <c r="F102" s="66"/>
      <c r="G102" s="11"/>
      <c r="H102" s="66"/>
    </row>
    <row r="103" spans="2:13" hidden="1" x14ac:dyDescent="0.25">
      <c r="B103" s="29" t="s">
        <v>13</v>
      </c>
      <c r="C103" s="66">
        <f t="shared" si="29"/>
        <v>1</v>
      </c>
      <c r="D103" s="309">
        <f t="shared" si="30"/>
        <v>1</v>
      </c>
      <c r="E103" s="313">
        <f t="shared" si="31"/>
        <v>1</v>
      </c>
      <c r="F103" s="66"/>
      <c r="G103" s="11"/>
      <c r="H103" s="66"/>
    </row>
    <row r="104" spans="2:13" hidden="1" x14ac:dyDescent="0.25">
      <c r="B104" s="29" t="s">
        <v>14</v>
      </c>
      <c r="C104" s="66">
        <f t="shared" si="29"/>
        <v>0.88461538461538458</v>
      </c>
      <c r="D104" s="309">
        <f t="shared" si="30"/>
        <v>0.96</v>
      </c>
      <c r="E104" s="313">
        <f t="shared" si="31"/>
        <v>0.73684210526315785</v>
      </c>
      <c r="F104" s="66"/>
      <c r="G104" s="11"/>
      <c r="H104" s="66"/>
    </row>
    <row r="105" spans="2:13" hidden="1" x14ac:dyDescent="0.25">
      <c r="B105" s="29" t="s">
        <v>15</v>
      </c>
      <c r="C105" s="66">
        <f t="shared" si="29"/>
        <v>1</v>
      </c>
      <c r="D105" s="309">
        <f t="shared" si="30"/>
        <v>1</v>
      </c>
      <c r="E105" s="313">
        <f t="shared" si="31"/>
        <v>1</v>
      </c>
      <c r="F105" s="66"/>
      <c r="G105" s="11"/>
      <c r="H105" s="66"/>
    </row>
    <row r="106" spans="2:13" hidden="1" x14ac:dyDescent="0.25">
      <c r="B106" s="29" t="s">
        <v>16</v>
      </c>
      <c r="C106" s="66">
        <f t="shared" si="29"/>
        <v>1</v>
      </c>
      <c r="D106" s="309">
        <f t="shared" si="30"/>
        <v>1</v>
      </c>
      <c r="E106" s="313">
        <f t="shared" si="31"/>
        <v>0.75</v>
      </c>
      <c r="F106" s="66"/>
      <c r="G106" s="11"/>
      <c r="H106" s="66"/>
    </row>
    <row r="107" spans="2:13" ht="15.75" hidden="1" thickBot="1" x14ac:dyDescent="0.3">
      <c r="B107" s="30" t="s">
        <v>17</v>
      </c>
      <c r="C107" s="67">
        <f t="shared" si="29"/>
        <v>0.7857142857142857</v>
      </c>
      <c r="D107" s="311">
        <f t="shared" si="30"/>
        <v>0.94117647058823528</v>
      </c>
      <c r="E107" s="314">
        <f t="shared" si="31"/>
        <v>0.5714285714285714</v>
      </c>
      <c r="F107" s="66"/>
      <c r="G107" s="11"/>
      <c r="H107" s="66"/>
    </row>
    <row r="108" spans="2:13" hidden="1" x14ac:dyDescent="0.25"/>
    <row r="109" spans="2:13" ht="15.75" hidden="1" thickBot="1" x14ac:dyDescent="0.3">
      <c r="B109" s="1" t="s">
        <v>771</v>
      </c>
    </row>
    <row r="110" spans="2:13" ht="141.75" hidden="1" customHeight="1" x14ac:dyDescent="0.25">
      <c r="B110" s="488"/>
      <c r="C110" s="487"/>
      <c r="D110" s="487"/>
      <c r="E110" s="817" t="s">
        <v>748</v>
      </c>
      <c r="F110" s="818"/>
      <c r="G110" s="819"/>
      <c r="H110" s="817" t="s">
        <v>749</v>
      </c>
      <c r="I110" s="818"/>
      <c r="J110" s="819"/>
      <c r="K110" s="817" t="s">
        <v>768</v>
      </c>
      <c r="L110" s="818"/>
      <c r="M110" s="819"/>
    </row>
    <row r="111" spans="2:13" ht="75.75" hidden="1" thickBot="1" x14ac:dyDescent="0.3">
      <c r="B111" s="489" t="s">
        <v>37</v>
      </c>
      <c r="C111" s="341" t="s">
        <v>6</v>
      </c>
      <c r="D111" s="341"/>
      <c r="E111" s="357" t="s">
        <v>287</v>
      </c>
      <c r="F111" s="358" t="s">
        <v>288</v>
      </c>
      <c r="G111" s="345" t="s">
        <v>747</v>
      </c>
      <c r="H111" s="357" t="s">
        <v>287</v>
      </c>
      <c r="I111" s="358" t="s">
        <v>288</v>
      </c>
      <c r="J111" s="397" t="s">
        <v>750</v>
      </c>
      <c r="K111" s="357" t="s">
        <v>287</v>
      </c>
      <c r="L111" s="358" t="s">
        <v>288</v>
      </c>
      <c r="M111" s="359" t="s">
        <v>751</v>
      </c>
    </row>
    <row r="112" spans="2:13" ht="15" hidden="1" customHeight="1" x14ac:dyDescent="0.25">
      <c r="B112" s="329" t="str">
        <f>'Project-Level Data'!B22</f>
        <v>Dulzura Conduit Refurbishment</v>
      </c>
      <c r="C112" s="474" t="str">
        <f>'Project-Level Data'!C22</f>
        <v>Conveyance Improvement</v>
      </c>
      <c r="D112" s="477"/>
      <c r="E112" s="490">
        <f>'Project-Level Data'!J22</f>
        <v>1</v>
      </c>
      <c r="F112" s="486">
        <f>'Project-Level Data'!BJ22</f>
        <v>3</v>
      </c>
      <c r="G112" s="491">
        <f t="shared" ref="G112:G143" si="32">IF(F112=3,3,IF(E112=3,3,IF(ISERROR(F112*E112),"NA",IF(AND(F112=1,E112=1),1,IF(AND(F112=1,E112=2),2,IF(AND(F112=5,E112=2),4,IF(AND(F112=5,E112=1),5)))))))</f>
        <v>3</v>
      </c>
      <c r="H112" s="490">
        <f>'Project-Level Data'!P22</f>
        <v>3</v>
      </c>
      <c r="I112" s="486">
        <f>'Project-Level Data'!BD22</f>
        <v>3</v>
      </c>
      <c r="J112" s="491">
        <f t="shared" ref="J112:J143" si="33">IF(I112=3,3,IF(H112=3,3,IF(ISERROR(I112*H112),"NA",IF(AND(I112=1,H112=1),1,IF(AND(I112=1,H112=2),2,IF(AND(I112=5,H112=2),4,IF(AND(I112=5,H112=1),5)))))))</f>
        <v>3</v>
      </c>
      <c r="K112" s="490">
        <f>'Project-Level Data'!Q22</f>
        <v>2</v>
      </c>
      <c r="L112" s="486">
        <f>'Project-Level Data'!BE22</f>
        <v>3</v>
      </c>
      <c r="M112" s="491">
        <f t="shared" ref="M112:M143" si="34">IF(L112=3,3,IF(K112=3,3,IF(ISERROR(L112*K112),"NA",IF(AND(L112=1,K112=1),1,IF(AND(L112=1,K112=2),2,IF(AND(L112=5,K112=2),4,IF(AND(L112=5,K112=1),5)))))))</f>
        <v>3</v>
      </c>
    </row>
    <row r="113" spans="1:13" hidden="1" x14ac:dyDescent="0.25">
      <c r="B113" s="227" t="str">
        <f>'Project-Level Data'!B53</f>
        <v>Mission Trails Projects Alternative 1</v>
      </c>
      <c r="C113" s="475" t="str">
        <f>'Project-Level Data'!C53</f>
        <v>Conveyance Improvement</v>
      </c>
      <c r="D113" s="477"/>
      <c r="E113" s="395">
        <f>'Project-Level Data'!J53</f>
        <v>3</v>
      </c>
      <c r="F113" s="379">
        <f>'Project-Level Data'!BJ53</f>
        <v>3</v>
      </c>
      <c r="G113" s="224">
        <f t="shared" si="32"/>
        <v>3</v>
      </c>
      <c r="H113" s="395">
        <f>'Project-Level Data'!P53</f>
        <v>1</v>
      </c>
      <c r="I113" s="379">
        <f>'Project-Level Data'!BD53</f>
        <v>3</v>
      </c>
      <c r="J113" s="224">
        <f t="shared" si="33"/>
        <v>3</v>
      </c>
      <c r="K113" s="395">
        <f>'Project-Level Data'!Q53</f>
        <v>1</v>
      </c>
      <c r="L113" s="379">
        <f>'Project-Level Data'!BE53</f>
        <v>3</v>
      </c>
      <c r="M113" s="224">
        <f t="shared" si="34"/>
        <v>3</v>
      </c>
    </row>
    <row r="114" spans="1:13" hidden="1" x14ac:dyDescent="0.25">
      <c r="B114" s="227" t="str">
        <f>'Project-Level Data'!B72</f>
        <v>Pipeline 3/Pipeline 4 Conversion</v>
      </c>
      <c r="C114" s="475" t="str">
        <f>'Project-Level Data'!C72</f>
        <v>Conveyance Improvement</v>
      </c>
      <c r="D114" s="477"/>
      <c r="E114" s="395" t="str">
        <f>'Project-Level Data'!J72</f>
        <v>NOT MAPPED</v>
      </c>
      <c r="F114" s="379">
        <f>'Project-Level Data'!BJ72</f>
        <v>3</v>
      </c>
      <c r="G114" s="224">
        <f t="shared" si="32"/>
        <v>3</v>
      </c>
      <c r="H114" s="395" t="str">
        <f>'Project-Level Data'!P72</f>
        <v>NOT MAPPED</v>
      </c>
      <c r="I114" s="379">
        <f>'Project-Level Data'!BD72</f>
        <v>3</v>
      </c>
      <c r="J114" s="224">
        <f t="shared" si="33"/>
        <v>3</v>
      </c>
      <c r="K114" s="395" t="str">
        <f>'Project-Level Data'!Q72</f>
        <v>NOT MAPPED</v>
      </c>
      <c r="L114" s="379">
        <f>'Project-Level Data'!BE72</f>
        <v>3</v>
      </c>
      <c r="M114" s="224">
        <f t="shared" si="34"/>
        <v>3</v>
      </c>
    </row>
    <row r="115" spans="1:13" hidden="1" x14ac:dyDescent="0.25">
      <c r="B115" s="227" t="str">
        <f>'Project-Level Data'!B89</f>
        <v>San Diego County Reservoir Intertie</v>
      </c>
      <c r="C115" s="475" t="str">
        <f>'Project-Level Data'!C89</f>
        <v>Conveyance Improvement</v>
      </c>
      <c r="D115" s="477"/>
      <c r="E115" s="395">
        <f>'Project-Level Data'!J89</f>
        <v>3</v>
      </c>
      <c r="F115" s="379">
        <f>'Project-Level Data'!BJ89</f>
        <v>3</v>
      </c>
      <c r="G115" s="224">
        <f t="shared" si="32"/>
        <v>3</v>
      </c>
      <c r="H115" s="395">
        <f>'Project-Level Data'!P89</f>
        <v>3</v>
      </c>
      <c r="I115" s="379">
        <f>'Project-Level Data'!BD89</f>
        <v>3</v>
      </c>
      <c r="J115" s="224">
        <f t="shared" si="33"/>
        <v>3</v>
      </c>
      <c r="K115" s="395">
        <f>'Project-Level Data'!Q89</f>
        <v>3</v>
      </c>
      <c r="L115" s="379">
        <f>'Project-Level Data'!BE89</f>
        <v>3</v>
      </c>
      <c r="M115" s="224">
        <f t="shared" si="34"/>
        <v>3</v>
      </c>
    </row>
    <row r="116" spans="1:13" hidden="1" x14ac:dyDescent="0.25">
      <c r="B116" s="227" t="str">
        <f>'Project-Level Data'!B100</f>
        <v>San Vicente 3rd Pump Drive and Power</v>
      </c>
      <c r="C116" s="475" t="str">
        <f>'Project-Level Data'!C100</f>
        <v>Conveyance Improvement</v>
      </c>
      <c r="D116" s="477"/>
      <c r="E116" s="395">
        <f>'Project-Level Data'!J100</f>
        <v>3</v>
      </c>
      <c r="F116" s="379">
        <f>'Project-Level Data'!BJ100</f>
        <v>3</v>
      </c>
      <c r="G116" s="224">
        <f t="shared" si="32"/>
        <v>3</v>
      </c>
      <c r="H116" s="395">
        <f>'Project-Level Data'!P100</f>
        <v>3</v>
      </c>
      <c r="I116" s="379">
        <f>'Project-Level Data'!BD100</f>
        <v>3</v>
      </c>
      <c r="J116" s="224">
        <f t="shared" si="33"/>
        <v>3</v>
      </c>
      <c r="K116" s="395">
        <f>'Project-Level Data'!Q100</f>
        <v>3</v>
      </c>
      <c r="L116" s="379">
        <f>'Project-Level Data'!BE100</f>
        <v>3</v>
      </c>
      <c r="M116" s="224">
        <f t="shared" si="34"/>
        <v>3</v>
      </c>
    </row>
    <row r="117" spans="1:13" hidden="1" x14ac:dyDescent="0.25">
      <c r="B117" s="227" t="str">
        <f>'Project-Level Data'!B103</f>
        <v>Second Crossover Pipeline</v>
      </c>
      <c r="C117" s="475" t="str">
        <f>'Project-Level Data'!C103</f>
        <v>Conveyance Improvement</v>
      </c>
      <c r="D117" s="477"/>
      <c r="E117" s="395">
        <f>'Project-Level Data'!J103</f>
        <v>1</v>
      </c>
      <c r="F117" s="379">
        <f>'Project-Level Data'!BJ103</f>
        <v>3</v>
      </c>
      <c r="G117" s="224">
        <f t="shared" si="32"/>
        <v>3</v>
      </c>
      <c r="H117" s="395">
        <f>'Project-Level Data'!P103</f>
        <v>3</v>
      </c>
      <c r="I117" s="379">
        <f>'Project-Level Data'!BD103</f>
        <v>3</v>
      </c>
      <c r="J117" s="224">
        <f t="shared" si="33"/>
        <v>3</v>
      </c>
      <c r="K117" s="395">
        <f>'Project-Level Data'!Q103</f>
        <v>2</v>
      </c>
      <c r="L117" s="379">
        <f>'Project-Level Data'!BE103</f>
        <v>3</v>
      </c>
      <c r="M117" s="224">
        <f t="shared" si="34"/>
        <v>3</v>
      </c>
    </row>
    <row r="118" spans="1:13" ht="15" hidden="1" customHeight="1" x14ac:dyDescent="0.25">
      <c r="B118" s="227" t="str">
        <f>'Project-Level Data'!B27</f>
        <v xml:space="preserve">Enhanced Conservation </v>
      </c>
      <c r="C118" s="475" t="str">
        <f>'Project-Level Data'!C27</f>
        <v>Enhanced Conservation</v>
      </c>
      <c r="D118" s="477"/>
      <c r="E118" s="395" t="str">
        <f>'Project-Level Data'!J27</f>
        <v>NOT MAPPED</v>
      </c>
      <c r="F118" s="379" t="str">
        <f>'Project-Level Data'!BJ27</f>
        <v>REMOVED</v>
      </c>
      <c r="G118" s="224" t="str">
        <f t="shared" si="32"/>
        <v>NA</v>
      </c>
      <c r="H118" s="395" t="str">
        <f>'Project-Level Data'!P27</f>
        <v>NOT MAPPED</v>
      </c>
      <c r="I118" s="379" t="str">
        <f>'Project-Level Data'!BD27</f>
        <v>REMOVED</v>
      </c>
      <c r="J118" s="224" t="str">
        <f t="shared" si="33"/>
        <v>NA</v>
      </c>
      <c r="K118" s="395" t="str">
        <f>'Project-Level Data'!Q27</f>
        <v>NOT MAPPED</v>
      </c>
      <c r="L118" s="379" t="str">
        <f>'Project-Level Data'!BE27</f>
        <v>REMOVED</v>
      </c>
      <c r="M118" s="224" t="str">
        <f t="shared" si="34"/>
        <v>NA</v>
      </c>
    </row>
    <row r="119" spans="1:13" ht="15" hidden="1" customHeight="1" x14ac:dyDescent="0.25">
      <c r="B119" s="227" t="str">
        <f>'Project-Level Data'!B21</f>
        <v>Conservation Home Makeover in the Chollas Creek Watershed</v>
      </c>
      <c r="C119" s="475" t="str">
        <f>'Project-Level Data'!C21</f>
        <v>Gray Water Use</v>
      </c>
      <c r="D119" s="477"/>
      <c r="E119" s="395">
        <f>'Project-Level Data'!J21</f>
        <v>3</v>
      </c>
      <c r="F119" s="379" t="str">
        <f>'Project-Level Data'!BJ21</f>
        <v>No Response</v>
      </c>
      <c r="G119" s="224">
        <f t="shared" si="32"/>
        <v>3</v>
      </c>
      <c r="H119" s="395">
        <f>'Project-Level Data'!P21</f>
        <v>3</v>
      </c>
      <c r="I119" s="379" t="str">
        <f>'Project-Level Data'!BD21</f>
        <v>No Response</v>
      </c>
      <c r="J119" s="224">
        <f t="shared" si="33"/>
        <v>3</v>
      </c>
      <c r="K119" s="395">
        <f>'Project-Level Data'!Q21</f>
        <v>1</v>
      </c>
      <c r="L119" s="379" t="str">
        <f>'Project-Level Data'!BE21</f>
        <v>No Response</v>
      </c>
      <c r="M119" s="224" t="str">
        <f t="shared" si="34"/>
        <v>NA</v>
      </c>
    </row>
    <row r="120" spans="1:13" hidden="1" x14ac:dyDescent="0.25">
      <c r="B120" s="227" t="str">
        <f>'Project-Level Data'!B33</f>
        <v>Graywater pilot project</v>
      </c>
      <c r="C120" s="475" t="str">
        <f>'Project-Level Data'!C33</f>
        <v>Gray Water Use</v>
      </c>
      <c r="D120" s="477"/>
      <c r="E120" s="395" t="str">
        <f>'Project-Level Data'!J33</f>
        <v>NOT MAPPED</v>
      </c>
      <c r="F120" s="379">
        <f>'Project-Level Data'!BJ33</f>
        <v>3</v>
      </c>
      <c r="G120" s="224">
        <f t="shared" si="32"/>
        <v>3</v>
      </c>
      <c r="H120" s="395" t="str">
        <f>'Project-Level Data'!P33</f>
        <v>NOT MAPPED</v>
      </c>
      <c r="I120" s="379">
        <f>'Project-Level Data'!BD33</f>
        <v>3</v>
      </c>
      <c r="J120" s="224">
        <f t="shared" si="33"/>
        <v>3</v>
      </c>
      <c r="K120" s="395" t="str">
        <f>'Project-Level Data'!Q33</f>
        <v>NOT MAPPED</v>
      </c>
      <c r="L120" s="379">
        <f>'Project-Level Data'!BE33</f>
        <v>3</v>
      </c>
      <c r="M120" s="224">
        <f t="shared" si="34"/>
        <v>3</v>
      </c>
    </row>
    <row r="121" spans="1:13" ht="15" hidden="1" customHeight="1" x14ac:dyDescent="0.25">
      <c r="B121" s="227" t="str">
        <f>'Project-Level Data'!B34</f>
        <v>Groundwater Extraction Santee/El Monte</v>
      </c>
      <c r="C121" s="475" t="str">
        <f>'Project-Level Data'!C34</f>
        <v>Groundwater</v>
      </c>
      <c r="D121" s="477"/>
      <c r="E121" s="395">
        <f>'Project-Level Data'!J34</f>
        <v>3</v>
      </c>
      <c r="F121" s="379">
        <f>'Project-Level Data'!BJ34</f>
        <v>3</v>
      </c>
      <c r="G121" s="224">
        <f t="shared" si="32"/>
        <v>3</v>
      </c>
      <c r="H121" s="395">
        <f>'Project-Level Data'!P34</f>
        <v>3</v>
      </c>
      <c r="I121" s="379">
        <f>'Project-Level Data'!BD34</f>
        <v>3</v>
      </c>
      <c r="J121" s="224">
        <f t="shared" si="33"/>
        <v>3</v>
      </c>
      <c r="K121" s="395">
        <f>'Project-Level Data'!Q34</f>
        <v>3</v>
      </c>
      <c r="L121" s="379">
        <f>'Project-Level Data'!BE34</f>
        <v>3</v>
      </c>
      <c r="M121" s="224">
        <f t="shared" si="34"/>
        <v>3</v>
      </c>
    </row>
    <row r="122" spans="1:13" ht="25.5" hidden="1" x14ac:dyDescent="0.25">
      <c r="B122" s="227" t="str">
        <f>'Project-Level Data'!B52</f>
        <v>Middle Sweetwater River Basin Groundwater Well System</v>
      </c>
      <c r="C122" s="475" t="str">
        <f>'Project-Level Data'!C52</f>
        <v>Groundwater</v>
      </c>
      <c r="D122" s="477"/>
      <c r="E122" s="395">
        <f>'Project-Level Data'!J52</f>
        <v>3</v>
      </c>
      <c r="F122" s="379">
        <f>'Project-Level Data'!BJ52</f>
        <v>3</v>
      </c>
      <c r="G122" s="224">
        <f t="shared" si="32"/>
        <v>3</v>
      </c>
      <c r="H122" s="395">
        <f>'Project-Level Data'!P52</f>
        <v>3</v>
      </c>
      <c r="I122" s="379">
        <f>'Project-Level Data'!BD52</f>
        <v>3</v>
      </c>
      <c r="J122" s="224">
        <f t="shared" si="33"/>
        <v>3</v>
      </c>
      <c r="K122" s="395">
        <f>'Project-Level Data'!Q52</f>
        <v>2</v>
      </c>
      <c r="L122" s="379">
        <f>'Project-Level Data'!BE52</f>
        <v>3</v>
      </c>
      <c r="M122" s="224">
        <f t="shared" si="34"/>
        <v>3</v>
      </c>
    </row>
    <row r="123" spans="1:13" hidden="1" x14ac:dyDescent="0.25">
      <c r="B123" s="227" t="str">
        <f>'Project-Level Data'!B54</f>
        <v>Mission Valley Brackish Groundwater Recovery Project</v>
      </c>
      <c r="C123" s="475" t="str">
        <f>'Project-Level Data'!C54</f>
        <v>Groundwater</v>
      </c>
      <c r="D123" s="477"/>
      <c r="E123" s="395">
        <f>'Project-Level Data'!J54</f>
        <v>3</v>
      </c>
      <c r="F123" s="379">
        <f>'Project-Level Data'!BJ54</f>
        <v>5</v>
      </c>
      <c r="G123" s="224">
        <f t="shared" si="32"/>
        <v>3</v>
      </c>
      <c r="H123" s="395">
        <f>'Project-Level Data'!P54</f>
        <v>3</v>
      </c>
      <c r="I123" s="379">
        <f>'Project-Level Data'!BD54</f>
        <v>5</v>
      </c>
      <c r="J123" s="224">
        <f t="shared" si="33"/>
        <v>3</v>
      </c>
      <c r="K123" s="395">
        <f>'Project-Level Data'!Q54</f>
        <v>3</v>
      </c>
      <c r="L123" s="379">
        <f>'Project-Level Data'!BE54</f>
        <v>5</v>
      </c>
      <c r="M123" s="224">
        <f t="shared" si="34"/>
        <v>3</v>
      </c>
    </row>
    <row r="124" spans="1:13" ht="15" hidden="1" customHeight="1" x14ac:dyDescent="0.25">
      <c r="B124" s="227" t="str">
        <f>'Project-Level Data'!B67</f>
        <v>Otay Mesa Lot 7 Groundwater Well System (capacity)</v>
      </c>
      <c r="C124" s="475" t="str">
        <f>'Project-Level Data'!C67</f>
        <v>Groundwater</v>
      </c>
      <c r="D124" s="477"/>
      <c r="E124" s="395">
        <f>'Project-Level Data'!J67</f>
        <v>3</v>
      </c>
      <c r="F124" s="379">
        <f>'Project-Level Data'!BJ67</f>
        <v>3</v>
      </c>
      <c r="G124" s="224">
        <f t="shared" si="32"/>
        <v>3</v>
      </c>
      <c r="H124" s="395">
        <f>'Project-Level Data'!P67</f>
        <v>3</v>
      </c>
      <c r="I124" s="379">
        <f>'Project-Level Data'!BD67</f>
        <v>3</v>
      </c>
      <c r="J124" s="224">
        <f t="shared" si="33"/>
        <v>3</v>
      </c>
      <c r="K124" s="395">
        <f>'Project-Level Data'!Q67</f>
        <v>3</v>
      </c>
      <c r="L124" s="379">
        <f>'Project-Level Data'!BE67</f>
        <v>3</v>
      </c>
      <c r="M124" s="224">
        <f t="shared" si="34"/>
        <v>3</v>
      </c>
    </row>
    <row r="125" spans="1:13" ht="25.5" hidden="1" x14ac:dyDescent="0.25">
      <c r="B125" s="227" t="str">
        <f>'Project-Level Data'!B68</f>
        <v>Otay River Valley GW Aquifer Studies &amp; Field Investigations</v>
      </c>
      <c r="C125" s="475" t="str">
        <f>'Project-Level Data'!C68</f>
        <v>Groundwater</v>
      </c>
      <c r="D125" s="477"/>
      <c r="E125" s="395">
        <f>'Project-Level Data'!J68</f>
        <v>3</v>
      </c>
      <c r="F125" s="379">
        <f>'Project-Level Data'!BJ68</f>
        <v>3</v>
      </c>
      <c r="G125" s="224">
        <f t="shared" si="32"/>
        <v>3</v>
      </c>
      <c r="H125" s="395">
        <f>'Project-Level Data'!P68</f>
        <v>3</v>
      </c>
      <c r="I125" s="379">
        <f>'Project-Level Data'!BD68</f>
        <v>3</v>
      </c>
      <c r="J125" s="224">
        <f t="shared" si="33"/>
        <v>3</v>
      </c>
      <c r="K125" s="395">
        <f>'Project-Level Data'!Q68</f>
        <v>3</v>
      </c>
      <c r="L125" s="379">
        <f>'Project-Level Data'!BE68</f>
        <v>3</v>
      </c>
      <c r="M125" s="224">
        <f t="shared" si="34"/>
        <v>3</v>
      </c>
    </row>
    <row r="126" spans="1:13" ht="25.5" hidden="1" x14ac:dyDescent="0.25">
      <c r="B126" s="227" t="str">
        <f>'Project-Level Data'!B79</f>
        <v>Rancho del Rey Groundwater Well Development (capacity)</v>
      </c>
      <c r="C126" s="475" t="str">
        <f>'Project-Level Data'!C79</f>
        <v>Groundwater</v>
      </c>
      <c r="D126" s="477"/>
      <c r="E126" s="395">
        <f>'Project-Level Data'!J79</f>
        <v>3</v>
      </c>
      <c r="F126" s="379">
        <f>'Project-Level Data'!BJ79</f>
        <v>3</v>
      </c>
      <c r="G126" s="224">
        <f t="shared" si="32"/>
        <v>3</v>
      </c>
      <c r="H126" s="395">
        <f>'Project-Level Data'!P79</f>
        <v>3</v>
      </c>
      <c r="I126" s="379">
        <f>'Project-Level Data'!BD79</f>
        <v>3</v>
      </c>
      <c r="J126" s="224">
        <f t="shared" si="33"/>
        <v>3</v>
      </c>
      <c r="K126" s="395">
        <f>'Project-Level Data'!Q79</f>
        <v>3</v>
      </c>
      <c r="L126" s="379">
        <f>'Project-Level Data'!BE79</f>
        <v>3</v>
      </c>
      <c r="M126" s="224">
        <f t="shared" si="34"/>
        <v>3</v>
      </c>
    </row>
    <row r="127" spans="1:13" ht="15" hidden="1" customHeight="1" x14ac:dyDescent="0.25">
      <c r="B127" s="227" t="str">
        <f>'Project-Level Data'!B90</f>
        <v>San Diego Formation - Southeaster San Diego, including Mt Hope</v>
      </c>
      <c r="C127" s="475" t="str">
        <f>'Project-Level Data'!C90</f>
        <v>Groundwater</v>
      </c>
      <c r="D127" s="477"/>
      <c r="E127" s="395">
        <f>'Project-Level Data'!J90</f>
        <v>3</v>
      </c>
      <c r="F127" s="379">
        <f>'Project-Level Data'!BJ90</f>
        <v>3</v>
      </c>
      <c r="G127" s="224">
        <f t="shared" si="32"/>
        <v>3</v>
      </c>
      <c r="H127" s="395">
        <f>'Project-Level Data'!P90</f>
        <v>3</v>
      </c>
      <c r="I127" s="379" t="str">
        <f>'Project-Level Data'!BD90</f>
        <v>MISSING</v>
      </c>
      <c r="J127" s="224">
        <f t="shared" si="33"/>
        <v>3</v>
      </c>
      <c r="K127" s="395">
        <f>'Project-Level Data'!Q90</f>
        <v>3</v>
      </c>
      <c r="L127" s="379">
        <f>'Project-Level Data'!BE90</f>
        <v>3</v>
      </c>
      <c r="M127" s="224">
        <f t="shared" si="34"/>
        <v>3</v>
      </c>
    </row>
    <row r="128" spans="1:13" ht="25.5" hidden="1" x14ac:dyDescent="0.25">
      <c r="A128" s="16"/>
      <c r="B128" s="227" t="str">
        <f>'Project-Level Data'!B94</f>
        <v>San Dieguito River Basin Brackish GW Recovery and Treatment</v>
      </c>
      <c r="C128" s="475" t="str">
        <f>'Project-Level Data'!C94</f>
        <v>Groundwater</v>
      </c>
      <c r="D128" s="477"/>
      <c r="E128" s="395">
        <f>'Project-Level Data'!J94</f>
        <v>1</v>
      </c>
      <c r="F128" s="379">
        <f>'Project-Level Data'!BJ94</f>
        <v>3</v>
      </c>
      <c r="G128" s="224">
        <f t="shared" si="32"/>
        <v>3</v>
      </c>
      <c r="H128" s="395">
        <f>'Project-Level Data'!P94</f>
        <v>3</v>
      </c>
      <c r="I128" s="379">
        <f>'Project-Level Data'!BD94</f>
        <v>3</v>
      </c>
      <c r="J128" s="224">
        <f t="shared" si="33"/>
        <v>3</v>
      </c>
      <c r="K128" s="395">
        <f>'Project-Level Data'!Q94</f>
        <v>2</v>
      </c>
      <c r="L128" s="379">
        <f>'Project-Level Data'!BE94</f>
        <v>3</v>
      </c>
      <c r="M128" s="224">
        <f t="shared" si="34"/>
        <v>3</v>
      </c>
    </row>
    <row r="129" spans="2:13" hidden="1" x14ac:dyDescent="0.25">
      <c r="B129" s="227" t="str">
        <f>'Project-Level Data'!B95</f>
        <v>San Luis Rey Groundwater Study</v>
      </c>
      <c r="C129" s="475" t="str">
        <f>'Project-Level Data'!C95</f>
        <v>Groundwater</v>
      </c>
      <c r="D129" s="477"/>
      <c r="E129" s="395">
        <f>'Project-Level Data'!J95</f>
        <v>3</v>
      </c>
      <c r="F129" s="379" t="str">
        <f>'Project-Level Data'!BJ95</f>
        <v>No Response</v>
      </c>
      <c r="G129" s="224">
        <f t="shared" si="32"/>
        <v>3</v>
      </c>
      <c r="H129" s="395">
        <f>'Project-Level Data'!P95</f>
        <v>3</v>
      </c>
      <c r="I129" s="379" t="str">
        <f>'Project-Level Data'!BD95</f>
        <v>No Response</v>
      </c>
      <c r="J129" s="224">
        <f t="shared" si="33"/>
        <v>3</v>
      </c>
      <c r="K129" s="395">
        <f>'Project-Level Data'!Q95</f>
        <v>3</v>
      </c>
      <c r="L129" s="379" t="str">
        <f>'Project-Level Data'!BE95</f>
        <v>No Response</v>
      </c>
      <c r="M129" s="224">
        <f t="shared" si="34"/>
        <v>3</v>
      </c>
    </row>
    <row r="130" spans="2:13" hidden="1" x14ac:dyDescent="0.25">
      <c r="B130" s="227" t="str">
        <f>'Project-Level Data'!B99</f>
        <v>San Pasqual Brackish Groundwater Recovery Project</v>
      </c>
      <c r="C130" s="475" t="str">
        <f>'Project-Level Data'!C99</f>
        <v>Groundwater</v>
      </c>
      <c r="D130" s="477"/>
      <c r="E130" s="395">
        <f>'Project-Level Data'!J99</f>
        <v>3</v>
      </c>
      <c r="F130" s="379">
        <f>'Project-Level Data'!BJ99</f>
        <v>5</v>
      </c>
      <c r="G130" s="224">
        <f t="shared" si="32"/>
        <v>3</v>
      </c>
      <c r="H130" s="395">
        <f>'Project-Level Data'!P99</f>
        <v>3</v>
      </c>
      <c r="I130" s="379">
        <f>'Project-Level Data'!BD99</f>
        <v>5</v>
      </c>
      <c r="J130" s="224">
        <f t="shared" si="33"/>
        <v>3</v>
      </c>
      <c r="K130" s="395">
        <f>'Project-Level Data'!Q99</f>
        <v>1</v>
      </c>
      <c r="L130" s="379">
        <f>'Project-Level Data'!BE99</f>
        <v>5</v>
      </c>
      <c r="M130" s="224">
        <f t="shared" si="34"/>
        <v>5</v>
      </c>
    </row>
    <row r="131" spans="2:13" ht="38.25" hidden="1" x14ac:dyDescent="0.25">
      <c r="B131" s="227" t="str">
        <f>'Project-Level Data'!B101</f>
        <v>Santa Margarita Conjunctive-Use Project - Local surface water recharge and expansion of Camp Pendleton groundwater recovery program</v>
      </c>
      <c r="C131" s="475" t="str">
        <f>'Project-Level Data'!C101</f>
        <v>Groundwater</v>
      </c>
      <c r="D131" s="477"/>
      <c r="E131" s="395">
        <f>'Project-Level Data'!J101</f>
        <v>3</v>
      </c>
      <c r="F131" s="379" t="str">
        <f>'Project-Level Data'!BJ101</f>
        <v>No Response</v>
      </c>
      <c r="G131" s="224">
        <f t="shared" si="32"/>
        <v>3</v>
      </c>
      <c r="H131" s="395">
        <f>'Project-Level Data'!P101</f>
        <v>3</v>
      </c>
      <c r="I131" s="379" t="str">
        <f>'Project-Level Data'!BD101</f>
        <v>No Response</v>
      </c>
      <c r="J131" s="224">
        <f t="shared" si="33"/>
        <v>3</v>
      </c>
      <c r="K131" s="395">
        <f>'Project-Level Data'!Q101</f>
        <v>3</v>
      </c>
      <c r="L131" s="379" t="str">
        <f>'Project-Level Data'!BE101</f>
        <v>No Response</v>
      </c>
      <c r="M131" s="224">
        <f t="shared" si="34"/>
        <v>3</v>
      </c>
    </row>
    <row r="132" spans="2:13" hidden="1" x14ac:dyDescent="0.25">
      <c r="B132" s="227" t="str">
        <f>'Project-Level Data'!B14</f>
        <v>Cadiz additional imported supplies</v>
      </c>
      <c r="C132" s="475" t="str">
        <f>'Project-Level Data'!C14</f>
        <v>Imported Water Purchases</v>
      </c>
      <c r="D132" s="477"/>
      <c r="E132" s="395" t="str">
        <f>'Project-Level Data'!J14</f>
        <v>NOT MAPPED</v>
      </c>
      <c r="F132" s="379">
        <f>'Project-Level Data'!BJ14</f>
        <v>3</v>
      </c>
      <c r="G132" s="224">
        <f t="shared" si="32"/>
        <v>3</v>
      </c>
      <c r="H132" s="395" t="str">
        <f>'Project-Level Data'!P14</f>
        <v>NOT MAPPED</v>
      </c>
      <c r="I132" s="379">
        <f>'Project-Level Data'!BD14</f>
        <v>3</v>
      </c>
      <c r="J132" s="224">
        <f t="shared" si="33"/>
        <v>3</v>
      </c>
      <c r="K132" s="395" t="str">
        <f>'Project-Level Data'!Q14</f>
        <v>NOT MAPPED</v>
      </c>
      <c r="L132" s="379">
        <f>'Project-Level Data'!BE14</f>
        <v>3</v>
      </c>
      <c r="M132" s="224">
        <f t="shared" si="34"/>
        <v>3</v>
      </c>
    </row>
    <row r="133" spans="2:13" ht="25.5" hidden="1" x14ac:dyDescent="0.25">
      <c r="B133" s="227" t="str">
        <f>'Project-Level Data'!B23</f>
        <v>East County Advanced Water Purification Program Phase 1</v>
      </c>
      <c r="C133" s="475" t="str">
        <f>'Project-Level Data'!C23</f>
        <v>Potable Reuse</v>
      </c>
      <c r="D133" s="477"/>
      <c r="E133" s="395">
        <f>'Project-Level Data'!J23</f>
        <v>3</v>
      </c>
      <c r="F133" s="379">
        <f>'Project-Level Data'!BJ23</f>
        <v>3</v>
      </c>
      <c r="G133" s="224">
        <f t="shared" si="32"/>
        <v>3</v>
      </c>
      <c r="H133" s="395">
        <f>'Project-Level Data'!P23</f>
        <v>3</v>
      </c>
      <c r="I133" s="379">
        <f>'Project-Level Data'!BD23</f>
        <v>3</v>
      </c>
      <c r="J133" s="224">
        <f t="shared" si="33"/>
        <v>3</v>
      </c>
      <c r="K133" s="395">
        <f>'Project-Level Data'!Q23</f>
        <v>3</v>
      </c>
      <c r="L133" s="379">
        <f>'Project-Level Data'!BE23</f>
        <v>3</v>
      </c>
      <c r="M133" s="224">
        <f t="shared" si="34"/>
        <v>3</v>
      </c>
    </row>
    <row r="134" spans="2:13" ht="25.5" hidden="1" x14ac:dyDescent="0.25">
      <c r="B134" s="227" t="str">
        <f>'Project-Level Data'!B24</f>
        <v>East County Advanced Water Purification Program Phase 2</v>
      </c>
      <c r="C134" s="475" t="str">
        <f>'Project-Level Data'!C24</f>
        <v>Potable Reuse</v>
      </c>
      <c r="D134" s="477"/>
      <c r="E134" s="395">
        <f>'Project-Level Data'!J24</f>
        <v>3</v>
      </c>
      <c r="F134" s="379">
        <f>'Project-Level Data'!BJ24</f>
        <v>3</v>
      </c>
      <c r="G134" s="224">
        <f t="shared" si="32"/>
        <v>3</v>
      </c>
      <c r="H134" s="395">
        <f>'Project-Level Data'!P24</f>
        <v>3</v>
      </c>
      <c r="I134" s="379">
        <f>'Project-Level Data'!BD24</f>
        <v>3</v>
      </c>
      <c r="J134" s="224">
        <f t="shared" si="33"/>
        <v>3</v>
      </c>
      <c r="K134" s="395">
        <f>'Project-Level Data'!Q24</f>
        <v>3</v>
      </c>
      <c r="L134" s="379">
        <f>'Project-Level Data'!BE24</f>
        <v>3</v>
      </c>
      <c r="M134" s="224">
        <f t="shared" si="34"/>
        <v>3</v>
      </c>
    </row>
    <row r="135" spans="2:13" ht="15" hidden="1" customHeight="1" x14ac:dyDescent="0.25">
      <c r="B135" s="227" t="str">
        <f>'Project-Level Data'!B25</f>
        <v>East County Advanced Water Purification Program Phase 3</v>
      </c>
      <c r="C135" s="475" t="str">
        <f>'Project-Level Data'!C25</f>
        <v>Potable Reuse</v>
      </c>
      <c r="D135" s="477"/>
      <c r="E135" s="395">
        <f>'Project-Level Data'!J25</f>
        <v>3</v>
      </c>
      <c r="F135" s="379">
        <f>'Project-Level Data'!BJ25</f>
        <v>3</v>
      </c>
      <c r="G135" s="224">
        <f t="shared" si="32"/>
        <v>3</v>
      </c>
      <c r="H135" s="395">
        <f>'Project-Level Data'!P25</f>
        <v>3</v>
      </c>
      <c r="I135" s="379">
        <f>'Project-Level Data'!BD25</f>
        <v>3</v>
      </c>
      <c r="J135" s="224">
        <f t="shared" si="33"/>
        <v>3</v>
      </c>
      <c r="K135" s="395">
        <f>'Project-Level Data'!Q25</f>
        <v>3</v>
      </c>
      <c r="L135" s="379">
        <f>'Project-Level Data'!BE25</f>
        <v>3</v>
      </c>
      <c r="M135" s="224">
        <f t="shared" si="34"/>
        <v>3</v>
      </c>
    </row>
    <row r="136" spans="2:13" ht="15" hidden="1" customHeight="1" x14ac:dyDescent="0.25">
      <c r="B136" s="227" t="str">
        <f>'Project-Level Data'!B26</f>
        <v>Encina Wastewater Water Reuse Project</v>
      </c>
      <c r="C136" s="475" t="str">
        <f>'Project-Level Data'!C26</f>
        <v>Potable Reuse</v>
      </c>
      <c r="D136" s="477"/>
      <c r="E136" s="395">
        <f>'Project-Level Data'!J26</f>
        <v>3</v>
      </c>
      <c r="F136" s="379">
        <f>'Project-Level Data'!BJ26</f>
        <v>3</v>
      </c>
      <c r="G136" s="224">
        <f t="shared" si="32"/>
        <v>3</v>
      </c>
      <c r="H136" s="395">
        <f>'Project-Level Data'!P26</f>
        <v>3</v>
      </c>
      <c r="I136" s="379">
        <f>'Project-Level Data'!BD26</f>
        <v>3</v>
      </c>
      <c r="J136" s="224">
        <f t="shared" si="33"/>
        <v>3</v>
      </c>
      <c r="K136" s="395">
        <f>'Project-Level Data'!Q26</f>
        <v>3</v>
      </c>
      <c r="L136" s="379">
        <f>'Project-Level Data'!BE26</f>
        <v>3</v>
      </c>
      <c r="M136" s="224">
        <f t="shared" si="34"/>
        <v>3</v>
      </c>
    </row>
    <row r="137" spans="2:13" ht="25.5" hidden="1" x14ac:dyDescent="0.25">
      <c r="B137" s="227" t="str">
        <f>'Project-Level Data'!B59</f>
        <v>New Local Supply Rincon del Diablo - Hale Avenue RRF/ City of Escondido/WRFs</v>
      </c>
      <c r="C137" s="475" t="str">
        <f>'Project-Level Data'!C59</f>
        <v>Potable Reuse</v>
      </c>
      <c r="D137" s="477"/>
      <c r="E137" s="395">
        <f>'Project-Level Data'!J59</f>
        <v>3</v>
      </c>
      <c r="F137" s="379" t="str">
        <f>'Project-Level Data'!BJ59</f>
        <v>No Response</v>
      </c>
      <c r="G137" s="224">
        <f t="shared" si="32"/>
        <v>3</v>
      </c>
      <c r="H137" s="395">
        <f>'Project-Level Data'!P59</f>
        <v>3</v>
      </c>
      <c r="I137" s="379" t="str">
        <f>'Project-Level Data'!BD59</f>
        <v>No Response</v>
      </c>
      <c r="J137" s="224">
        <f t="shared" si="33"/>
        <v>3</v>
      </c>
      <c r="K137" s="395">
        <f>'Project-Level Data'!Q59</f>
        <v>3</v>
      </c>
      <c r="L137" s="379" t="str">
        <f>'Project-Level Data'!BE59</f>
        <v>No Response</v>
      </c>
      <c r="M137" s="224">
        <f t="shared" si="34"/>
        <v>3</v>
      </c>
    </row>
    <row r="138" spans="2:13" ht="25.5" hidden="1" x14ac:dyDescent="0.25">
      <c r="B138" s="227" t="str">
        <f>'Project-Level Data'!B73</f>
        <v xml:space="preserve">Potable Reuse/Hale Avenue Resource Recovery Facility (HARRF) </v>
      </c>
      <c r="C138" s="475" t="str">
        <f>'Project-Level Data'!C73</f>
        <v>Potable Reuse</v>
      </c>
      <c r="D138" s="477"/>
      <c r="E138" s="395">
        <f>'Project-Level Data'!J73</f>
        <v>3</v>
      </c>
      <c r="F138" s="379" t="str">
        <f>'Project-Level Data'!BJ73</f>
        <v>No Response</v>
      </c>
      <c r="G138" s="224">
        <f t="shared" si="32"/>
        <v>3</v>
      </c>
      <c r="H138" s="395">
        <f>'Project-Level Data'!P73</f>
        <v>3</v>
      </c>
      <c r="I138" s="379" t="str">
        <f>'Project-Level Data'!BD73</f>
        <v>No Response</v>
      </c>
      <c r="J138" s="224">
        <f t="shared" si="33"/>
        <v>3</v>
      </c>
      <c r="K138" s="395">
        <f>'Project-Level Data'!Q73</f>
        <v>3</v>
      </c>
      <c r="L138" s="379" t="str">
        <f>'Project-Level Data'!BE73</f>
        <v>No Response</v>
      </c>
      <c r="M138" s="224">
        <f t="shared" si="34"/>
        <v>3</v>
      </c>
    </row>
    <row r="139" spans="2:13" hidden="1" x14ac:dyDescent="0.25">
      <c r="B139" s="227" t="str">
        <f>'Project-Level Data'!B75</f>
        <v xml:space="preserve">Pure Water San Diego Phase 1 - North City </v>
      </c>
      <c r="C139" s="475" t="str">
        <f>'Project-Level Data'!C75</f>
        <v>Potable Reuse</v>
      </c>
      <c r="D139" s="477"/>
      <c r="E139" s="395">
        <f>'Project-Level Data'!J75</f>
        <v>3</v>
      </c>
      <c r="F139" s="379">
        <f>'Project-Level Data'!BJ75</f>
        <v>1</v>
      </c>
      <c r="G139" s="224">
        <f t="shared" si="32"/>
        <v>3</v>
      </c>
      <c r="H139" s="395">
        <f>'Project-Level Data'!P75</f>
        <v>3</v>
      </c>
      <c r="I139" s="379">
        <f>'Project-Level Data'!BD75</f>
        <v>1</v>
      </c>
      <c r="J139" s="224">
        <f t="shared" si="33"/>
        <v>3</v>
      </c>
      <c r="K139" s="395">
        <f>'Project-Level Data'!Q75</f>
        <v>3</v>
      </c>
      <c r="L139" s="379">
        <f>'Project-Level Data'!BE75</f>
        <v>1</v>
      </c>
      <c r="M139" s="224">
        <f t="shared" si="34"/>
        <v>3</v>
      </c>
    </row>
    <row r="140" spans="2:13" hidden="1" x14ac:dyDescent="0.25">
      <c r="B140" s="227" t="str">
        <f>'Project-Level Data'!B76</f>
        <v>Pure Water San Diego Phase 2 - Central</v>
      </c>
      <c r="C140" s="475" t="str">
        <f>'Project-Level Data'!C76</f>
        <v>Potable Reuse</v>
      </c>
      <c r="D140" s="477"/>
      <c r="E140" s="395">
        <f>'Project-Level Data'!J76</f>
        <v>3</v>
      </c>
      <c r="F140" s="379">
        <f>'Project-Level Data'!BJ76</f>
        <v>3</v>
      </c>
      <c r="G140" s="224">
        <f t="shared" si="32"/>
        <v>3</v>
      </c>
      <c r="H140" s="395">
        <f>'Project-Level Data'!P76</f>
        <v>3</v>
      </c>
      <c r="I140" s="379">
        <f>'Project-Level Data'!BD76</f>
        <v>3</v>
      </c>
      <c r="J140" s="224">
        <f t="shared" si="33"/>
        <v>3</v>
      </c>
      <c r="K140" s="395">
        <f>'Project-Level Data'!Q76</f>
        <v>3</v>
      </c>
      <c r="L140" s="379">
        <f>'Project-Level Data'!BE76</f>
        <v>3</v>
      </c>
      <c r="M140" s="224">
        <f t="shared" si="34"/>
        <v>3</v>
      </c>
    </row>
    <row r="141" spans="2:13" hidden="1" x14ac:dyDescent="0.25">
      <c r="B141" s="227" t="str">
        <f>'Project-Level Data'!B104</f>
        <v>SFID/SDWD/SEJPA Potable Reuse Project</v>
      </c>
      <c r="C141" s="475" t="str">
        <f>'Project-Level Data'!C104</f>
        <v>Potable Reuse</v>
      </c>
      <c r="D141" s="477"/>
      <c r="E141" s="395">
        <f>'Project-Level Data'!J104</f>
        <v>3</v>
      </c>
      <c r="F141" s="379">
        <f>'Project-Level Data'!BJ104</f>
        <v>5</v>
      </c>
      <c r="G141" s="224">
        <f t="shared" si="32"/>
        <v>3</v>
      </c>
      <c r="H141" s="395">
        <f>'Project-Level Data'!P104</f>
        <v>3</v>
      </c>
      <c r="I141" s="379">
        <f>'Project-Level Data'!BD104</f>
        <v>3</v>
      </c>
      <c r="J141" s="224">
        <f t="shared" si="33"/>
        <v>3</v>
      </c>
      <c r="K141" s="395">
        <f>'Project-Level Data'!Q104</f>
        <v>3</v>
      </c>
      <c r="L141" s="379">
        <f>'Project-Level Data'!BE104</f>
        <v>5</v>
      </c>
      <c r="M141" s="224">
        <f t="shared" si="34"/>
        <v>3</v>
      </c>
    </row>
    <row r="142" spans="2:13" hidden="1" x14ac:dyDescent="0.25">
      <c r="B142" s="227" t="str">
        <f>'Project-Level Data'!B108</f>
        <v>South WWTP - Indirect Potable Recharge</v>
      </c>
      <c r="C142" s="475" t="str">
        <f>'Project-Level Data'!C108</f>
        <v>Potable Reuse</v>
      </c>
      <c r="D142" s="477"/>
      <c r="E142" s="395">
        <f>'Project-Level Data'!J108</f>
        <v>3</v>
      </c>
      <c r="F142" s="379" t="str">
        <f>'Project-Level Data'!BJ108</f>
        <v>MISSING</v>
      </c>
      <c r="G142" s="224">
        <f t="shared" si="32"/>
        <v>3</v>
      </c>
      <c r="H142" s="395">
        <f>'Project-Level Data'!P108</f>
        <v>3</v>
      </c>
      <c r="I142" s="379">
        <f>'Project-Level Data'!BD108</f>
        <v>5</v>
      </c>
      <c r="J142" s="224">
        <f t="shared" si="33"/>
        <v>3</v>
      </c>
      <c r="K142" s="395">
        <f>'Project-Level Data'!Q108</f>
        <v>3</v>
      </c>
      <c r="L142" s="379">
        <f>'Project-Level Data'!BE108</f>
        <v>5</v>
      </c>
      <c r="M142" s="224">
        <f t="shared" si="34"/>
        <v>3</v>
      </c>
    </row>
    <row r="143" spans="2:13" hidden="1" x14ac:dyDescent="0.25">
      <c r="B143" s="227" t="str">
        <f>'Project-Level Data'!B109</f>
        <v>South WWTP - Injection to Las Flores Basin</v>
      </c>
      <c r="C143" s="475" t="str">
        <f>'Project-Level Data'!C109</f>
        <v>Potable Reuse</v>
      </c>
      <c r="D143" s="477"/>
      <c r="E143" s="395">
        <f>'Project-Level Data'!J109</f>
        <v>3</v>
      </c>
      <c r="F143" s="379">
        <f>'Project-Level Data'!BJ109</f>
        <v>3</v>
      </c>
      <c r="G143" s="224">
        <f t="shared" si="32"/>
        <v>3</v>
      </c>
      <c r="H143" s="395">
        <f>'Project-Level Data'!P109</f>
        <v>3</v>
      </c>
      <c r="I143" s="379">
        <f>'Project-Level Data'!BD109</f>
        <v>3</v>
      </c>
      <c r="J143" s="224">
        <f t="shared" si="33"/>
        <v>3</v>
      </c>
      <c r="K143" s="395">
        <f>'Project-Level Data'!Q109</f>
        <v>3</v>
      </c>
      <c r="L143" s="379">
        <f>'Project-Level Data'!BE109</f>
        <v>3</v>
      </c>
      <c r="M143" s="224">
        <f t="shared" si="34"/>
        <v>3</v>
      </c>
    </row>
    <row r="144" spans="2:13" hidden="1" x14ac:dyDescent="0.25">
      <c r="B144" s="227" t="str">
        <f>'Project-Level Data'!B110</f>
        <v>South WWTP - Injection to Santa Margarita Basin</v>
      </c>
      <c r="C144" s="475" t="str">
        <f>'Project-Level Data'!C110</f>
        <v>Potable Reuse</v>
      </c>
      <c r="D144" s="477"/>
      <c r="E144" s="395">
        <f>'Project-Level Data'!J110</f>
        <v>3</v>
      </c>
      <c r="F144" s="379">
        <f>'Project-Level Data'!BJ110</f>
        <v>3</v>
      </c>
      <c r="G144" s="224">
        <f t="shared" ref="G144:G175" si="35">IF(F144=3,3,IF(E144=3,3,IF(ISERROR(F144*E144),"NA",IF(AND(F144=1,E144=1),1,IF(AND(F144=1,E144=2),2,IF(AND(F144=5,E144=2),4,IF(AND(F144=5,E144=1),5)))))))</f>
        <v>3</v>
      </c>
      <c r="H144" s="395">
        <f>'Project-Level Data'!P110</f>
        <v>3</v>
      </c>
      <c r="I144" s="379">
        <f>'Project-Level Data'!BD110</f>
        <v>3</v>
      </c>
      <c r="J144" s="224">
        <f t="shared" ref="J144:J175" si="36">IF(I144=3,3,IF(H144=3,3,IF(ISERROR(I144*H144),"NA",IF(AND(I144=1,H144=1),1,IF(AND(I144=1,H144=2),2,IF(AND(I144=5,H144=2),4,IF(AND(I144=5,H144=1),5)))))))</f>
        <v>3</v>
      </c>
      <c r="K144" s="395">
        <f>'Project-Level Data'!Q110</f>
        <v>3</v>
      </c>
      <c r="L144" s="379">
        <f>'Project-Level Data'!BE110</f>
        <v>3</v>
      </c>
      <c r="M144" s="224">
        <f t="shared" ref="M144:M175" si="37">IF(L144=3,3,IF(K144=3,3,IF(ISERROR(L144*K144),"NA",IF(AND(L144=1,K144=1),1,IF(AND(L144=1,K144=2),2,IF(AND(L144=5,K144=2),4,IF(AND(L144=5,K144=1),5)))))))</f>
        <v>3</v>
      </c>
    </row>
    <row r="145" spans="1:13" hidden="1" x14ac:dyDescent="0.25">
      <c r="B145" s="227" t="str">
        <f>'Project-Level Data'!B17</f>
        <v>Carlsbad WRF - Landscape, Agriculture 2025</v>
      </c>
      <c r="C145" s="475" t="str">
        <f>'Project-Level Data'!C17</f>
        <v>Recycled Water</v>
      </c>
      <c r="D145" s="477"/>
      <c r="E145" s="395">
        <f>'Project-Level Data'!J17</f>
        <v>3</v>
      </c>
      <c r="F145" s="379">
        <f>'Project-Level Data'!BJ17</f>
        <v>3</v>
      </c>
      <c r="G145" s="224">
        <f t="shared" si="35"/>
        <v>3</v>
      </c>
      <c r="H145" s="395">
        <f>'Project-Level Data'!P17</f>
        <v>3</v>
      </c>
      <c r="I145" s="379">
        <f>'Project-Level Data'!BD17</f>
        <v>3</v>
      </c>
      <c r="J145" s="224">
        <f t="shared" si="36"/>
        <v>3</v>
      </c>
      <c r="K145" s="395">
        <f>'Project-Level Data'!Q17</f>
        <v>3</v>
      </c>
      <c r="L145" s="379">
        <f>'Project-Level Data'!BE17</f>
        <v>3</v>
      </c>
      <c r="M145" s="224">
        <f t="shared" si="37"/>
        <v>3</v>
      </c>
    </row>
    <row r="146" spans="1:13" hidden="1" x14ac:dyDescent="0.25">
      <c r="B146" s="227" t="str">
        <f>'Project-Level Data'!B18</f>
        <v>Carlsbad WRF - Landscape, Agriculture 2050</v>
      </c>
      <c r="C146" s="475" t="str">
        <f>'Project-Level Data'!C18</f>
        <v>Recycled Water</v>
      </c>
      <c r="D146" s="477"/>
      <c r="E146" s="395">
        <f>'Project-Level Data'!J18</f>
        <v>3</v>
      </c>
      <c r="F146" s="379">
        <f>'Project-Level Data'!BJ18</f>
        <v>3</v>
      </c>
      <c r="G146" s="224">
        <f t="shared" si="35"/>
        <v>3</v>
      </c>
      <c r="H146" s="395">
        <f>'Project-Level Data'!P18</f>
        <v>3</v>
      </c>
      <c r="I146" s="379">
        <f>'Project-Level Data'!BD18</f>
        <v>3</v>
      </c>
      <c r="J146" s="224">
        <f t="shared" si="36"/>
        <v>3</v>
      </c>
      <c r="K146" s="395">
        <f>'Project-Level Data'!Q18</f>
        <v>3</v>
      </c>
      <c r="L146" s="379">
        <f>'Project-Level Data'!BE18</f>
        <v>3</v>
      </c>
      <c r="M146" s="224">
        <f t="shared" si="37"/>
        <v>3</v>
      </c>
    </row>
    <row r="147" spans="1:13" hidden="1" x14ac:dyDescent="0.25">
      <c r="B147" s="227" t="str">
        <f>'Project-Level Data'!B28</f>
        <v>Extension 153 Phase I</v>
      </c>
      <c r="C147" s="475" t="str">
        <f>'Project-Level Data'!C28</f>
        <v>Recycled Water</v>
      </c>
      <c r="D147" s="477"/>
      <c r="E147" s="395">
        <f>'Project-Level Data'!J28</f>
        <v>3</v>
      </c>
      <c r="F147" s="379">
        <f>'Project-Level Data'!BJ28</f>
        <v>3</v>
      </c>
      <c r="G147" s="224">
        <f t="shared" si="35"/>
        <v>3</v>
      </c>
      <c r="H147" s="395">
        <f>'Project-Level Data'!P28</f>
        <v>3</v>
      </c>
      <c r="I147" s="379">
        <f>'Project-Level Data'!BD28</f>
        <v>3</v>
      </c>
      <c r="J147" s="224">
        <f t="shared" si="36"/>
        <v>3</v>
      </c>
      <c r="K147" s="395">
        <f>'Project-Level Data'!Q28</f>
        <v>3</v>
      </c>
      <c r="L147" s="379">
        <f>'Project-Level Data'!BE28</f>
        <v>3</v>
      </c>
      <c r="M147" s="224">
        <f t="shared" si="37"/>
        <v>3</v>
      </c>
    </row>
    <row r="148" spans="1:13" hidden="1" x14ac:dyDescent="0.25">
      <c r="B148" s="227" t="str">
        <f>'Project-Level Data'!B29</f>
        <v>Extension 153 Phase II</v>
      </c>
      <c r="C148" s="475" t="str">
        <f>'Project-Level Data'!C29</f>
        <v>Recycled Water</v>
      </c>
      <c r="D148" s="477"/>
      <c r="E148" s="395">
        <f>'Project-Level Data'!J29</f>
        <v>3</v>
      </c>
      <c r="F148" s="379">
        <f>'Project-Level Data'!BJ29</f>
        <v>3</v>
      </c>
      <c r="G148" s="224">
        <f t="shared" si="35"/>
        <v>3</v>
      </c>
      <c r="H148" s="395">
        <f>'Project-Level Data'!P29</f>
        <v>3</v>
      </c>
      <c r="I148" s="379">
        <f>'Project-Level Data'!BD29</f>
        <v>3</v>
      </c>
      <c r="J148" s="224">
        <f t="shared" si="36"/>
        <v>3</v>
      </c>
      <c r="K148" s="395">
        <f>'Project-Level Data'!Q29</f>
        <v>3</v>
      </c>
      <c r="L148" s="379">
        <f>'Project-Level Data'!BE29</f>
        <v>3</v>
      </c>
      <c r="M148" s="224">
        <f t="shared" si="37"/>
        <v>3</v>
      </c>
    </row>
    <row r="149" spans="1:13" ht="25.5" hidden="1" x14ac:dyDescent="0.25">
      <c r="B149" s="227" t="str">
        <f>'Project-Level Data'!B35</f>
        <v>Hale Avenue Resource Recovery Facility (HARRF) - Landscape, Agriculture, Industrial, PR</v>
      </c>
      <c r="C149" s="475" t="str">
        <f>'Project-Level Data'!C35</f>
        <v>Recycled Water</v>
      </c>
      <c r="D149" s="477"/>
      <c r="E149" s="395">
        <f>'Project-Level Data'!J35</f>
        <v>3</v>
      </c>
      <c r="F149" s="379" t="str">
        <f>'Project-Level Data'!BJ35</f>
        <v>No Response</v>
      </c>
      <c r="G149" s="224">
        <f t="shared" si="35"/>
        <v>3</v>
      </c>
      <c r="H149" s="395">
        <f>'Project-Level Data'!P35</f>
        <v>3</v>
      </c>
      <c r="I149" s="379" t="str">
        <f>'Project-Level Data'!BD35</f>
        <v>No Response</v>
      </c>
      <c r="J149" s="224">
        <f t="shared" si="36"/>
        <v>3</v>
      </c>
      <c r="K149" s="395">
        <f>'Project-Level Data'!Q35</f>
        <v>3</v>
      </c>
      <c r="L149" s="379" t="str">
        <f>'Project-Level Data'!BE35</f>
        <v>No Response</v>
      </c>
      <c r="M149" s="224">
        <f t="shared" si="37"/>
        <v>3</v>
      </c>
    </row>
    <row r="150" spans="1:13" ht="25.5" hidden="1" x14ac:dyDescent="0.25">
      <c r="B150" s="227" t="str">
        <f>'Project-Level Data'!B36</f>
        <v>Integrated Water Resource Solutions for the Carlsbad Watershed</v>
      </c>
      <c r="C150" s="475" t="str">
        <f>'Project-Level Data'!C36</f>
        <v>Recycled Water</v>
      </c>
      <c r="D150" s="477"/>
      <c r="E150" s="395">
        <f>'Project-Level Data'!J36</f>
        <v>3</v>
      </c>
      <c r="F150" s="379">
        <f>'Project-Level Data'!BJ36</f>
        <v>3</v>
      </c>
      <c r="G150" s="224">
        <f t="shared" si="35"/>
        <v>3</v>
      </c>
      <c r="H150" s="395">
        <f>'Project-Level Data'!P36</f>
        <v>3</v>
      </c>
      <c r="I150" s="379">
        <f>'Project-Level Data'!BD36</f>
        <v>3</v>
      </c>
      <c r="J150" s="224">
        <f t="shared" si="36"/>
        <v>3</v>
      </c>
      <c r="K150" s="395">
        <f>'Project-Level Data'!Q36</f>
        <v>3</v>
      </c>
      <c r="L150" s="379">
        <f>'Project-Level Data'!BE36</f>
        <v>3</v>
      </c>
      <c r="M150" s="224">
        <f t="shared" si="37"/>
        <v>3</v>
      </c>
    </row>
    <row r="151" spans="1:13" ht="25.5" hidden="1" x14ac:dyDescent="0.25">
      <c r="B151" s="227" t="str">
        <f>'Project-Level Data'!B37</f>
        <v>Intergrated Water Resource Solutions for the Carlsbad Watershed</v>
      </c>
      <c r="C151" s="475" t="str">
        <f>'Project-Level Data'!C37</f>
        <v>Recycled Water</v>
      </c>
      <c r="D151" s="477"/>
      <c r="E151" s="395">
        <f>'Project-Level Data'!J37</f>
        <v>3</v>
      </c>
      <c r="F151" s="379">
        <f>'Project-Level Data'!BJ37</f>
        <v>3</v>
      </c>
      <c r="G151" s="224">
        <f t="shared" si="35"/>
        <v>3</v>
      </c>
      <c r="H151" s="395">
        <f>'Project-Level Data'!P37</f>
        <v>3</v>
      </c>
      <c r="I151" s="379">
        <f>'Project-Level Data'!BD37</f>
        <v>3</v>
      </c>
      <c r="J151" s="224">
        <f t="shared" si="36"/>
        <v>3</v>
      </c>
      <c r="K151" s="395">
        <f>'Project-Level Data'!Q37</f>
        <v>3</v>
      </c>
      <c r="L151" s="379">
        <f>'Project-Level Data'!BE37</f>
        <v>3</v>
      </c>
      <c r="M151" s="224">
        <f t="shared" si="37"/>
        <v>3</v>
      </c>
    </row>
    <row r="152" spans="1:13" hidden="1" x14ac:dyDescent="0.25">
      <c r="B152" s="227" t="str">
        <f>'Project-Level Data'!B38</f>
        <v>Joint RW Transmission Project with SFID and OMWD</v>
      </c>
      <c r="C152" s="475" t="str">
        <f>'Project-Level Data'!C38</f>
        <v>Recycled Water</v>
      </c>
      <c r="D152" s="477"/>
      <c r="E152" s="395">
        <f>'Project-Level Data'!J38</f>
        <v>3</v>
      </c>
      <c r="F152" s="379">
        <f>'Project-Level Data'!BJ38</f>
        <v>3</v>
      </c>
      <c r="G152" s="224">
        <f t="shared" si="35"/>
        <v>3</v>
      </c>
      <c r="H152" s="395">
        <f>'Project-Level Data'!P38</f>
        <v>2</v>
      </c>
      <c r="I152" s="379">
        <f>'Project-Level Data'!BD38</f>
        <v>3</v>
      </c>
      <c r="J152" s="224">
        <f t="shared" si="36"/>
        <v>3</v>
      </c>
      <c r="K152" s="395">
        <f>'Project-Level Data'!Q38</f>
        <v>3</v>
      </c>
      <c r="L152" s="379">
        <f>'Project-Level Data'!BE38</f>
        <v>3</v>
      </c>
      <c r="M152" s="224">
        <f t="shared" si="37"/>
        <v>3</v>
      </c>
    </row>
    <row r="153" spans="1:13" hidden="1" x14ac:dyDescent="0.25">
      <c r="B153" s="227" t="str">
        <f>'Project-Level Data'!B42</f>
        <v>Lilac Hills Ranch WRF</v>
      </c>
      <c r="C153" s="475" t="str">
        <f>'Project-Level Data'!C42</f>
        <v>Recycled Water</v>
      </c>
      <c r="D153" s="477"/>
      <c r="E153" s="395">
        <f>'Project-Level Data'!J42</f>
        <v>3</v>
      </c>
      <c r="F153" s="379" t="str">
        <f>'Project-Level Data'!BJ42</f>
        <v>No Response</v>
      </c>
      <c r="G153" s="224">
        <f t="shared" si="35"/>
        <v>3</v>
      </c>
      <c r="H153" s="395">
        <f>'Project-Level Data'!P42</f>
        <v>3</v>
      </c>
      <c r="I153" s="379" t="str">
        <f>'Project-Level Data'!BD42</f>
        <v>No Response</v>
      </c>
      <c r="J153" s="224">
        <f t="shared" si="36"/>
        <v>3</v>
      </c>
      <c r="K153" s="395">
        <f>'Project-Level Data'!Q42</f>
        <v>3</v>
      </c>
      <c r="L153" s="379" t="str">
        <f>'Project-Level Data'!BE42</f>
        <v>No Response</v>
      </c>
      <c r="M153" s="224">
        <f t="shared" si="37"/>
        <v>3</v>
      </c>
    </row>
    <row r="154" spans="1:13" ht="15" hidden="1" customHeight="1" x14ac:dyDescent="0.25">
      <c r="A154" s="14"/>
      <c r="B154" s="227" t="str">
        <f>'Project-Level Data'!B45</f>
        <v>Lower Moosa Canyon WRF</v>
      </c>
      <c r="C154" s="475" t="str">
        <f>'Project-Level Data'!C45</f>
        <v>Recycled Water</v>
      </c>
      <c r="D154" s="477"/>
      <c r="E154" s="395">
        <f>'Project-Level Data'!J45</f>
        <v>3</v>
      </c>
      <c r="F154" s="379" t="str">
        <f>'Project-Level Data'!BJ45</f>
        <v>No Response</v>
      </c>
      <c r="G154" s="224">
        <f t="shared" si="35"/>
        <v>3</v>
      </c>
      <c r="H154" s="395">
        <f>'Project-Level Data'!P45</f>
        <v>3</v>
      </c>
      <c r="I154" s="379" t="str">
        <f>'Project-Level Data'!BD45</f>
        <v>No Response</v>
      </c>
      <c r="J154" s="224">
        <f t="shared" si="36"/>
        <v>3</v>
      </c>
      <c r="K154" s="395">
        <f>'Project-Level Data'!Q45</f>
        <v>3</v>
      </c>
      <c r="L154" s="379" t="str">
        <f>'Project-Level Data'!BE45</f>
        <v>No Response</v>
      </c>
      <c r="M154" s="224">
        <f t="shared" si="37"/>
        <v>3</v>
      </c>
    </row>
    <row r="155" spans="1:13" hidden="1" x14ac:dyDescent="0.25">
      <c r="B155" s="227" t="str">
        <f>'Project-Level Data'!B50</f>
        <v>Meadowlark WRF</v>
      </c>
      <c r="C155" s="475" t="str">
        <f>'Project-Level Data'!C50</f>
        <v>Recycled Water</v>
      </c>
      <c r="D155" s="477"/>
      <c r="E155" s="395">
        <f>'Project-Level Data'!J50</f>
        <v>3</v>
      </c>
      <c r="F155" s="379" t="str">
        <f>'Project-Level Data'!BJ50</f>
        <v>No Response</v>
      </c>
      <c r="G155" s="224">
        <f t="shared" si="35"/>
        <v>3</v>
      </c>
      <c r="H155" s="395">
        <f>'Project-Level Data'!P50</f>
        <v>3</v>
      </c>
      <c r="I155" s="379" t="str">
        <f>'Project-Level Data'!BD50</f>
        <v>No Response</v>
      </c>
      <c r="J155" s="224">
        <f t="shared" si="36"/>
        <v>3</v>
      </c>
      <c r="K155" s="395">
        <f>'Project-Level Data'!Q50</f>
        <v>3</v>
      </c>
      <c r="L155" s="379" t="str">
        <f>'Project-Level Data'!BE50</f>
        <v>No Response</v>
      </c>
      <c r="M155" s="224">
        <f t="shared" si="37"/>
        <v>3</v>
      </c>
    </row>
    <row r="156" spans="1:13" hidden="1" x14ac:dyDescent="0.25">
      <c r="B156" s="227" t="str">
        <f>'Project-Level Data'!B51</f>
        <v>Meadowood WRF</v>
      </c>
      <c r="C156" s="475" t="str">
        <f>'Project-Level Data'!C51</f>
        <v>Recycled Water</v>
      </c>
      <c r="D156" s="477"/>
      <c r="E156" s="395">
        <f>'Project-Level Data'!J51</f>
        <v>1</v>
      </c>
      <c r="F156" s="379" t="str">
        <f>'Project-Level Data'!BJ51</f>
        <v>No Response</v>
      </c>
      <c r="G156" s="224" t="str">
        <f t="shared" si="35"/>
        <v>NA</v>
      </c>
      <c r="H156" s="395">
        <f>'Project-Level Data'!P51</f>
        <v>3</v>
      </c>
      <c r="I156" s="379" t="str">
        <f>'Project-Level Data'!BD51</f>
        <v>No Response</v>
      </c>
      <c r="J156" s="224">
        <f t="shared" si="36"/>
        <v>3</v>
      </c>
      <c r="K156" s="395">
        <f>'Project-Level Data'!Q51</f>
        <v>2</v>
      </c>
      <c r="L156" s="379" t="str">
        <f>'Project-Level Data'!BE51</f>
        <v>No Response</v>
      </c>
      <c r="M156" s="224" t="str">
        <f t="shared" si="37"/>
        <v>NA</v>
      </c>
    </row>
    <row r="157" spans="1:13" hidden="1" x14ac:dyDescent="0.25">
      <c r="B157" s="227" t="str">
        <f>'Project-Level Data'!B61</f>
        <v>North City WRP - Project 1</v>
      </c>
      <c r="C157" s="475" t="str">
        <f>'Project-Level Data'!C61</f>
        <v>Recycled Water</v>
      </c>
      <c r="D157" s="477"/>
      <c r="E157" s="395">
        <f>'Project-Level Data'!J61</f>
        <v>3</v>
      </c>
      <c r="F157" s="379">
        <f>'Project-Level Data'!BJ61</f>
        <v>3</v>
      </c>
      <c r="G157" s="224">
        <f t="shared" si="35"/>
        <v>3</v>
      </c>
      <c r="H157" s="395">
        <f>'Project-Level Data'!P61</f>
        <v>3</v>
      </c>
      <c r="I157" s="379">
        <f>'Project-Level Data'!BD61</f>
        <v>3</v>
      </c>
      <c r="J157" s="224">
        <f t="shared" si="36"/>
        <v>3</v>
      </c>
      <c r="K157" s="395">
        <f>'Project-Level Data'!Q61</f>
        <v>3</v>
      </c>
      <c r="L157" s="379">
        <f>'Project-Level Data'!BE61</f>
        <v>3</v>
      </c>
      <c r="M157" s="224">
        <f t="shared" si="37"/>
        <v>3</v>
      </c>
    </row>
    <row r="158" spans="1:13" ht="15" hidden="1" customHeight="1" x14ac:dyDescent="0.25">
      <c r="B158" s="227" t="str">
        <f>'Project-Level Data'!B62</f>
        <v>North City WRP - Project 2</v>
      </c>
      <c r="C158" s="475" t="str">
        <f>'Project-Level Data'!C62</f>
        <v>Recycled Water</v>
      </c>
      <c r="D158" s="477"/>
      <c r="E158" s="395">
        <f>'Project-Level Data'!J62</f>
        <v>3</v>
      </c>
      <c r="F158" s="379">
        <f>'Project-Level Data'!BJ62</f>
        <v>3</v>
      </c>
      <c r="G158" s="224">
        <f t="shared" si="35"/>
        <v>3</v>
      </c>
      <c r="H158" s="395">
        <f>'Project-Level Data'!P62</f>
        <v>3</v>
      </c>
      <c r="I158" s="379">
        <f>'Project-Level Data'!BD62</f>
        <v>3</v>
      </c>
      <c r="J158" s="224">
        <f t="shared" si="36"/>
        <v>3</v>
      </c>
      <c r="K158" s="395">
        <f>'Project-Level Data'!Q62</f>
        <v>3</v>
      </c>
      <c r="L158" s="379">
        <f>'Project-Level Data'!BE62</f>
        <v>3</v>
      </c>
      <c r="M158" s="224">
        <f t="shared" si="37"/>
        <v>3</v>
      </c>
    </row>
    <row r="159" spans="1:13" hidden="1" x14ac:dyDescent="0.25">
      <c r="B159" s="227" t="str">
        <f>'Project-Level Data'!B63</f>
        <v>North District Recycled System/RW Chapman WRF</v>
      </c>
      <c r="C159" s="475" t="str">
        <f>'Project-Level Data'!C63</f>
        <v>Recycled Water</v>
      </c>
      <c r="D159" s="477"/>
      <c r="E159" s="395">
        <f>'Project-Level Data'!J63</f>
        <v>3</v>
      </c>
      <c r="F159" s="379">
        <f>'Project-Level Data'!BJ63</f>
        <v>3</v>
      </c>
      <c r="G159" s="224">
        <f t="shared" si="35"/>
        <v>3</v>
      </c>
      <c r="H159" s="395">
        <f>'Project-Level Data'!P63</f>
        <v>3</v>
      </c>
      <c r="I159" s="379">
        <f>'Project-Level Data'!BD63</f>
        <v>3</v>
      </c>
      <c r="J159" s="224">
        <f t="shared" si="36"/>
        <v>3</v>
      </c>
      <c r="K159" s="395">
        <f>'Project-Level Data'!Q63</f>
        <v>3</v>
      </c>
      <c r="L159" s="379">
        <f>'Project-Level Data'!BE63</f>
        <v>3</v>
      </c>
      <c r="M159" s="224">
        <f t="shared" si="37"/>
        <v>3</v>
      </c>
    </row>
    <row r="160" spans="1:13" ht="15" hidden="1" customHeight="1" x14ac:dyDescent="0.25">
      <c r="B160" s="227" t="str">
        <f>'Project-Level Data'!B64</f>
        <v>North San Diego County Regional Recycled Water Project-Phase ll</v>
      </c>
      <c r="C160" s="475" t="str">
        <f>'Project-Level Data'!C64</f>
        <v>Recycled Water</v>
      </c>
      <c r="D160" s="477"/>
      <c r="E160" s="395">
        <f>'Project-Level Data'!J64</f>
        <v>3</v>
      </c>
      <c r="F160" s="379">
        <f>'Project-Level Data'!BJ64</f>
        <v>3</v>
      </c>
      <c r="G160" s="224">
        <f t="shared" si="35"/>
        <v>3</v>
      </c>
      <c r="H160" s="395">
        <f>'Project-Level Data'!P64</f>
        <v>3</v>
      </c>
      <c r="I160" s="379">
        <f>'Project-Level Data'!BD64</f>
        <v>3</v>
      </c>
      <c r="J160" s="224">
        <f t="shared" si="36"/>
        <v>3</v>
      </c>
      <c r="K160" s="395">
        <f>'Project-Level Data'!Q64</f>
        <v>3</v>
      </c>
      <c r="L160" s="379">
        <f>'Project-Level Data'!BE64</f>
        <v>3</v>
      </c>
      <c r="M160" s="224">
        <f t="shared" si="37"/>
        <v>3</v>
      </c>
    </row>
    <row r="161" spans="2:13" ht="15" hidden="1" customHeight="1" x14ac:dyDescent="0.25">
      <c r="B161" s="227" t="str">
        <f>'Project-Level Data'!B65</f>
        <v>North Village WRF</v>
      </c>
      <c r="C161" s="475" t="str">
        <f>'Project-Level Data'!C65</f>
        <v>Recycled Water</v>
      </c>
      <c r="D161" s="477"/>
      <c r="E161" s="395">
        <f>'Project-Level Data'!J65</f>
        <v>3</v>
      </c>
      <c r="F161" s="379" t="str">
        <f>'Project-Level Data'!BJ65</f>
        <v>No Response</v>
      </c>
      <c r="G161" s="224">
        <f t="shared" si="35"/>
        <v>3</v>
      </c>
      <c r="H161" s="395">
        <f>'Project-Level Data'!P65</f>
        <v>3</v>
      </c>
      <c r="I161" s="379" t="str">
        <f>'Project-Level Data'!BD65</f>
        <v>No Response</v>
      </c>
      <c r="J161" s="224">
        <f t="shared" si="36"/>
        <v>3</v>
      </c>
      <c r="K161" s="395">
        <f>'Project-Level Data'!Q65</f>
        <v>3</v>
      </c>
      <c r="L161" s="379" t="str">
        <f>'Project-Level Data'!BE65</f>
        <v>No Response</v>
      </c>
      <c r="M161" s="224">
        <f t="shared" si="37"/>
        <v>3</v>
      </c>
    </row>
    <row r="162" spans="2:13" hidden="1" x14ac:dyDescent="0.25">
      <c r="B162" s="227" t="str">
        <f>'Project-Level Data'!B66</f>
        <v>North WWTP Landscape Application</v>
      </c>
      <c r="C162" s="475" t="str">
        <f>'Project-Level Data'!C66</f>
        <v>Recycled Water</v>
      </c>
      <c r="D162" s="477"/>
      <c r="E162" s="395">
        <f>'Project-Level Data'!J66</f>
        <v>3</v>
      </c>
      <c r="F162" s="379">
        <f>'Project-Level Data'!BJ66</f>
        <v>3</v>
      </c>
      <c r="G162" s="224">
        <f t="shared" si="35"/>
        <v>3</v>
      </c>
      <c r="H162" s="395">
        <f>'Project-Level Data'!P66</f>
        <v>3</v>
      </c>
      <c r="I162" s="379">
        <f>'Project-Level Data'!BD66</f>
        <v>3</v>
      </c>
      <c r="J162" s="224">
        <f t="shared" si="36"/>
        <v>3</v>
      </c>
      <c r="K162" s="395">
        <f>'Project-Level Data'!Q66</f>
        <v>3</v>
      </c>
      <c r="L162" s="379">
        <f>'Project-Level Data'!BE66</f>
        <v>3</v>
      </c>
      <c r="M162" s="224">
        <f t="shared" si="37"/>
        <v>3</v>
      </c>
    </row>
    <row r="163" spans="2:13" ht="15" hidden="1" customHeight="1" x14ac:dyDescent="0.25">
      <c r="B163" s="227" t="str">
        <f>'Project-Level Data'!B78</f>
        <v>Rancho Cielo</v>
      </c>
      <c r="C163" s="475" t="str">
        <f>'Project-Level Data'!C78</f>
        <v>Recycled Water</v>
      </c>
      <c r="D163" s="477"/>
      <c r="E163" s="395">
        <f>'Project-Level Data'!J78</f>
        <v>3</v>
      </c>
      <c r="F163" s="379">
        <f>'Project-Level Data'!BJ78</f>
        <v>3</v>
      </c>
      <c r="G163" s="224">
        <f t="shared" si="35"/>
        <v>3</v>
      </c>
      <c r="H163" s="395">
        <f>'Project-Level Data'!P78</f>
        <v>3</v>
      </c>
      <c r="I163" s="379">
        <f>'Project-Level Data'!BD78</f>
        <v>3</v>
      </c>
      <c r="J163" s="224">
        <f t="shared" si="36"/>
        <v>3</v>
      </c>
      <c r="K163" s="395">
        <f>'Project-Level Data'!Q78</f>
        <v>3</v>
      </c>
      <c r="L163" s="379">
        <f>'Project-Level Data'!BE78</f>
        <v>3</v>
      </c>
      <c r="M163" s="224">
        <f t="shared" si="37"/>
        <v>3</v>
      </c>
    </row>
    <row r="164" spans="2:13" hidden="1" x14ac:dyDescent="0.25">
      <c r="B164" s="227" t="str">
        <f>'Project-Level Data'!B80</f>
        <v>Ray Stoyer WRF - Landscape, Irrigation, Dust Control</v>
      </c>
      <c r="C164" s="475" t="str">
        <f>'Project-Level Data'!C80</f>
        <v>Recycled Water</v>
      </c>
      <c r="D164" s="477"/>
      <c r="E164" s="395">
        <f>'Project-Level Data'!J80</f>
        <v>3</v>
      </c>
      <c r="F164" s="379">
        <f>'Project-Level Data'!BJ80</f>
        <v>3</v>
      </c>
      <c r="G164" s="224">
        <f t="shared" si="35"/>
        <v>3</v>
      </c>
      <c r="H164" s="395">
        <f>'Project-Level Data'!P80</f>
        <v>3</v>
      </c>
      <c r="I164" s="379">
        <f>'Project-Level Data'!BD80</f>
        <v>3</v>
      </c>
      <c r="J164" s="224">
        <f t="shared" si="36"/>
        <v>3</v>
      </c>
      <c r="K164" s="395">
        <f>'Project-Level Data'!Q80</f>
        <v>3</v>
      </c>
      <c r="L164" s="379">
        <f>'Project-Level Data'!BE80</f>
        <v>3</v>
      </c>
      <c r="M164" s="224">
        <f t="shared" si="37"/>
        <v>3</v>
      </c>
    </row>
    <row r="165" spans="2:13" ht="15" hidden="1" customHeight="1" x14ac:dyDescent="0.25">
      <c r="B165" s="227" t="str">
        <f>'Project-Level Data'!B86</f>
        <v>Safari Drought Response and Outreach</v>
      </c>
      <c r="C165" s="475" t="str">
        <f>'Project-Level Data'!C86</f>
        <v>Recycled Water</v>
      </c>
      <c r="D165" s="477"/>
      <c r="E165" s="395">
        <f>'Project-Level Data'!J86</f>
        <v>3</v>
      </c>
      <c r="F165" s="379" t="str">
        <f>'Project-Level Data'!BJ86</f>
        <v>No Response</v>
      </c>
      <c r="G165" s="224">
        <f t="shared" si="35"/>
        <v>3</v>
      </c>
      <c r="H165" s="395">
        <f>'Project-Level Data'!P86</f>
        <v>3</v>
      </c>
      <c r="I165" s="379" t="str">
        <f>'Project-Level Data'!BD86</f>
        <v>No Response</v>
      </c>
      <c r="J165" s="224">
        <f t="shared" si="36"/>
        <v>3</v>
      </c>
      <c r="K165" s="395">
        <f>'Project-Level Data'!Q86</f>
        <v>3</v>
      </c>
      <c r="L165" s="379" t="str">
        <f>'Project-Level Data'!BE86</f>
        <v>No Response</v>
      </c>
      <c r="M165" s="224">
        <f t="shared" si="37"/>
        <v>3</v>
      </c>
    </row>
    <row r="166" spans="2:13" hidden="1" x14ac:dyDescent="0.25">
      <c r="B166" s="227" t="str">
        <f>'Project-Level Data'!B102</f>
        <v>Santa Maria WRP</v>
      </c>
      <c r="C166" s="475" t="str">
        <f>'Project-Level Data'!C102</f>
        <v>Recycled Water</v>
      </c>
      <c r="D166" s="477"/>
      <c r="E166" s="395">
        <f>'Project-Level Data'!J102</f>
        <v>3</v>
      </c>
      <c r="F166" s="379" t="str">
        <f>'Project-Level Data'!BJ102</f>
        <v>No Response</v>
      </c>
      <c r="G166" s="224">
        <f t="shared" si="35"/>
        <v>3</v>
      </c>
      <c r="H166" s="395">
        <f>'Project-Level Data'!P102</f>
        <v>3</v>
      </c>
      <c r="I166" s="379" t="str">
        <f>'Project-Level Data'!BD102</f>
        <v>No Response</v>
      </c>
      <c r="J166" s="224">
        <f t="shared" si="36"/>
        <v>3</v>
      </c>
      <c r="K166" s="395">
        <f>'Project-Level Data'!Q102</f>
        <v>3</v>
      </c>
      <c r="L166" s="379" t="str">
        <f>'Project-Level Data'!BE102</f>
        <v>No Response</v>
      </c>
      <c r="M166" s="224">
        <f t="shared" si="37"/>
        <v>3</v>
      </c>
    </row>
    <row r="167" spans="2:13" hidden="1" x14ac:dyDescent="0.25">
      <c r="B167" s="227" t="str">
        <f>'Project-Level Data'!B105</f>
        <v>Shadowridge WRP</v>
      </c>
      <c r="C167" s="475" t="str">
        <f>'Project-Level Data'!C105</f>
        <v>Recycled Water</v>
      </c>
      <c r="D167" s="477"/>
      <c r="E167" s="395">
        <f>'Project-Level Data'!J105</f>
        <v>3</v>
      </c>
      <c r="F167" s="379" t="str">
        <f>'Project-Level Data'!BJ105</f>
        <v>No Response</v>
      </c>
      <c r="G167" s="224">
        <f t="shared" si="35"/>
        <v>3</v>
      </c>
      <c r="H167" s="395">
        <f>'Project-Level Data'!P105</f>
        <v>3</v>
      </c>
      <c r="I167" s="379" t="str">
        <f>'Project-Level Data'!BD105</f>
        <v>No Response</v>
      </c>
      <c r="J167" s="224">
        <f t="shared" si="36"/>
        <v>3</v>
      </c>
      <c r="K167" s="395">
        <f>'Project-Level Data'!Q105</f>
        <v>3</v>
      </c>
      <c r="L167" s="379" t="str">
        <f>'Project-Level Data'!BE105</f>
        <v>No Response</v>
      </c>
      <c r="M167" s="224">
        <f t="shared" si="37"/>
        <v>3</v>
      </c>
    </row>
    <row r="168" spans="2:13" ht="25.5" hidden="1" x14ac:dyDescent="0.25">
      <c r="B168" s="227" t="str">
        <f>'Project-Level Data'!B118</f>
        <v>TBD - Evaluation Multiple Options/TBD - Supply/ Source Treatment Plant/Agency for recycled water</v>
      </c>
      <c r="C168" s="475" t="str">
        <f>'Project-Level Data'!C118</f>
        <v>Recycled Water</v>
      </c>
      <c r="D168" s="477"/>
      <c r="E168" s="395">
        <f>'Project-Level Data'!J118</f>
        <v>3</v>
      </c>
      <c r="F168" s="379">
        <f>'Project-Level Data'!BJ118</f>
        <v>3</v>
      </c>
      <c r="G168" s="224">
        <f t="shared" si="35"/>
        <v>3</v>
      </c>
      <c r="H168" s="395">
        <f>'Project-Level Data'!P118</f>
        <v>3</v>
      </c>
      <c r="I168" s="379">
        <f>'Project-Level Data'!BD118</f>
        <v>3</v>
      </c>
      <c r="J168" s="224">
        <f t="shared" si="36"/>
        <v>3</v>
      </c>
      <c r="K168" s="395">
        <f>'Project-Level Data'!Q118</f>
        <v>3</v>
      </c>
      <c r="L168" s="379">
        <f>'Project-Level Data'!BE118</f>
        <v>3</v>
      </c>
      <c r="M168" s="224">
        <f t="shared" si="37"/>
        <v>3</v>
      </c>
    </row>
    <row r="169" spans="2:13" hidden="1" x14ac:dyDescent="0.25">
      <c r="B169" s="227" t="str">
        <f>'Project-Level Data'!B122</f>
        <v>Village Park Recycled Water Expansion Project</v>
      </c>
      <c r="C169" s="475" t="str">
        <f>'Project-Level Data'!C122</f>
        <v>Recycled Water</v>
      </c>
      <c r="D169" s="477"/>
      <c r="E169" s="395">
        <f>'Project-Level Data'!J122</f>
        <v>3</v>
      </c>
      <c r="F169" s="379">
        <f>'Project-Level Data'!BJ122</f>
        <v>3</v>
      </c>
      <c r="G169" s="224">
        <f t="shared" si="35"/>
        <v>3</v>
      </c>
      <c r="H169" s="395">
        <f>'Project-Level Data'!P122</f>
        <v>3</v>
      </c>
      <c r="I169" s="379">
        <f>'Project-Level Data'!BD122</f>
        <v>3</v>
      </c>
      <c r="J169" s="224">
        <f t="shared" si="36"/>
        <v>3</v>
      </c>
      <c r="K169" s="395">
        <f>'Project-Level Data'!Q122</f>
        <v>3</v>
      </c>
      <c r="L169" s="379">
        <f>'Project-Level Data'!BE122</f>
        <v>3</v>
      </c>
      <c r="M169" s="224">
        <f t="shared" si="37"/>
        <v>3</v>
      </c>
    </row>
    <row r="170" spans="2:13" hidden="1" x14ac:dyDescent="0.25">
      <c r="B170" s="227" t="str">
        <f>'Project-Level Data'!B123</f>
        <v>W+157:181RP/Recycled Water Distribution System</v>
      </c>
      <c r="C170" s="475" t="str">
        <f>'Project-Level Data'!C123</f>
        <v>Recycled Water</v>
      </c>
      <c r="D170" s="477"/>
      <c r="E170" s="395">
        <f>'Project-Level Data'!J123</f>
        <v>3</v>
      </c>
      <c r="F170" s="379" t="str">
        <f>'Project-Level Data'!BJ123</f>
        <v>No Response</v>
      </c>
      <c r="G170" s="224">
        <f t="shared" si="35"/>
        <v>3</v>
      </c>
      <c r="H170" s="395">
        <f>'Project-Level Data'!P123</f>
        <v>3</v>
      </c>
      <c r="I170" s="379" t="str">
        <f>'Project-Level Data'!BD123</f>
        <v>No Response</v>
      </c>
      <c r="J170" s="224">
        <f t="shared" si="36"/>
        <v>3</v>
      </c>
      <c r="K170" s="395">
        <f>'Project-Level Data'!Q123</f>
        <v>3</v>
      </c>
      <c r="L170" s="379" t="str">
        <f>'Project-Level Data'!BE123</f>
        <v>No Response</v>
      </c>
      <c r="M170" s="224">
        <f t="shared" si="37"/>
        <v>3</v>
      </c>
    </row>
    <row r="171" spans="2:13" hidden="1" x14ac:dyDescent="0.25">
      <c r="B171" s="227" t="str">
        <f>'Project-Level Data'!B124</f>
        <v>Welk WRF</v>
      </c>
      <c r="C171" s="475" t="str">
        <f>'Project-Level Data'!C124</f>
        <v>Recycled Water</v>
      </c>
      <c r="D171" s="477"/>
      <c r="E171" s="395">
        <f>'Project-Level Data'!J124</f>
        <v>3</v>
      </c>
      <c r="F171" s="379" t="str">
        <f>'Project-Level Data'!BJ124</f>
        <v>No Response</v>
      </c>
      <c r="G171" s="224">
        <f t="shared" si="35"/>
        <v>3</v>
      </c>
      <c r="H171" s="395">
        <f>'Project-Level Data'!P124</f>
        <v>3</v>
      </c>
      <c r="I171" s="379" t="str">
        <f>'Project-Level Data'!BD124</f>
        <v>No Response</v>
      </c>
      <c r="J171" s="224">
        <f t="shared" si="36"/>
        <v>3</v>
      </c>
      <c r="K171" s="395">
        <f>'Project-Level Data'!Q124</f>
        <v>3</v>
      </c>
      <c r="L171" s="379" t="str">
        <f>'Project-Level Data'!BE124</f>
        <v>No Response</v>
      </c>
      <c r="M171" s="224">
        <f t="shared" si="37"/>
        <v>3</v>
      </c>
    </row>
    <row r="172" spans="2:13" hidden="1" x14ac:dyDescent="0.25">
      <c r="B172" s="227" t="str">
        <f>'Project-Level Data'!B125</f>
        <v>Woods Valley Ranch WRF Phase 3</v>
      </c>
      <c r="C172" s="475" t="str">
        <f>'Project-Level Data'!C125</f>
        <v>Recycled Water</v>
      </c>
      <c r="D172" s="477"/>
      <c r="E172" s="395">
        <f>'Project-Level Data'!J125</f>
        <v>3</v>
      </c>
      <c r="F172" s="379" t="str">
        <f>'Project-Level Data'!BJ125</f>
        <v>No Response</v>
      </c>
      <c r="G172" s="224">
        <f t="shared" si="35"/>
        <v>3</v>
      </c>
      <c r="H172" s="395">
        <f>'Project-Level Data'!P125</f>
        <v>3</v>
      </c>
      <c r="I172" s="379" t="str">
        <f>'Project-Level Data'!BD125</f>
        <v>No Response</v>
      </c>
      <c r="J172" s="224">
        <f t="shared" si="36"/>
        <v>3</v>
      </c>
      <c r="K172" s="395">
        <f>'Project-Level Data'!Q125</f>
        <v>3</v>
      </c>
      <c r="L172" s="379" t="str">
        <f>'Project-Level Data'!BE125</f>
        <v>No Response</v>
      </c>
      <c r="M172" s="224">
        <f t="shared" si="37"/>
        <v>3</v>
      </c>
    </row>
    <row r="173" spans="2:13" hidden="1" x14ac:dyDescent="0.25">
      <c r="B173" s="227" t="str">
        <f>'Project-Level Data'!B15</f>
        <v>Camp Pendleton Desalination Facility</v>
      </c>
      <c r="C173" s="475" t="str">
        <f>'Project-Level Data'!C15</f>
        <v>Seawater Desalination</v>
      </c>
      <c r="D173" s="477"/>
      <c r="E173" s="395">
        <f>'Project-Level Data'!J15</f>
        <v>3</v>
      </c>
      <c r="F173" s="379">
        <f>'Project-Level Data'!BJ15</f>
        <v>3</v>
      </c>
      <c r="G173" s="224">
        <f t="shared" si="35"/>
        <v>3</v>
      </c>
      <c r="H173" s="395">
        <f>'Project-Level Data'!P15</f>
        <v>3</v>
      </c>
      <c r="I173" s="379">
        <f>'Project-Level Data'!BD15</f>
        <v>3</v>
      </c>
      <c r="J173" s="224">
        <f t="shared" si="36"/>
        <v>3</v>
      </c>
      <c r="K173" s="395">
        <f>'Project-Level Data'!Q15</f>
        <v>3</v>
      </c>
      <c r="L173" s="379">
        <f>'Project-Level Data'!BE15</f>
        <v>3</v>
      </c>
      <c r="M173" s="224">
        <f t="shared" si="37"/>
        <v>3</v>
      </c>
    </row>
    <row r="174" spans="2:13" ht="15" hidden="1" customHeight="1" x14ac:dyDescent="0.25">
      <c r="B174" s="227" t="str">
        <f>'Project-Level Data'!B83</f>
        <v>Re-rating of Carlsbad Desalination for higher flow</v>
      </c>
      <c r="C174" s="475" t="str">
        <f>'Project-Level Data'!C83</f>
        <v>Seawater Desalination</v>
      </c>
      <c r="D174" s="477"/>
      <c r="E174" s="395">
        <f>'Project-Level Data'!J83</f>
        <v>3</v>
      </c>
      <c r="F174" s="379" t="str">
        <f>'Project-Level Data'!BJ83</f>
        <v>No Response</v>
      </c>
      <c r="G174" s="224">
        <f t="shared" si="35"/>
        <v>3</v>
      </c>
      <c r="H174" s="395">
        <f>'Project-Level Data'!P83</f>
        <v>3</v>
      </c>
      <c r="I174" s="379" t="str">
        <f>'Project-Level Data'!BD83</f>
        <v>No Response</v>
      </c>
      <c r="J174" s="224">
        <f t="shared" si="36"/>
        <v>3</v>
      </c>
      <c r="K174" s="395">
        <f>'Project-Level Data'!Q83</f>
        <v>3</v>
      </c>
      <c r="L174" s="379" t="str">
        <f>'Project-Level Data'!BE83</f>
        <v>No Response</v>
      </c>
      <c r="M174" s="224">
        <f t="shared" si="37"/>
        <v>3</v>
      </c>
    </row>
    <row r="175" spans="2:13" ht="15" hidden="1" customHeight="1" x14ac:dyDescent="0.25">
      <c r="B175" s="227" t="str">
        <f>'Project-Level Data'!B85</f>
        <v>Rosarito Beach Desalination</v>
      </c>
      <c r="C175" s="475" t="str">
        <f>'Project-Level Data'!C85</f>
        <v>Seawater Desalination</v>
      </c>
      <c r="D175" s="477"/>
      <c r="E175" s="395" t="str">
        <f>'Project-Level Data'!J85</f>
        <v>NOT MAPPED</v>
      </c>
      <c r="F175" s="379">
        <f>'Project-Level Data'!BJ85</f>
        <v>3</v>
      </c>
      <c r="G175" s="224">
        <f t="shared" si="35"/>
        <v>3</v>
      </c>
      <c r="H175" s="395" t="str">
        <f>'Project-Level Data'!P85</f>
        <v>NOT MAPPED</v>
      </c>
      <c r="I175" s="379">
        <f>'Project-Level Data'!BD85</f>
        <v>3</v>
      </c>
      <c r="J175" s="224">
        <f t="shared" si="36"/>
        <v>3</v>
      </c>
      <c r="K175" s="395" t="str">
        <f>'Project-Level Data'!Q85</f>
        <v>NOT MAPPED</v>
      </c>
      <c r="L175" s="379">
        <f>'Project-Level Data'!BE85</f>
        <v>3</v>
      </c>
      <c r="M175" s="224">
        <f t="shared" si="37"/>
        <v>3</v>
      </c>
    </row>
    <row r="176" spans="2:13" ht="38.25" hidden="1" x14ac:dyDescent="0.25">
      <c r="B176" s="227" t="str">
        <f>'Project-Level Data'!B9</f>
        <v>Alternative Compliance Retrofit Project El Norte Parkway and Rincon
Villa Drive, Escondido</v>
      </c>
      <c r="C176" s="475" t="str">
        <f>'Project-Level Data'!C9</f>
        <v>Stormwater BMPs</v>
      </c>
      <c r="D176" s="477"/>
      <c r="E176" s="395">
        <f>'Project-Level Data'!J9</f>
        <v>3</v>
      </c>
      <c r="F176" s="379" t="str">
        <f>'Project-Level Data'!BJ9</f>
        <v>No Response</v>
      </c>
      <c r="G176" s="224">
        <f t="shared" ref="G176:G207" si="38">IF(F176=3,3,IF(E176=3,3,IF(ISERROR(F176*E176),"NA",IF(AND(F176=1,E176=1),1,IF(AND(F176=1,E176=2),2,IF(AND(F176=5,E176=2),4,IF(AND(F176=5,E176=1),5)))))))</f>
        <v>3</v>
      </c>
      <c r="H176" s="395">
        <f>'Project-Level Data'!P9</f>
        <v>3</v>
      </c>
      <c r="I176" s="379" t="str">
        <f>'Project-Level Data'!BD9</f>
        <v>No Response</v>
      </c>
      <c r="J176" s="224">
        <f t="shared" ref="J176:J207" si="39">IF(I176=3,3,IF(H176=3,3,IF(ISERROR(I176*H176),"NA",IF(AND(I176=1,H176=1),1,IF(AND(I176=1,H176=2),2,IF(AND(I176=5,H176=2),4,IF(AND(I176=5,H176=1),5)))))))</f>
        <v>3</v>
      </c>
      <c r="K176" s="395">
        <f>'Project-Level Data'!Q9</f>
        <v>2</v>
      </c>
      <c r="L176" s="379" t="str">
        <f>'Project-Level Data'!BE9</f>
        <v>No Response</v>
      </c>
      <c r="M176" s="224" t="str">
        <f t="shared" ref="M176:M207" si="40">IF(L176=3,3,IF(K176=3,3,IF(ISERROR(L176*K176),"NA",IF(AND(L176=1,K176=1),1,IF(AND(L176=1,K176=2),2,IF(AND(L176=5,K176=2),4,IF(AND(L176=5,K176=1),5)))))))</f>
        <v>NA</v>
      </c>
    </row>
    <row r="177" spans="2:13" ht="15" hidden="1" customHeight="1" x14ac:dyDescent="0.25">
      <c r="B177" s="227" t="str">
        <f>'Project-Level Data'!B10</f>
        <v>Alternative Compliance Retrofit Project Mountain View Park, Escondido</v>
      </c>
      <c r="C177" s="475" t="str">
        <f>'Project-Level Data'!C10</f>
        <v>Stormwater BMPs</v>
      </c>
      <c r="D177" s="477"/>
      <c r="E177" s="395">
        <f>'Project-Level Data'!J10</f>
        <v>3</v>
      </c>
      <c r="F177" s="379" t="str">
        <f>'Project-Level Data'!BJ10</f>
        <v>No Response</v>
      </c>
      <c r="G177" s="224">
        <f t="shared" si="38"/>
        <v>3</v>
      </c>
      <c r="H177" s="395">
        <f>'Project-Level Data'!P10</f>
        <v>1</v>
      </c>
      <c r="I177" s="379" t="str">
        <f>'Project-Level Data'!BD10</f>
        <v>No Response</v>
      </c>
      <c r="J177" s="224" t="str">
        <f t="shared" si="39"/>
        <v>NA</v>
      </c>
      <c r="K177" s="395">
        <f>'Project-Level Data'!Q10</f>
        <v>2</v>
      </c>
      <c r="L177" s="379" t="str">
        <f>'Project-Level Data'!BE10</f>
        <v>No Response</v>
      </c>
      <c r="M177" s="224" t="str">
        <f t="shared" si="40"/>
        <v>NA</v>
      </c>
    </row>
    <row r="178" spans="2:13" hidden="1" x14ac:dyDescent="0.25">
      <c r="B178" s="227" t="str">
        <f>'Project-Level Data'!B11</f>
        <v>Bakersfield Street and San Altos Channel Restoration</v>
      </c>
      <c r="C178" s="475" t="str">
        <f>'Project-Level Data'!C11</f>
        <v>Stormwater BMPs</v>
      </c>
      <c r="D178" s="477"/>
      <c r="E178" s="395">
        <f>'Project-Level Data'!J11</f>
        <v>3</v>
      </c>
      <c r="F178" s="379">
        <f>'Project-Level Data'!BJ11</f>
        <v>5</v>
      </c>
      <c r="G178" s="224">
        <f t="shared" si="38"/>
        <v>3</v>
      </c>
      <c r="H178" s="395">
        <f>'Project-Level Data'!P11</f>
        <v>3</v>
      </c>
      <c r="I178" s="379">
        <f>'Project-Level Data'!BD11</f>
        <v>5</v>
      </c>
      <c r="J178" s="224">
        <f t="shared" si="39"/>
        <v>3</v>
      </c>
      <c r="K178" s="395">
        <f>'Project-Level Data'!Q11</f>
        <v>2</v>
      </c>
      <c r="L178" s="379">
        <f>'Project-Level Data'!BE11</f>
        <v>5</v>
      </c>
      <c r="M178" s="224">
        <f t="shared" si="40"/>
        <v>4</v>
      </c>
    </row>
    <row r="179" spans="2:13" ht="38.25" hidden="1" x14ac:dyDescent="0.25">
      <c r="B179" s="227" t="str">
        <f>'Project-Level Data'!B12</f>
        <v>Broadway Channel Flood Risk Reduction and Water Quality
Improvements</v>
      </c>
      <c r="C179" s="475" t="str">
        <f>'Project-Level Data'!C12</f>
        <v>Stormwater BMPs</v>
      </c>
      <c r="D179" s="477"/>
      <c r="E179" s="395">
        <f>'Project-Level Data'!J12</f>
        <v>1</v>
      </c>
      <c r="F179" s="379">
        <f>'Project-Level Data'!BJ12</f>
        <v>5</v>
      </c>
      <c r="G179" s="224">
        <f t="shared" si="38"/>
        <v>5</v>
      </c>
      <c r="H179" s="395">
        <f>'Project-Level Data'!P12</f>
        <v>3</v>
      </c>
      <c r="I179" s="379">
        <f>'Project-Level Data'!BD12</f>
        <v>5</v>
      </c>
      <c r="J179" s="224">
        <f t="shared" si="39"/>
        <v>3</v>
      </c>
      <c r="K179" s="395">
        <f>'Project-Level Data'!Q12</f>
        <v>2</v>
      </c>
      <c r="L179" s="379">
        <f>'Project-Level Data'!BE12</f>
        <v>5</v>
      </c>
      <c r="M179" s="224">
        <f t="shared" si="40"/>
        <v>4</v>
      </c>
    </row>
    <row r="180" spans="2:13" hidden="1" x14ac:dyDescent="0.25">
      <c r="B180" s="227" t="str">
        <f>'Project-Level Data'!B20</f>
        <v>City of Oceanside Loma Alta Slough Restoration Project</v>
      </c>
      <c r="C180" s="475" t="str">
        <f>'Project-Level Data'!C20</f>
        <v>Stormwater BMPs</v>
      </c>
      <c r="D180" s="477"/>
      <c r="E180" s="395">
        <f>'Project-Level Data'!J20</f>
        <v>2</v>
      </c>
      <c r="F180" s="379" t="str">
        <f>'Project-Level Data'!BJ20</f>
        <v>No Response</v>
      </c>
      <c r="G180" s="224" t="str">
        <f t="shared" si="38"/>
        <v>NA</v>
      </c>
      <c r="H180" s="395">
        <f>'Project-Level Data'!P20</f>
        <v>3</v>
      </c>
      <c r="I180" s="379" t="str">
        <f>'Project-Level Data'!BD20</f>
        <v>No Response</v>
      </c>
      <c r="J180" s="224">
        <f t="shared" si="39"/>
        <v>3</v>
      </c>
      <c r="K180" s="395">
        <f>'Project-Level Data'!Q20</f>
        <v>1</v>
      </c>
      <c r="L180" s="379" t="str">
        <f>'Project-Level Data'!BE20</f>
        <v>No Response</v>
      </c>
      <c r="M180" s="224" t="str">
        <f t="shared" si="40"/>
        <v>NA</v>
      </c>
    </row>
    <row r="181" spans="2:13" hidden="1" x14ac:dyDescent="0.25">
      <c r="B181" s="227" t="str">
        <f>'Project-Level Data'!B32</f>
        <v>Golden Ave Green Street</v>
      </c>
      <c r="C181" s="475" t="str">
        <f>'Project-Level Data'!C32</f>
        <v>Stormwater BMPs</v>
      </c>
      <c r="D181" s="477"/>
      <c r="E181" s="395">
        <f>'Project-Level Data'!J32</f>
        <v>3</v>
      </c>
      <c r="F181" s="379">
        <f>'Project-Level Data'!BJ32</f>
        <v>3</v>
      </c>
      <c r="G181" s="224">
        <f t="shared" si="38"/>
        <v>3</v>
      </c>
      <c r="H181" s="395">
        <f>'Project-Level Data'!P32</f>
        <v>3</v>
      </c>
      <c r="I181" s="379">
        <f>'Project-Level Data'!BD32</f>
        <v>3</v>
      </c>
      <c r="J181" s="224">
        <f t="shared" si="39"/>
        <v>3</v>
      </c>
      <c r="K181" s="395">
        <f>'Project-Level Data'!Q32</f>
        <v>2</v>
      </c>
      <c r="L181" s="379">
        <f>'Project-Level Data'!BE32</f>
        <v>3</v>
      </c>
      <c r="M181" s="224">
        <f t="shared" si="40"/>
        <v>3</v>
      </c>
    </row>
    <row r="182" spans="2:13" hidden="1" x14ac:dyDescent="0.25">
      <c r="B182" s="227" t="str">
        <f>'Project-Level Data'!B39</f>
        <v>Las Colinas Channel Improvments</v>
      </c>
      <c r="C182" s="475" t="str">
        <f>'Project-Level Data'!C39</f>
        <v>Stormwater BMPs</v>
      </c>
      <c r="D182" s="477"/>
      <c r="E182" s="395">
        <f>'Project-Level Data'!J39</f>
        <v>3</v>
      </c>
      <c r="F182" s="379">
        <f>'Project-Level Data'!BJ39</f>
        <v>5</v>
      </c>
      <c r="G182" s="224">
        <f t="shared" si="38"/>
        <v>3</v>
      </c>
      <c r="H182" s="395">
        <f>'Project-Level Data'!P39</f>
        <v>1</v>
      </c>
      <c r="I182" s="379">
        <f>'Project-Level Data'!BD39</f>
        <v>5</v>
      </c>
      <c r="J182" s="224">
        <f t="shared" si="39"/>
        <v>5</v>
      </c>
      <c r="K182" s="395">
        <f>'Project-Level Data'!Q39</f>
        <v>2</v>
      </c>
      <c r="L182" s="379">
        <f>'Project-Level Data'!BE39</f>
        <v>5</v>
      </c>
      <c r="M182" s="224">
        <f t="shared" si="40"/>
        <v>4</v>
      </c>
    </row>
    <row r="183" spans="2:13" hidden="1" x14ac:dyDescent="0.25">
      <c r="B183" s="227" t="str">
        <f>'Project-Level Data'!B40</f>
        <v>Lemon Grove Avenue Green Streets</v>
      </c>
      <c r="C183" s="475" t="str">
        <f>'Project-Level Data'!C40</f>
        <v>Stormwater BMPs</v>
      </c>
      <c r="D183" s="477"/>
      <c r="E183" s="395">
        <f>'Project-Level Data'!J40</f>
        <v>3</v>
      </c>
      <c r="F183" s="379">
        <f>'Project-Level Data'!BJ40</f>
        <v>3</v>
      </c>
      <c r="G183" s="224">
        <f t="shared" si="38"/>
        <v>3</v>
      </c>
      <c r="H183" s="395">
        <f>'Project-Level Data'!P40</f>
        <v>3</v>
      </c>
      <c r="I183" s="379">
        <f>'Project-Level Data'!BD40</f>
        <v>3</v>
      </c>
      <c r="J183" s="224">
        <f t="shared" si="39"/>
        <v>3</v>
      </c>
      <c r="K183" s="395">
        <f>'Project-Level Data'!Q40</f>
        <v>2</v>
      </c>
      <c r="L183" s="379">
        <f>'Project-Level Data'!BE40</f>
        <v>3</v>
      </c>
      <c r="M183" s="224">
        <f t="shared" si="40"/>
        <v>3</v>
      </c>
    </row>
    <row r="184" spans="2:13" ht="25.5" hidden="1" x14ac:dyDescent="0.25">
      <c r="B184" s="227" t="str">
        <f>'Project-Level Data'!B41</f>
        <v>Leucadia Roadside Park Stormwater Capture/Reuse Project</v>
      </c>
      <c r="C184" s="475" t="str">
        <f>'Project-Level Data'!C41</f>
        <v>Stormwater BMPs</v>
      </c>
      <c r="D184" s="477"/>
      <c r="E184" s="395">
        <f>'Project-Level Data'!J41</f>
        <v>3</v>
      </c>
      <c r="F184" s="379">
        <f>'Project-Level Data'!BJ41</f>
        <v>3</v>
      </c>
      <c r="G184" s="224">
        <f t="shared" si="38"/>
        <v>3</v>
      </c>
      <c r="H184" s="395">
        <f>'Project-Level Data'!P41</f>
        <v>3</v>
      </c>
      <c r="I184" s="379">
        <f>'Project-Level Data'!BD41</f>
        <v>3</v>
      </c>
      <c r="J184" s="224">
        <f t="shared" si="39"/>
        <v>3</v>
      </c>
      <c r="K184" s="395">
        <f>'Project-Level Data'!Q41</f>
        <v>2</v>
      </c>
      <c r="L184" s="379">
        <f>'Project-Level Data'!BE41</f>
        <v>3</v>
      </c>
      <c r="M184" s="224">
        <f t="shared" si="40"/>
        <v>3</v>
      </c>
    </row>
    <row r="185" spans="2:13" hidden="1" x14ac:dyDescent="0.25">
      <c r="B185" s="227" t="str">
        <f>'Project-Level Data'!B43</f>
        <v>Lincoln St Green Street</v>
      </c>
      <c r="C185" s="475" t="str">
        <f>'Project-Level Data'!C43</f>
        <v>Stormwater BMPs</v>
      </c>
      <c r="D185" s="477"/>
      <c r="E185" s="395">
        <f>'Project-Level Data'!J43</f>
        <v>3</v>
      </c>
      <c r="F185" s="379">
        <f>'Project-Level Data'!BJ43</f>
        <v>3</v>
      </c>
      <c r="G185" s="224">
        <f t="shared" si="38"/>
        <v>3</v>
      </c>
      <c r="H185" s="395">
        <f>'Project-Level Data'!P43</f>
        <v>3</v>
      </c>
      <c r="I185" s="379">
        <f>'Project-Level Data'!BD43</f>
        <v>3</v>
      </c>
      <c r="J185" s="224">
        <f t="shared" si="39"/>
        <v>3</v>
      </c>
      <c r="K185" s="395">
        <f>'Project-Level Data'!Q43</f>
        <v>2</v>
      </c>
      <c r="L185" s="379">
        <f>'Project-Level Data'!BE43</f>
        <v>3</v>
      </c>
      <c r="M185" s="224">
        <f t="shared" si="40"/>
        <v>3</v>
      </c>
    </row>
    <row r="186" spans="2:13" ht="15" hidden="1" customHeight="1" x14ac:dyDescent="0.25">
      <c r="B186" s="227" t="str">
        <f>'Project-Level Data'!B44</f>
        <v xml:space="preserve">Low Impact Development Urban Runoff Control Projects for the Tijuana Estuary </v>
      </c>
      <c r="C186" s="475" t="str">
        <f>'Project-Level Data'!C44</f>
        <v>Stormwater BMPs</v>
      </c>
      <c r="D186" s="477"/>
      <c r="E186" s="395">
        <f>'Project-Level Data'!J44</f>
        <v>1</v>
      </c>
      <c r="F186" s="379">
        <f>'Project-Level Data'!BJ44</f>
        <v>5</v>
      </c>
      <c r="G186" s="224">
        <f t="shared" si="38"/>
        <v>5</v>
      </c>
      <c r="H186" s="395">
        <f>'Project-Level Data'!P44</f>
        <v>3</v>
      </c>
      <c r="I186" s="379">
        <f>'Project-Level Data'!BD44</f>
        <v>5</v>
      </c>
      <c r="J186" s="224">
        <f t="shared" si="39"/>
        <v>3</v>
      </c>
      <c r="K186" s="395">
        <f>'Project-Level Data'!Q44</f>
        <v>1</v>
      </c>
      <c r="L186" s="379">
        <f>'Project-Level Data'!BE44</f>
        <v>3</v>
      </c>
      <c r="M186" s="224">
        <f t="shared" si="40"/>
        <v>3</v>
      </c>
    </row>
    <row r="187" spans="2:13" ht="15" hidden="1" customHeight="1" x14ac:dyDescent="0.25">
      <c r="B187" s="227" t="str">
        <f>'Project-Level Data'!B46</f>
        <v>Madera St Green Street</v>
      </c>
      <c r="C187" s="475" t="str">
        <f>'Project-Level Data'!C46</f>
        <v>Stormwater BMPs</v>
      </c>
      <c r="D187" s="477"/>
      <c r="E187" s="395">
        <f>'Project-Level Data'!J46</f>
        <v>3</v>
      </c>
      <c r="F187" s="379">
        <f>'Project-Level Data'!BJ46</f>
        <v>3</v>
      </c>
      <c r="G187" s="224">
        <f t="shared" si="38"/>
        <v>3</v>
      </c>
      <c r="H187" s="395">
        <f>'Project-Level Data'!P46</f>
        <v>3</v>
      </c>
      <c r="I187" s="379">
        <f>'Project-Level Data'!BD46</f>
        <v>3</v>
      </c>
      <c r="J187" s="224">
        <f t="shared" si="39"/>
        <v>3</v>
      </c>
      <c r="K187" s="395">
        <f>'Project-Level Data'!Q46</f>
        <v>2</v>
      </c>
      <c r="L187" s="379">
        <f>'Project-Level Data'!BE46</f>
        <v>3</v>
      </c>
      <c r="M187" s="224">
        <f t="shared" si="40"/>
        <v>3</v>
      </c>
    </row>
    <row r="188" spans="2:13" hidden="1" x14ac:dyDescent="0.25">
      <c r="B188" s="227" t="str">
        <f>'Project-Level Data'!B47</f>
        <v>Main Street Promenade Extension</v>
      </c>
      <c r="C188" s="475" t="str">
        <f>'Project-Level Data'!C47</f>
        <v>Stormwater BMPs</v>
      </c>
      <c r="D188" s="477"/>
      <c r="E188" s="395">
        <f>'Project-Level Data'!J47</f>
        <v>3</v>
      </c>
      <c r="F188" s="379">
        <f>'Project-Level Data'!BJ47</f>
        <v>3</v>
      </c>
      <c r="G188" s="224">
        <f t="shared" si="38"/>
        <v>3</v>
      </c>
      <c r="H188" s="395">
        <f>'Project-Level Data'!P47</f>
        <v>3</v>
      </c>
      <c r="I188" s="379">
        <f>'Project-Level Data'!BD47</f>
        <v>3</v>
      </c>
      <c r="J188" s="224">
        <f t="shared" si="39"/>
        <v>3</v>
      </c>
      <c r="K188" s="395">
        <f>'Project-Level Data'!Q47</f>
        <v>2</v>
      </c>
      <c r="L188" s="379">
        <f>'Project-Level Data'!BE47</f>
        <v>3</v>
      </c>
      <c r="M188" s="224">
        <f t="shared" si="40"/>
        <v>3</v>
      </c>
    </row>
    <row r="189" spans="2:13" ht="15" hidden="1" customHeight="1" x14ac:dyDescent="0.25">
      <c r="B189" s="227" t="str">
        <f>'Project-Level Data'!B48</f>
        <v>Mapleview Street ‐ Green Infrastructure and Stormwater QualityImprovement Project</v>
      </c>
      <c r="C189" s="475" t="str">
        <f>'Project-Level Data'!C48</f>
        <v>Stormwater BMPs</v>
      </c>
      <c r="D189" s="477"/>
      <c r="E189" s="395">
        <f>'Project-Level Data'!J48</f>
        <v>1</v>
      </c>
      <c r="F189" s="379">
        <f>'Project-Level Data'!BJ48</f>
        <v>3</v>
      </c>
      <c r="G189" s="224">
        <f t="shared" si="38"/>
        <v>3</v>
      </c>
      <c r="H189" s="395">
        <f>'Project-Level Data'!P48</f>
        <v>3</v>
      </c>
      <c r="I189" s="379">
        <f>'Project-Level Data'!BD48</f>
        <v>3</v>
      </c>
      <c r="J189" s="224">
        <f t="shared" si="39"/>
        <v>3</v>
      </c>
      <c r="K189" s="395">
        <f>'Project-Level Data'!Q48</f>
        <v>1</v>
      </c>
      <c r="L189" s="379">
        <f>'Project-Level Data'!BE48</f>
        <v>3</v>
      </c>
      <c r="M189" s="224">
        <f t="shared" si="40"/>
        <v>3</v>
      </c>
    </row>
    <row r="190" spans="2:13" ht="25.5" hidden="1" x14ac:dyDescent="0.25">
      <c r="B190" s="227" t="str">
        <f>'Project-Level Data'!B71</f>
        <v>Paradise Valley Creek Water Quality and Community Enhancement</v>
      </c>
      <c r="C190" s="475" t="str">
        <f>'Project-Level Data'!C71</f>
        <v>Stormwater BMPs</v>
      </c>
      <c r="D190" s="477"/>
      <c r="E190" s="395">
        <f>'Project-Level Data'!J71</f>
        <v>3</v>
      </c>
      <c r="F190" s="379">
        <f>'Project-Level Data'!BJ71</f>
        <v>5</v>
      </c>
      <c r="G190" s="224">
        <f t="shared" si="38"/>
        <v>3</v>
      </c>
      <c r="H190" s="395">
        <f>'Project-Level Data'!P71</f>
        <v>3</v>
      </c>
      <c r="I190" s="379">
        <f>'Project-Level Data'!BD71</f>
        <v>5</v>
      </c>
      <c r="J190" s="224">
        <f t="shared" si="39"/>
        <v>3</v>
      </c>
      <c r="K190" s="395">
        <f>'Project-Level Data'!Q71</f>
        <v>2</v>
      </c>
      <c r="L190" s="379">
        <f>'Project-Level Data'!BE71</f>
        <v>5</v>
      </c>
      <c r="M190" s="224">
        <f t="shared" si="40"/>
        <v>4</v>
      </c>
    </row>
    <row r="191" spans="2:13" ht="25.5" hidden="1" x14ac:dyDescent="0.25">
      <c r="B191" s="227" t="str">
        <f>'Project-Level Data'!B74</f>
        <v>Pure Water - Los Penasquitos Creek Urban Dry-Weather Water Harvesting</v>
      </c>
      <c r="C191" s="475" t="str">
        <f>'Project-Level Data'!C74</f>
        <v>Stormwater BMPs</v>
      </c>
      <c r="D191" s="477"/>
      <c r="E191" s="395">
        <f>'Project-Level Data'!J74</f>
        <v>1</v>
      </c>
      <c r="F191" s="379">
        <f>'Project-Level Data'!BJ74</f>
        <v>5</v>
      </c>
      <c r="G191" s="224">
        <f t="shared" si="38"/>
        <v>5</v>
      </c>
      <c r="H191" s="395">
        <f>'Project-Level Data'!P74</f>
        <v>1</v>
      </c>
      <c r="I191" s="379" t="str">
        <f>'Project-Level Data'!BD74</f>
        <v>MISSING</v>
      </c>
      <c r="J191" s="224" t="str">
        <f t="shared" si="39"/>
        <v>NA</v>
      </c>
      <c r="K191" s="395">
        <f>'Project-Level Data'!Q74</f>
        <v>2</v>
      </c>
      <c r="L191" s="379" t="str">
        <f>'Project-Level Data'!BE74</f>
        <v>MISSING</v>
      </c>
      <c r="M191" s="224" t="str">
        <f t="shared" si="40"/>
        <v>NA</v>
      </c>
    </row>
    <row r="192" spans="2:13" hidden="1" x14ac:dyDescent="0.25">
      <c r="B192" s="227" t="str">
        <f>'Project-Level Data'!B87</f>
        <v>Safari Park Storm Water Capture and Reuse Project</v>
      </c>
      <c r="C192" s="475" t="str">
        <f>'Project-Level Data'!C87</f>
        <v>Stormwater BMPs</v>
      </c>
      <c r="D192" s="477"/>
      <c r="E192" s="395">
        <f>'Project-Level Data'!J87</f>
        <v>3</v>
      </c>
      <c r="F192" s="379" t="str">
        <f>'Project-Level Data'!BJ87</f>
        <v>No Response</v>
      </c>
      <c r="G192" s="224">
        <f t="shared" si="38"/>
        <v>3</v>
      </c>
      <c r="H192" s="395">
        <f>'Project-Level Data'!P87</f>
        <v>3</v>
      </c>
      <c r="I192" s="379" t="str">
        <f>'Project-Level Data'!BD87</f>
        <v>No Response</v>
      </c>
      <c r="J192" s="224">
        <f t="shared" si="39"/>
        <v>3</v>
      </c>
      <c r="K192" s="395">
        <f>'Project-Level Data'!Q87</f>
        <v>1</v>
      </c>
      <c r="L192" s="379" t="str">
        <f>'Project-Level Data'!BE87</f>
        <v>No Response</v>
      </c>
      <c r="M192" s="224" t="str">
        <f t="shared" si="40"/>
        <v>NA</v>
      </c>
    </row>
    <row r="193" spans="2:13" ht="25.5" hidden="1" x14ac:dyDescent="0.25">
      <c r="B193" s="227" t="str">
        <f>'Project-Level Data'!B88</f>
        <v>Safari Park Water Reuse Sustainability and Watershed Protection Prgram</v>
      </c>
      <c r="C193" s="475" t="str">
        <f>'Project-Level Data'!C88</f>
        <v>Stormwater BMPs</v>
      </c>
      <c r="D193" s="477"/>
      <c r="E193" s="395">
        <f>'Project-Level Data'!J88</f>
        <v>3</v>
      </c>
      <c r="F193" s="379" t="str">
        <f>'Project-Level Data'!BJ88</f>
        <v>No Response</v>
      </c>
      <c r="G193" s="224">
        <f t="shared" si="38"/>
        <v>3</v>
      </c>
      <c r="H193" s="395">
        <f>'Project-Level Data'!P88</f>
        <v>3</v>
      </c>
      <c r="I193" s="379" t="str">
        <f>'Project-Level Data'!BD88</f>
        <v>No Response</v>
      </c>
      <c r="J193" s="224">
        <f t="shared" si="39"/>
        <v>3</v>
      </c>
      <c r="K193" s="395">
        <f>'Project-Level Data'!Q88</f>
        <v>1</v>
      </c>
      <c r="L193" s="379" t="str">
        <f>'Project-Level Data'!BE88</f>
        <v>No Response</v>
      </c>
      <c r="M193" s="224" t="str">
        <f t="shared" si="40"/>
        <v>NA</v>
      </c>
    </row>
    <row r="194" spans="2:13" ht="15" hidden="1" customHeight="1" x14ac:dyDescent="0.25">
      <c r="B194" s="227" t="str">
        <f>'Project-Level Data'!B96</f>
        <v>San Marino Drive Green Street and Dry Weather Flow Management Sweetwater</v>
      </c>
      <c r="C194" s="475" t="str">
        <f>'Project-Level Data'!C96</f>
        <v>Stormwater BMPs</v>
      </c>
      <c r="D194" s="477"/>
      <c r="E194" s="395">
        <f>'Project-Level Data'!J96</f>
        <v>1</v>
      </c>
      <c r="F194" s="379">
        <f>'Project-Level Data'!BJ96</f>
        <v>3</v>
      </c>
      <c r="G194" s="224">
        <f t="shared" si="38"/>
        <v>3</v>
      </c>
      <c r="H194" s="395">
        <f>'Project-Level Data'!P96</f>
        <v>3</v>
      </c>
      <c r="I194" s="379">
        <f>'Project-Level Data'!BD96</f>
        <v>3</v>
      </c>
      <c r="J194" s="224">
        <f t="shared" si="39"/>
        <v>3</v>
      </c>
      <c r="K194" s="395">
        <f>'Project-Level Data'!Q96</f>
        <v>2</v>
      </c>
      <c r="L194" s="379">
        <f>'Project-Level Data'!BE96</f>
        <v>3</v>
      </c>
      <c r="M194" s="224">
        <f t="shared" si="40"/>
        <v>3</v>
      </c>
    </row>
    <row r="195" spans="2:13" ht="25.5" hidden="1" x14ac:dyDescent="0.25">
      <c r="B195" s="227" t="str">
        <f>'Project-Level Data'!B97</f>
        <v>San Marino Drive Green Street and Dry Weather Flow Management Vallecitos</v>
      </c>
      <c r="C195" s="475" t="str">
        <f>'Project-Level Data'!C97</f>
        <v>Stormwater BMPs</v>
      </c>
      <c r="D195" s="477"/>
      <c r="E195" s="395">
        <f>'Project-Level Data'!J97</f>
        <v>1</v>
      </c>
      <c r="F195" s="379">
        <f>'Project-Level Data'!BJ97</f>
        <v>3</v>
      </c>
      <c r="G195" s="224">
        <f t="shared" si="38"/>
        <v>3</v>
      </c>
      <c r="H195" s="395">
        <f>'Project-Level Data'!P97</f>
        <v>3</v>
      </c>
      <c r="I195" s="379">
        <f>'Project-Level Data'!BD97</f>
        <v>3</v>
      </c>
      <c r="J195" s="224">
        <f t="shared" si="39"/>
        <v>3</v>
      </c>
      <c r="K195" s="395">
        <f>'Project-Level Data'!Q97</f>
        <v>2</v>
      </c>
      <c r="L195" s="379">
        <f>'Project-Level Data'!BE97</f>
        <v>3</v>
      </c>
      <c r="M195" s="224">
        <f t="shared" si="40"/>
        <v>3</v>
      </c>
    </row>
    <row r="196" spans="2:13" ht="15" hidden="1" customHeight="1" x14ac:dyDescent="0.25">
      <c r="B196" s="227" t="str">
        <f>'Project-Level Data'!B98</f>
        <v>San Miguel Green Street</v>
      </c>
      <c r="C196" s="475" t="str">
        <f>'Project-Level Data'!C98</f>
        <v>Stormwater BMPs</v>
      </c>
      <c r="D196" s="477"/>
      <c r="E196" s="395">
        <f>'Project-Level Data'!J98</f>
        <v>3</v>
      </c>
      <c r="F196" s="379" t="str">
        <f>'Project-Level Data'!BJ98</f>
        <v>No Response</v>
      </c>
      <c r="G196" s="224">
        <f t="shared" si="38"/>
        <v>3</v>
      </c>
      <c r="H196" s="395">
        <f>'Project-Level Data'!P98</f>
        <v>3</v>
      </c>
      <c r="I196" s="379" t="str">
        <f>'Project-Level Data'!BD98</f>
        <v>No Response</v>
      </c>
      <c r="J196" s="224">
        <f t="shared" si="39"/>
        <v>3</v>
      </c>
      <c r="K196" s="395">
        <f>'Project-Level Data'!Q98</f>
        <v>2</v>
      </c>
      <c r="L196" s="379" t="str">
        <f>'Project-Level Data'!BE98</f>
        <v>No Response</v>
      </c>
      <c r="M196" s="224" t="str">
        <f t="shared" si="40"/>
        <v>NA</v>
      </c>
    </row>
    <row r="197" spans="2:13" ht="15" hidden="1" customHeight="1" x14ac:dyDescent="0.25">
      <c r="B197" s="227" t="str">
        <f>'Project-Level Data'!B106</f>
        <v>Skyline Dr and Kempt St Green Streets</v>
      </c>
      <c r="C197" s="475" t="str">
        <f>'Project-Level Data'!C106</f>
        <v>Stormwater BMPs</v>
      </c>
      <c r="D197" s="477"/>
      <c r="E197" s="395">
        <f>'Project-Level Data'!J106</f>
        <v>3</v>
      </c>
      <c r="F197" s="379">
        <f>'Project-Level Data'!BJ106</f>
        <v>3</v>
      </c>
      <c r="G197" s="224">
        <f t="shared" si="38"/>
        <v>3</v>
      </c>
      <c r="H197" s="395">
        <f>'Project-Level Data'!P106</f>
        <v>3</v>
      </c>
      <c r="I197" s="379">
        <f>'Project-Level Data'!BD106</f>
        <v>3</v>
      </c>
      <c r="J197" s="224">
        <f t="shared" si="39"/>
        <v>3</v>
      </c>
      <c r="K197" s="395">
        <f>'Project-Level Data'!Q106</f>
        <v>2</v>
      </c>
      <c r="L197" s="379">
        <f>'Project-Level Data'!BE106</f>
        <v>3</v>
      </c>
      <c r="M197" s="224">
        <f t="shared" si="40"/>
        <v>3</v>
      </c>
    </row>
    <row r="198" spans="2:13" ht="15" hidden="1" customHeight="1" x14ac:dyDescent="0.25">
      <c r="B198" s="227" t="str">
        <f>'Project-Level Data'!B107</f>
        <v>South Santa Fe Green Street Project</v>
      </c>
      <c r="C198" s="475" t="str">
        <f>'Project-Level Data'!C107</f>
        <v>Stormwater BMPs</v>
      </c>
      <c r="D198" s="477"/>
      <c r="E198" s="395">
        <f>'Project-Level Data'!J107</f>
        <v>2</v>
      </c>
      <c r="F198" s="379" t="str">
        <f>'Project-Level Data'!BJ107</f>
        <v>MISSING</v>
      </c>
      <c r="G198" s="224" t="str">
        <f t="shared" si="38"/>
        <v>NA</v>
      </c>
      <c r="H198" s="395">
        <f>'Project-Level Data'!P107</f>
        <v>3</v>
      </c>
      <c r="I198" s="379">
        <f>'Project-Level Data'!BD107</f>
        <v>3</v>
      </c>
      <c r="J198" s="224">
        <f t="shared" si="39"/>
        <v>3</v>
      </c>
      <c r="K198" s="395">
        <f>'Project-Level Data'!Q107</f>
        <v>2</v>
      </c>
      <c r="L198" s="379">
        <f>'Project-Level Data'!BE107</f>
        <v>5</v>
      </c>
      <c r="M198" s="224">
        <f t="shared" si="40"/>
        <v>4</v>
      </c>
    </row>
    <row r="199" spans="2:13" hidden="1" x14ac:dyDescent="0.25">
      <c r="B199" s="227" t="str">
        <f>'Project-Level Data'!B111</f>
        <v>Spruce Street Channel Improvement Project</v>
      </c>
      <c r="C199" s="475" t="str">
        <f>'Project-Level Data'!C111</f>
        <v>Stormwater BMPs</v>
      </c>
      <c r="D199" s="477"/>
      <c r="E199" s="395">
        <f>'Project-Level Data'!J111</f>
        <v>3</v>
      </c>
      <c r="F199" s="379" t="str">
        <f>'Project-Level Data'!BJ111</f>
        <v>No Response</v>
      </c>
      <c r="G199" s="224">
        <f t="shared" si="38"/>
        <v>3</v>
      </c>
      <c r="H199" s="395">
        <f>'Project-Level Data'!P111</f>
        <v>1</v>
      </c>
      <c r="I199" s="379" t="str">
        <f>'Project-Level Data'!BD111</f>
        <v>No Response</v>
      </c>
      <c r="J199" s="224" t="str">
        <f t="shared" si="39"/>
        <v>NA</v>
      </c>
      <c r="K199" s="395">
        <f>'Project-Level Data'!Q111</f>
        <v>2</v>
      </c>
      <c r="L199" s="379" t="str">
        <f>'Project-Level Data'!BE111</f>
        <v>No Response</v>
      </c>
      <c r="M199" s="224" t="str">
        <f t="shared" si="40"/>
        <v>NA</v>
      </c>
    </row>
    <row r="200" spans="2:13" ht="25.5" hidden="1" x14ac:dyDescent="0.25">
      <c r="B200" s="227" t="str">
        <f>'Project-Level Data'!B112</f>
        <v>Storm water Capture off San Diego River along Alvarado Canyon and Fairmont Canyon to Fish and Wildlife site</v>
      </c>
      <c r="C200" s="475" t="str">
        <f>'Project-Level Data'!C112</f>
        <v>Stormwater BMPs</v>
      </c>
      <c r="D200" s="477"/>
      <c r="E200" s="395">
        <f>'Project-Level Data'!J112</f>
        <v>1</v>
      </c>
      <c r="F200" s="379">
        <f>'Project-Level Data'!BJ112</f>
        <v>3</v>
      </c>
      <c r="G200" s="224">
        <f t="shared" si="38"/>
        <v>3</v>
      </c>
      <c r="H200" s="395">
        <f>'Project-Level Data'!P112</f>
        <v>3</v>
      </c>
      <c r="I200" s="379">
        <f>'Project-Level Data'!BD112</f>
        <v>3</v>
      </c>
      <c r="J200" s="224">
        <f t="shared" si="39"/>
        <v>3</v>
      </c>
      <c r="K200" s="395">
        <f>'Project-Level Data'!Q112</f>
        <v>2</v>
      </c>
      <c r="L200" s="379">
        <f>'Project-Level Data'!BE112</f>
        <v>3</v>
      </c>
      <c r="M200" s="224">
        <f t="shared" si="40"/>
        <v>3</v>
      </c>
    </row>
    <row r="201" spans="2:13" hidden="1" x14ac:dyDescent="0.25">
      <c r="B201" s="227" t="str">
        <f>'Project-Level Data'!B114</f>
        <v>Sweetwater Rd Green Street</v>
      </c>
      <c r="C201" s="475" t="str">
        <f>'Project-Level Data'!C114</f>
        <v>Stormwater BMPs</v>
      </c>
      <c r="D201" s="477"/>
      <c r="E201" s="395">
        <f>'Project-Level Data'!J114</f>
        <v>2</v>
      </c>
      <c r="F201" s="379">
        <f>'Project-Level Data'!BJ114</f>
        <v>3</v>
      </c>
      <c r="G201" s="224">
        <f t="shared" si="38"/>
        <v>3</v>
      </c>
      <c r="H201" s="395">
        <f>'Project-Level Data'!P114</f>
        <v>3</v>
      </c>
      <c r="I201" s="379">
        <f>'Project-Level Data'!BD114</f>
        <v>3</v>
      </c>
      <c r="J201" s="224">
        <f t="shared" si="39"/>
        <v>3</v>
      </c>
      <c r="K201" s="395">
        <f>'Project-Level Data'!Q114</f>
        <v>2</v>
      </c>
      <c r="L201" s="379">
        <f>'Project-Level Data'!BE114</f>
        <v>3</v>
      </c>
      <c r="M201" s="224">
        <f t="shared" si="40"/>
        <v>3</v>
      </c>
    </row>
    <row r="202" spans="2:13" hidden="1" x14ac:dyDescent="0.25">
      <c r="B202" s="227" t="str">
        <f>'Project-Level Data'!B116</f>
        <v>Sweetwater River Park Bioretention</v>
      </c>
      <c r="C202" s="475" t="str">
        <f>'Project-Level Data'!C116</f>
        <v>Stormwater BMPs</v>
      </c>
      <c r="D202" s="477"/>
      <c r="E202" s="395">
        <f>'Project-Level Data'!J116</f>
        <v>1</v>
      </c>
      <c r="F202" s="379" t="str">
        <f>'Project-Level Data'!BJ116</f>
        <v>No Response</v>
      </c>
      <c r="G202" s="224" t="str">
        <f t="shared" si="38"/>
        <v>NA</v>
      </c>
      <c r="H202" s="395">
        <f>'Project-Level Data'!P116</f>
        <v>1</v>
      </c>
      <c r="I202" s="379" t="str">
        <f>'Project-Level Data'!BD116</f>
        <v>No Response</v>
      </c>
      <c r="J202" s="224" t="str">
        <f t="shared" si="39"/>
        <v>NA</v>
      </c>
      <c r="K202" s="395">
        <f>'Project-Level Data'!Q116</f>
        <v>1</v>
      </c>
      <c r="L202" s="379" t="str">
        <f>'Project-Level Data'!BE116</f>
        <v>No Response</v>
      </c>
      <c r="M202" s="224" t="str">
        <f t="shared" si="40"/>
        <v>NA</v>
      </c>
    </row>
    <row r="203" spans="2:13" hidden="1" x14ac:dyDescent="0.25">
      <c r="B203" s="227" t="str">
        <f>'Project-Level Data'!B119</f>
        <v>Telegraph Canyon Channel Improvement Project</v>
      </c>
      <c r="C203" s="475" t="str">
        <f>'Project-Level Data'!C119</f>
        <v>Stormwater BMPs</v>
      </c>
      <c r="D203" s="477"/>
      <c r="E203" s="395">
        <f>'Project-Level Data'!J119</f>
        <v>3</v>
      </c>
      <c r="F203" s="379" t="str">
        <f>'Project-Level Data'!BJ119</f>
        <v>No Response</v>
      </c>
      <c r="G203" s="224">
        <f t="shared" si="38"/>
        <v>3</v>
      </c>
      <c r="H203" s="395">
        <f>'Project-Level Data'!P119</f>
        <v>3</v>
      </c>
      <c r="I203" s="379" t="str">
        <f>'Project-Level Data'!BD119</f>
        <v>No Response</v>
      </c>
      <c r="J203" s="224">
        <f t="shared" si="39"/>
        <v>3</v>
      </c>
      <c r="K203" s="395">
        <f>'Project-Level Data'!Q119</f>
        <v>2</v>
      </c>
      <c r="L203" s="379" t="str">
        <f>'Project-Level Data'!BE119</f>
        <v>No Response</v>
      </c>
      <c r="M203" s="224" t="str">
        <f t="shared" si="40"/>
        <v>NA</v>
      </c>
    </row>
    <row r="204" spans="2:13" hidden="1" x14ac:dyDescent="0.25">
      <c r="B204" s="227" t="str">
        <f>'Project-Level Data'!B126</f>
        <v>Woodside Avenue Complete Green Street</v>
      </c>
      <c r="C204" s="475" t="str">
        <f>'Project-Level Data'!C126</f>
        <v>Stormwater BMPs</v>
      </c>
      <c r="D204" s="477"/>
      <c r="E204" s="395">
        <f>'Project-Level Data'!J126</f>
        <v>1</v>
      </c>
      <c r="F204" s="379">
        <f>'Project-Level Data'!BJ126</f>
        <v>3</v>
      </c>
      <c r="G204" s="224">
        <f t="shared" si="38"/>
        <v>3</v>
      </c>
      <c r="H204" s="395">
        <f>'Project-Level Data'!P126</f>
        <v>3</v>
      </c>
      <c r="I204" s="379">
        <f>'Project-Level Data'!BD126</f>
        <v>3</v>
      </c>
      <c r="J204" s="224">
        <f t="shared" si="39"/>
        <v>3</v>
      </c>
      <c r="K204" s="395">
        <f>'Project-Level Data'!Q126</f>
        <v>1</v>
      </c>
      <c r="L204" s="379">
        <f>'Project-Level Data'!BE126</f>
        <v>3</v>
      </c>
      <c r="M204" s="224">
        <f t="shared" si="40"/>
        <v>3</v>
      </c>
    </row>
    <row r="205" spans="2:13" ht="15" hidden="1" customHeight="1" x14ac:dyDescent="0.25">
      <c r="B205" s="227" t="str">
        <f>'Project-Level Data'!B57</f>
        <v>Murray Urban Runoff Diversion System Capture</v>
      </c>
      <c r="C205" s="475" t="str">
        <f>'Project-Level Data'!C57</f>
        <v>Stormwater Capture</v>
      </c>
      <c r="D205" s="477"/>
      <c r="E205" s="395">
        <f>'Project-Level Data'!J57</f>
        <v>3</v>
      </c>
      <c r="F205" s="379">
        <f>'Project-Level Data'!BJ57</f>
        <v>3</v>
      </c>
      <c r="G205" s="224">
        <f t="shared" si="38"/>
        <v>3</v>
      </c>
      <c r="H205" s="395">
        <f>'Project-Level Data'!P57</f>
        <v>3</v>
      </c>
      <c r="I205" s="379">
        <f>'Project-Level Data'!BD57</f>
        <v>3</v>
      </c>
      <c r="J205" s="224">
        <f t="shared" si="39"/>
        <v>3</v>
      </c>
      <c r="K205" s="395">
        <f>'Project-Level Data'!Q57</f>
        <v>3</v>
      </c>
      <c r="L205" s="379">
        <f>'Project-Level Data'!BE57</f>
        <v>3</v>
      </c>
      <c r="M205" s="224">
        <f t="shared" si="40"/>
        <v>3</v>
      </c>
    </row>
    <row r="206" spans="2:13" hidden="1" x14ac:dyDescent="0.25">
      <c r="B206" s="227" t="str">
        <f>'Project-Level Data'!B77</f>
        <v>Rainwater harvesting</v>
      </c>
      <c r="C206" s="475" t="str">
        <f>'Project-Level Data'!C77</f>
        <v>Stormwater Capture</v>
      </c>
      <c r="D206" s="477"/>
      <c r="E206" s="395" t="str">
        <f>'Project-Level Data'!J77</f>
        <v>NOT MAPPED</v>
      </c>
      <c r="F206" s="379">
        <f>'Project-Level Data'!BJ77</f>
        <v>3</v>
      </c>
      <c r="G206" s="224">
        <f t="shared" si="38"/>
        <v>3</v>
      </c>
      <c r="H206" s="395" t="str">
        <f>'Project-Level Data'!P77</f>
        <v>NOT MAPPED</v>
      </c>
      <c r="I206" s="379">
        <f>'Project-Level Data'!BD77</f>
        <v>3</v>
      </c>
      <c r="J206" s="224">
        <f t="shared" si="39"/>
        <v>3</v>
      </c>
      <c r="K206" s="395" t="str">
        <f>'Project-Level Data'!Q77</f>
        <v>NOT MAPPED</v>
      </c>
      <c r="L206" s="379">
        <f>'Project-Level Data'!BE77</f>
        <v>3</v>
      </c>
      <c r="M206" s="224">
        <f t="shared" si="40"/>
        <v>3</v>
      </c>
    </row>
    <row r="207" spans="2:13" hidden="1" x14ac:dyDescent="0.25">
      <c r="B207" s="227" t="str">
        <f>'Project-Level Data'!B55</f>
        <v xml:space="preserve">Ms. Smarty-Plants Grows Water-Wise Schools </v>
      </c>
      <c r="C207" s="475" t="str">
        <f>'Project-Level Data'!C55</f>
        <v>Urban and Agricultural Water Use Efficiency</v>
      </c>
      <c r="D207" s="477"/>
      <c r="E207" s="395">
        <f>'Project-Level Data'!J55</f>
        <v>1</v>
      </c>
      <c r="F207" s="379" t="str">
        <f>'Project-Level Data'!BJ55</f>
        <v>No Response</v>
      </c>
      <c r="G207" s="224" t="str">
        <f t="shared" si="38"/>
        <v>NA</v>
      </c>
      <c r="H207" s="395">
        <f>'Project-Level Data'!P55</f>
        <v>3</v>
      </c>
      <c r="I207" s="379" t="str">
        <f>'Project-Level Data'!BD55</f>
        <v>No Response</v>
      </c>
      <c r="J207" s="224">
        <f t="shared" si="39"/>
        <v>3</v>
      </c>
      <c r="K207" s="395">
        <f>'Project-Level Data'!Q55</f>
        <v>1</v>
      </c>
      <c r="L207" s="379" t="str">
        <f>'Project-Level Data'!BE55</f>
        <v>No Response</v>
      </c>
      <c r="M207" s="224" t="str">
        <f t="shared" si="40"/>
        <v>NA</v>
      </c>
    </row>
    <row r="208" spans="2:13" ht="15" hidden="1" customHeight="1" x14ac:dyDescent="0.25">
      <c r="B208" s="227" t="str">
        <f>'Project-Level Data'!B81</f>
        <v>Regional Demand Management Program Expansion</v>
      </c>
      <c r="C208" s="475" t="str">
        <f>'Project-Level Data'!C81</f>
        <v>Urban and Agricultural Water Use Efficiency</v>
      </c>
      <c r="D208" s="477"/>
      <c r="E208" s="395">
        <f>'Project-Level Data'!J81</f>
        <v>3</v>
      </c>
      <c r="F208" s="379" t="str">
        <f>'Project-Level Data'!BJ81</f>
        <v>MISSING</v>
      </c>
      <c r="G208" s="224">
        <f t="shared" ref="G208:G231" si="41">IF(F208=3,3,IF(E208=3,3,IF(ISERROR(F208*E208),"NA",IF(AND(F208=1,E208=1),1,IF(AND(F208=1,E208=2),2,IF(AND(F208=5,E208=2),4,IF(AND(F208=5,E208=1),5)))))))</f>
        <v>3</v>
      </c>
      <c r="H208" s="395">
        <f>'Project-Level Data'!P81</f>
        <v>3</v>
      </c>
      <c r="I208" s="379">
        <f>'Project-Level Data'!BD81</f>
        <v>3</v>
      </c>
      <c r="J208" s="224">
        <f t="shared" ref="J208:J231" si="42">IF(I208=3,3,IF(H208=3,3,IF(ISERROR(I208*H208),"NA",IF(AND(I208=1,H208=1),1,IF(AND(I208=1,H208=2),2,IF(AND(I208=5,H208=2),4,IF(AND(I208=5,H208=1),5)))))))</f>
        <v>3</v>
      </c>
      <c r="K208" s="395">
        <f>'Project-Level Data'!Q81</f>
        <v>3</v>
      </c>
      <c r="L208" s="379">
        <f>'Project-Level Data'!BE81</f>
        <v>5</v>
      </c>
      <c r="M208" s="224">
        <f t="shared" ref="M208:M231" si="43">IF(L208=3,3,IF(K208=3,3,IF(ISERROR(L208*K208),"NA",IF(AND(L208=1,K208=1),1,IF(AND(L208=1,K208=2),2,IF(AND(L208=5,K208=2),4,IF(AND(L208=5,K208=1),5)))))))</f>
        <v>3</v>
      </c>
    </row>
    <row r="209" spans="2:13" hidden="1" x14ac:dyDescent="0.25">
      <c r="B209" s="227" t="str">
        <f>'Project-Level Data'!B82</f>
        <v>Regional Drought Resilience Program</v>
      </c>
      <c r="C209" s="475" t="str">
        <f>'Project-Level Data'!C82</f>
        <v>Urban and Agricultural Water Use Efficiency</v>
      </c>
      <c r="D209" s="477"/>
      <c r="E209" s="395">
        <f>'Project-Level Data'!J82</f>
        <v>3</v>
      </c>
      <c r="F209" s="379" t="str">
        <f>'Project-Level Data'!BJ82</f>
        <v>MISSING</v>
      </c>
      <c r="G209" s="224">
        <f t="shared" si="41"/>
        <v>3</v>
      </c>
      <c r="H209" s="395">
        <f>'Project-Level Data'!P82</f>
        <v>3</v>
      </c>
      <c r="I209" s="379">
        <f>'Project-Level Data'!BD82</f>
        <v>3</v>
      </c>
      <c r="J209" s="224">
        <f t="shared" si="42"/>
        <v>3</v>
      </c>
      <c r="K209" s="395">
        <f>'Project-Level Data'!Q82</f>
        <v>3</v>
      </c>
      <c r="L209" s="379">
        <f>'Project-Level Data'!BE82</f>
        <v>5</v>
      </c>
      <c r="M209" s="224">
        <f t="shared" si="43"/>
        <v>3</v>
      </c>
    </row>
    <row r="210" spans="2:13" hidden="1" x14ac:dyDescent="0.25">
      <c r="B210" s="227" t="str">
        <f>'Project-Level Data'!B84</f>
        <v>Rincon Customer-Driven Demand Management Program</v>
      </c>
      <c r="C210" s="475" t="str">
        <f>'Project-Level Data'!C84</f>
        <v>Urban and Agricultural Water Use Efficiency</v>
      </c>
      <c r="D210" s="477"/>
      <c r="E210" s="395" t="str">
        <f>'Project-Level Data'!J84</f>
        <v>NOT MAPPED</v>
      </c>
      <c r="F210" s="379" t="str">
        <f>'Project-Level Data'!BJ84</f>
        <v>No Response</v>
      </c>
      <c r="G210" s="224" t="str">
        <f t="shared" si="41"/>
        <v>NA</v>
      </c>
      <c r="H210" s="395" t="str">
        <f>'Project-Level Data'!P84</f>
        <v>NOT MAPPED</v>
      </c>
      <c r="I210" s="379" t="str">
        <f>'Project-Level Data'!BD84</f>
        <v>No Response</v>
      </c>
      <c r="J210" s="224" t="str">
        <f t="shared" si="42"/>
        <v>NA</v>
      </c>
      <c r="K210" s="395" t="str">
        <f>'Project-Level Data'!Q84</f>
        <v>NOT MAPPED</v>
      </c>
      <c r="L210" s="379" t="str">
        <f>'Project-Level Data'!BE84</f>
        <v>No Response</v>
      </c>
      <c r="M210" s="224" t="str">
        <f t="shared" si="43"/>
        <v>NA</v>
      </c>
    </row>
    <row r="211" spans="2:13" hidden="1" x14ac:dyDescent="0.25">
      <c r="B211" s="227" t="str">
        <f>'Project-Level Data'!B92</f>
        <v>San Diego Water Conservation Program</v>
      </c>
      <c r="C211" s="475" t="str">
        <f>'Project-Level Data'!C92</f>
        <v>Urban and Agricultural Water Use Efficiency</v>
      </c>
      <c r="D211" s="477"/>
      <c r="E211" s="395" t="str">
        <f>'Project-Level Data'!J92</f>
        <v>NOT MAPPED</v>
      </c>
      <c r="F211" s="379">
        <f>'Project-Level Data'!BJ92</f>
        <v>5</v>
      </c>
      <c r="G211" s="224" t="str">
        <f t="shared" si="41"/>
        <v>NA</v>
      </c>
      <c r="H211" s="395" t="str">
        <f>'Project-Level Data'!P92</f>
        <v>NOT MAPPED</v>
      </c>
      <c r="I211" s="379">
        <f>'Project-Level Data'!BD92</f>
        <v>3</v>
      </c>
      <c r="J211" s="224">
        <f t="shared" si="42"/>
        <v>3</v>
      </c>
      <c r="K211" s="395" t="str">
        <f>'Project-Level Data'!Q92</f>
        <v>NOT MAPPED</v>
      </c>
      <c r="L211" s="379">
        <f>'Project-Level Data'!BE92</f>
        <v>5</v>
      </c>
      <c r="M211" s="224" t="str">
        <f t="shared" si="43"/>
        <v>NA</v>
      </c>
    </row>
    <row r="212" spans="2:13" hidden="1" x14ac:dyDescent="0.25">
      <c r="B212" s="227" t="str">
        <f>'Project-Level Data'!B93</f>
        <v>San Diego Water Use Reduction Program</v>
      </c>
      <c r="C212" s="475" t="str">
        <f>'Project-Level Data'!C93</f>
        <v>Urban and Agricultural Water Use Efficiency</v>
      </c>
      <c r="D212" s="477"/>
      <c r="E212" s="395" t="str">
        <f>'Project-Level Data'!J93</f>
        <v>NOT MAPPED</v>
      </c>
      <c r="F212" s="379">
        <f>'Project-Level Data'!BJ93</f>
        <v>3</v>
      </c>
      <c r="G212" s="224">
        <f t="shared" si="41"/>
        <v>3</v>
      </c>
      <c r="H212" s="395" t="str">
        <f>'Project-Level Data'!P93</f>
        <v>NOT MAPPED</v>
      </c>
      <c r="I212" s="379">
        <f>'Project-Level Data'!BD93</f>
        <v>3</v>
      </c>
      <c r="J212" s="224">
        <f t="shared" si="42"/>
        <v>3</v>
      </c>
      <c r="K212" s="395" t="str">
        <f>'Project-Level Data'!Q93</f>
        <v>NOT MAPPED</v>
      </c>
      <c r="L212" s="379">
        <f>'Project-Level Data'!BE93</f>
        <v>3</v>
      </c>
      <c r="M212" s="224">
        <f t="shared" si="43"/>
        <v>3</v>
      </c>
    </row>
    <row r="213" spans="2:13" ht="25.5" hidden="1" x14ac:dyDescent="0.25">
      <c r="B213" s="227" t="str">
        <f>'Project-Level Data'!B121</f>
        <v>UC San Diego Water Conservation and Watershed Protection</v>
      </c>
      <c r="C213" s="475" t="str">
        <f>'Project-Level Data'!C121</f>
        <v>Urban and Agricultural Water Use Efficiency</v>
      </c>
      <c r="D213" s="477"/>
      <c r="E213" s="395">
        <f>'Project-Level Data'!J121</f>
        <v>3</v>
      </c>
      <c r="F213" s="379">
        <f>'Project-Level Data'!BJ121</f>
        <v>5</v>
      </c>
      <c r="G213" s="224">
        <f t="shared" si="41"/>
        <v>3</v>
      </c>
      <c r="H213" s="395">
        <f>'Project-Level Data'!P121</f>
        <v>3</v>
      </c>
      <c r="I213" s="379">
        <f>'Project-Level Data'!BD121</f>
        <v>3</v>
      </c>
      <c r="J213" s="224">
        <f t="shared" si="42"/>
        <v>3</v>
      </c>
      <c r="K213" s="395">
        <f>'Project-Level Data'!Q121</f>
        <v>2</v>
      </c>
      <c r="L213" s="379">
        <f>'Project-Level Data'!BE121</f>
        <v>5</v>
      </c>
      <c r="M213" s="224">
        <f t="shared" si="43"/>
        <v>4</v>
      </c>
    </row>
    <row r="214" spans="2:13" hidden="1" x14ac:dyDescent="0.25">
      <c r="B214" s="227" t="str">
        <f>'Project-Level Data'!B7</f>
        <v>69th St Green Street</v>
      </c>
      <c r="C214" s="475" t="str">
        <f>'Project-Level Data'!C7</f>
        <v>Watershed and Ecosystem Management</v>
      </c>
      <c r="D214" s="477"/>
      <c r="E214" s="395">
        <f>'Project-Level Data'!J7</f>
        <v>3</v>
      </c>
      <c r="F214" s="379">
        <f>'Project-Level Data'!BJ7</f>
        <v>3</v>
      </c>
      <c r="G214" s="224">
        <f t="shared" si="41"/>
        <v>3</v>
      </c>
      <c r="H214" s="395">
        <f>'Project-Level Data'!P7</f>
        <v>3</v>
      </c>
      <c r="I214" s="379">
        <f>'Project-Level Data'!BD7</f>
        <v>3</v>
      </c>
      <c r="J214" s="224">
        <f t="shared" si="42"/>
        <v>3</v>
      </c>
      <c r="K214" s="395">
        <f>'Project-Level Data'!Q7</f>
        <v>2</v>
      </c>
      <c r="L214" s="379">
        <f>'Project-Level Data'!BE7</f>
        <v>3</v>
      </c>
      <c r="M214" s="224">
        <f t="shared" si="43"/>
        <v>3</v>
      </c>
    </row>
    <row r="215" spans="2:13" ht="38.25" hidden="1" x14ac:dyDescent="0.25">
      <c r="B215" s="227" t="str">
        <f>'Project-Level Data'!B8</f>
        <v>Alternative Compliance Retrofit Project Avenida Del Diablo Park,
Escondido</v>
      </c>
      <c r="C215" s="475" t="str">
        <f>'Project-Level Data'!C8</f>
        <v>Watershed and Ecosystem Management</v>
      </c>
      <c r="D215" s="477"/>
      <c r="E215" s="395">
        <f>'Project-Level Data'!J8</f>
        <v>1</v>
      </c>
      <c r="F215" s="379" t="str">
        <f>'Project-Level Data'!BJ8</f>
        <v>No Response</v>
      </c>
      <c r="G215" s="224" t="str">
        <f t="shared" si="41"/>
        <v>NA</v>
      </c>
      <c r="H215" s="395">
        <f>'Project-Level Data'!P8</f>
        <v>3</v>
      </c>
      <c r="I215" s="379" t="str">
        <f>'Project-Level Data'!BD8</f>
        <v>No Response</v>
      </c>
      <c r="J215" s="224">
        <f t="shared" si="42"/>
        <v>3</v>
      </c>
      <c r="K215" s="395">
        <f>'Project-Level Data'!Q8</f>
        <v>2</v>
      </c>
      <c r="L215" s="379" t="str">
        <f>'Project-Level Data'!BE8</f>
        <v>No Response</v>
      </c>
      <c r="M215" s="224" t="str">
        <f t="shared" si="43"/>
        <v>NA</v>
      </c>
    </row>
    <row r="216" spans="2:13" hidden="1" x14ac:dyDescent="0.25">
      <c r="B216" s="227" t="str">
        <f>'Project-Level Data'!B13</f>
        <v>Broadway/Federal Blvd Green Street</v>
      </c>
      <c r="C216" s="475" t="str">
        <f>'Project-Level Data'!C13</f>
        <v>Watershed and Ecosystem Management</v>
      </c>
      <c r="D216" s="477"/>
      <c r="E216" s="395">
        <f>'Project-Level Data'!J13</f>
        <v>3</v>
      </c>
      <c r="F216" s="379">
        <f>'Project-Level Data'!BJ13</f>
        <v>3</v>
      </c>
      <c r="G216" s="224">
        <f t="shared" si="41"/>
        <v>3</v>
      </c>
      <c r="H216" s="395">
        <f>'Project-Level Data'!P13</f>
        <v>3</v>
      </c>
      <c r="I216" s="379">
        <f>'Project-Level Data'!BD13</f>
        <v>3</v>
      </c>
      <c r="J216" s="224">
        <f t="shared" si="42"/>
        <v>3</v>
      </c>
      <c r="K216" s="395">
        <f>'Project-Level Data'!Q13</f>
        <v>2</v>
      </c>
      <c r="L216" s="379">
        <f>'Project-Level Data'!BE13</f>
        <v>3</v>
      </c>
      <c r="M216" s="224">
        <f t="shared" si="43"/>
        <v>3</v>
      </c>
    </row>
    <row r="217" spans="2:13" ht="25.5" hidden="1" customHeight="1" x14ac:dyDescent="0.25">
      <c r="B217" s="227" t="str">
        <f>'Project-Level Data'!B16</f>
        <v>Canton Dr Green Street</v>
      </c>
      <c r="C217" s="475" t="str">
        <f>'Project-Level Data'!C16</f>
        <v>Watershed and Ecosystem Management</v>
      </c>
      <c r="D217" s="477"/>
      <c r="E217" s="395">
        <f>'Project-Level Data'!J16</f>
        <v>3</v>
      </c>
      <c r="F217" s="379">
        <f>'Project-Level Data'!BJ16</f>
        <v>3</v>
      </c>
      <c r="G217" s="224">
        <f t="shared" si="41"/>
        <v>3</v>
      </c>
      <c r="H217" s="395">
        <f>'Project-Level Data'!P16</f>
        <v>3</v>
      </c>
      <c r="I217" s="379">
        <f>'Project-Level Data'!BD16</f>
        <v>3</v>
      </c>
      <c r="J217" s="224">
        <f t="shared" si="42"/>
        <v>3</v>
      </c>
      <c r="K217" s="395">
        <f>'Project-Level Data'!Q16</f>
        <v>2</v>
      </c>
      <c r="L217" s="379">
        <f>'Project-Level Data'!BE16</f>
        <v>3</v>
      </c>
      <c r="M217" s="224">
        <f t="shared" si="43"/>
        <v>3</v>
      </c>
    </row>
    <row r="218" spans="2:13" hidden="1" x14ac:dyDescent="0.25">
      <c r="B218" s="227" t="str">
        <f>'Project-Level Data'!B19</f>
        <v>Central Avenue Green Street</v>
      </c>
      <c r="C218" s="475" t="str">
        <f>'Project-Level Data'!C19</f>
        <v>Watershed and Ecosystem Management</v>
      </c>
      <c r="D218" s="477"/>
      <c r="E218" s="395">
        <f>'Project-Level Data'!J19</f>
        <v>3</v>
      </c>
      <c r="F218" s="379">
        <f>'Project-Level Data'!BJ19</f>
        <v>3</v>
      </c>
      <c r="G218" s="224">
        <f t="shared" si="41"/>
        <v>3</v>
      </c>
      <c r="H218" s="395">
        <f>'Project-Level Data'!P19</f>
        <v>3</v>
      </c>
      <c r="I218" s="379">
        <f>'Project-Level Data'!BD19</f>
        <v>3</v>
      </c>
      <c r="J218" s="224">
        <f t="shared" si="42"/>
        <v>3</v>
      </c>
      <c r="K218" s="395">
        <f>'Project-Level Data'!Q19</f>
        <v>3</v>
      </c>
      <c r="L218" s="379">
        <f>'Project-Level Data'!BE19</f>
        <v>3</v>
      </c>
      <c r="M218" s="224">
        <f t="shared" si="43"/>
        <v>3</v>
      </c>
    </row>
    <row r="219" spans="2:13" hidden="1" x14ac:dyDescent="0.25">
      <c r="B219" s="227" t="str">
        <f>'Project-Level Data'!B30</f>
        <v>Federal Blvd Channel</v>
      </c>
      <c r="C219" s="475" t="str">
        <f>'Project-Level Data'!C30</f>
        <v>Watershed and Ecosystem Management</v>
      </c>
      <c r="D219" s="477"/>
      <c r="E219" s="395">
        <f>'Project-Level Data'!J30</f>
        <v>3</v>
      </c>
      <c r="F219" s="379">
        <f>'Project-Level Data'!BJ30</f>
        <v>5</v>
      </c>
      <c r="G219" s="224">
        <f t="shared" si="41"/>
        <v>3</v>
      </c>
      <c r="H219" s="395">
        <f>'Project-Level Data'!P30</f>
        <v>2</v>
      </c>
      <c r="I219" s="379">
        <f>'Project-Level Data'!BD30</f>
        <v>5</v>
      </c>
      <c r="J219" s="224">
        <f t="shared" si="42"/>
        <v>4</v>
      </c>
      <c r="K219" s="395">
        <f>'Project-Level Data'!Q30</f>
        <v>2</v>
      </c>
      <c r="L219" s="379">
        <f>'Project-Level Data'!BE30</f>
        <v>5</v>
      </c>
      <c r="M219" s="224">
        <f t="shared" si="43"/>
        <v>4</v>
      </c>
    </row>
    <row r="220" spans="2:13" ht="15" hidden="1" customHeight="1" x14ac:dyDescent="0.25">
      <c r="B220" s="227" t="str">
        <f>'Project-Level Data'!B31</f>
        <v>Hodges Water Quality Improvement Program</v>
      </c>
      <c r="C220" s="475" t="str">
        <f>'Project-Level Data'!C31</f>
        <v>Watershed and Ecosystem Management</v>
      </c>
      <c r="D220" s="477"/>
      <c r="E220" s="395">
        <f>'Project-Level Data'!J31</f>
        <v>2</v>
      </c>
      <c r="F220" s="379">
        <f>'Project-Level Data'!BJ31</f>
        <v>5</v>
      </c>
      <c r="G220" s="224">
        <f t="shared" si="41"/>
        <v>4</v>
      </c>
      <c r="H220" s="395">
        <f>'Project-Level Data'!P31</f>
        <v>3</v>
      </c>
      <c r="I220" s="379">
        <f>'Project-Level Data'!BD31</f>
        <v>5</v>
      </c>
      <c r="J220" s="224">
        <f t="shared" si="42"/>
        <v>3</v>
      </c>
      <c r="K220" s="395">
        <f>'Project-Level Data'!Q31</f>
        <v>1</v>
      </c>
      <c r="L220" s="379">
        <f>'Project-Level Data'!BE31</f>
        <v>5</v>
      </c>
      <c r="M220" s="224">
        <f t="shared" si="43"/>
        <v>5</v>
      </c>
    </row>
    <row r="221" spans="2:13" hidden="1" x14ac:dyDescent="0.25">
      <c r="B221" s="227" t="str">
        <f>'Project-Level Data'!B49</f>
        <v>Massachusetts Blvd Green Street</v>
      </c>
      <c r="C221" s="475" t="str">
        <f>'Project-Level Data'!C49</f>
        <v>Watershed and Ecosystem Management</v>
      </c>
      <c r="D221" s="477"/>
      <c r="E221" s="395">
        <f>'Project-Level Data'!J49</f>
        <v>3</v>
      </c>
      <c r="F221" s="379">
        <f>'Project-Level Data'!BJ49</f>
        <v>3</v>
      </c>
      <c r="G221" s="224">
        <f t="shared" si="41"/>
        <v>3</v>
      </c>
      <c r="H221" s="395">
        <f>'Project-Level Data'!P49</f>
        <v>3</v>
      </c>
      <c r="I221" s="379">
        <f>'Project-Level Data'!BD49</f>
        <v>3</v>
      </c>
      <c r="J221" s="224">
        <f t="shared" si="42"/>
        <v>3</v>
      </c>
      <c r="K221" s="395">
        <f>'Project-Level Data'!Q49</f>
        <v>2</v>
      </c>
      <c r="L221" s="379">
        <f>'Project-Level Data'!BE49</f>
        <v>3</v>
      </c>
      <c r="M221" s="224">
        <f t="shared" si="43"/>
        <v>3</v>
      </c>
    </row>
    <row r="222" spans="2:13" ht="15" hidden="1" customHeight="1" x14ac:dyDescent="0.25">
      <c r="B222" s="227" t="str">
        <f>'Project-Level Data'!B56</f>
        <v>Mt. Vernon St Green Street</v>
      </c>
      <c r="C222" s="475" t="str">
        <f>'Project-Level Data'!C56</f>
        <v>Watershed and Ecosystem Management</v>
      </c>
      <c r="D222" s="477"/>
      <c r="E222" s="395">
        <f>'Project-Level Data'!J56</f>
        <v>3</v>
      </c>
      <c r="F222" s="379">
        <f>'Project-Level Data'!BJ56</f>
        <v>3</v>
      </c>
      <c r="G222" s="224">
        <f t="shared" si="41"/>
        <v>3</v>
      </c>
      <c r="H222" s="395">
        <f>'Project-Level Data'!P56</f>
        <v>3</v>
      </c>
      <c r="I222" s="379">
        <f>'Project-Level Data'!BD56</f>
        <v>3</v>
      </c>
      <c r="J222" s="224">
        <f t="shared" si="42"/>
        <v>3</v>
      </c>
      <c r="K222" s="395">
        <f>'Project-Level Data'!Q56</f>
        <v>2</v>
      </c>
      <c r="L222" s="379">
        <f>'Project-Level Data'!BE56</f>
        <v>3</v>
      </c>
      <c r="M222" s="224">
        <f t="shared" si="43"/>
        <v>3</v>
      </c>
    </row>
    <row r="223" spans="2:13" hidden="1" x14ac:dyDescent="0.25">
      <c r="B223" s="227" t="str">
        <f>'Project-Level Data'!B58</f>
        <v>Nestor Creek Channel Restoration</v>
      </c>
      <c r="C223" s="475" t="str">
        <f>'Project-Level Data'!C58</f>
        <v>Watershed and Ecosystem Management</v>
      </c>
      <c r="D223" s="477"/>
      <c r="E223" s="395">
        <f>'Project-Level Data'!J58</f>
        <v>3</v>
      </c>
      <c r="F223" s="379" t="str">
        <f>'Project-Level Data'!BJ58</f>
        <v>No Response</v>
      </c>
      <c r="G223" s="224">
        <f t="shared" si="41"/>
        <v>3</v>
      </c>
      <c r="H223" s="395">
        <f>'Project-Level Data'!P58</f>
        <v>3</v>
      </c>
      <c r="I223" s="379" t="str">
        <f>'Project-Level Data'!BD58</f>
        <v>No Response</v>
      </c>
      <c r="J223" s="224">
        <f t="shared" si="42"/>
        <v>3</v>
      </c>
      <c r="K223" s="395">
        <f>'Project-Level Data'!Q58</f>
        <v>2</v>
      </c>
      <c r="L223" s="379" t="str">
        <f>'Project-Level Data'!BE58</f>
        <v>No Response</v>
      </c>
      <c r="M223" s="224" t="str">
        <f t="shared" si="43"/>
        <v>NA</v>
      </c>
    </row>
    <row r="224" spans="2:13" hidden="1" x14ac:dyDescent="0.25">
      <c r="B224" s="227" t="str">
        <f>'Project-Level Data'!B60</f>
        <v>North Ave and Grove Green Street</v>
      </c>
      <c r="C224" s="475" t="str">
        <f>'Project-Level Data'!C60</f>
        <v>Watershed and Ecosystem Management</v>
      </c>
      <c r="D224" s="477"/>
      <c r="E224" s="395">
        <f>'Project-Level Data'!J60</f>
        <v>3</v>
      </c>
      <c r="F224" s="379">
        <f>'Project-Level Data'!BJ60</f>
        <v>3</v>
      </c>
      <c r="G224" s="224">
        <f t="shared" si="41"/>
        <v>3</v>
      </c>
      <c r="H224" s="395">
        <f>'Project-Level Data'!P60</f>
        <v>3</v>
      </c>
      <c r="I224" s="379">
        <f>'Project-Level Data'!BD60</f>
        <v>3</v>
      </c>
      <c r="J224" s="224">
        <f t="shared" si="42"/>
        <v>3</v>
      </c>
      <c r="K224" s="395">
        <f>'Project-Level Data'!Q60</f>
        <v>2</v>
      </c>
      <c r="L224" s="379">
        <f>'Project-Level Data'!BE60</f>
        <v>3</v>
      </c>
      <c r="M224" s="224">
        <f t="shared" si="43"/>
        <v>3</v>
      </c>
    </row>
    <row r="225" spans="2:13" ht="15" hidden="1" customHeight="1" x14ac:dyDescent="0.25">
      <c r="B225" s="227" t="str">
        <f>'Project-Level Data'!B69</f>
        <v>Palm St Green Street</v>
      </c>
      <c r="C225" s="475" t="str">
        <f>'Project-Level Data'!C69</f>
        <v>Watershed and Ecosystem Management</v>
      </c>
      <c r="D225" s="477"/>
      <c r="E225" s="395">
        <f>'Project-Level Data'!J69</f>
        <v>3</v>
      </c>
      <c r="F225" s="379">
        <f>'Project-Level Data'!BJ69</f>
        <v>3</v>
      </c>
      <c r="G225" s="224">
        <f t="shared" si="41"/>
        <v>3</v>
      </c>
      <c r="H225" s="395">
        <f>'Project-Level Data'!P69</f>
        <v>3</v>
      </c>
      <c r="I225" s="379">
        <f>'Project-Level Data'!BD69</f>
        <v>3</v>
      </c>
      <c r="J225" s="224">
        <f t="shared" si="42"/>
        <v>3</v>
      </c>
      <c r="K225" s="395">
        <f>'Project-Level Data'!Q69</f>
        <v>2</v>
      </c>
      <c r="L225" s="379">
        <f>'Project-Level Data'!BE69</f>
        <v>3</v>
      </c>
      <c r="M225" s="224">
        <f t="shared" si="43"/>
        <v>3</v>
      </c>
    </row>
    <row r="226" spans="2:13" hidden="1" x14ac:dyDescent="0.25">
      <c r="B226" s="227" t="str">
        <f>'Project-Level Data'!B70</f>
        <v>Paradise Creek Restoration Phase II</v>
      </c>
      <c r="C226" s="475" t="str">
        <f>'Project-Level Data'!C70</f>
        <v>Watershed and Ecosystem Management</v>
      </c>
      <c r="D226" s="477"/>
      <c r="E226" s="395">
        <f>'Project-Level Data'!J70</f>
        <v>3</v>
      </c>
      <c r="F226" s="379">
        <f>'Project-Level Data'!BJ70</f>
        <v>5</v>
      </c>
      <c r="G226" s="224">
        <f t="shared" si="41"/>
        <v>3</v>
      </c>
      <c r="H226" s="395">
        <f>'Project-Level Data'!P70</f>
        <v>3</v>
      </c>
      <c r="I226" s="379">
        <f>'Project-Level Data'!BD70</f>
        <v>5</v>
      </c>
      <c r="J226" s="224">
        <f t="shared" si="42"/>
        <v>3</v>
      </c>
      <c r="K226" s="395">
        <f>'Project-Level Data'!Q70</f>
        <v>2</v>
      </c>
      <c r="L226" s="379">
        <f>'Project-Level Data'!BE70</f>
        <v>5</v>
      </c>
      <c r="M226" s="224">
        <f t="shared" si="43"/>
        <v>4</v>
      </c>
    </row>
    <row r="227" spans="2:13" hidden="1" x14ac:dyDescent="0.25">
      <c r="B227" s="227" t="str">
        <f>'Project-Level Data'!B91</f>
        <v>San Diego Healthy Headwaters Restoration</v>
      </c>
      <c r="C227" s="475" t="str">
        <f>'Project-Level Data'!C91</f>
        <v>Watershed and Ecosystem Management</v>
      </c>
      <c r="D227" s="477"/>
      <c r="E227" s="395">
        <f>'Project-Level Data'!J91</f>
        <v>1</v>
      </c>
      <c r="F227" s="379">
        <f>'Project-Level Data'!BJ91</f>
        <v>5</v>
      </c>
      <c r="G227" s="224">
        <f t="shared" si="41"/>
        <v>5</v>
      </c>
      <c r="H227" s="395">
        <f>'Project-Level Data'!P91</f>
        <v>3</v>
      </c>
      <c r="I227" s="379">
        <f>'Project-Level Data'!BD91</f>
        <v>5</v>
      </c>
      <c r="J227" s="224">
        <f t="shared" si="42"/>
        <v>3</v>
      </c>
      <c r="K227" s="395">
        <f>'Project-Level Data'!Q91</f>
        <v>1</v>
      </c>
      <c r="L227" s="379">
        <f>'Project-Level Data'!BE91</f>
        <v>5</v>
      </c>
      <c r="M227" s="224">
        <f t="shared" si="43"/>
        <v>5</v>
      </c>
    </row>
    <row r="228" spans="2:13" ht="25.5" hidden="1" x14ac:dyDescent="0.25">
      <c r="B228" s="227" t="str">
        <f>'Project-Level Data'!B113</f>
        <v>Sustaining Healthy Tributaries to the Upper San Diego River and Protecting Local Water Supplies</v>
      </c>
      <c r="C228" s="475" t="str">
        <f>'Project-Level Data'!C113</f>
        <v>Watershed and Ecosystem Management</v>
      </c>
      <c r="D228" s="477"/>
      <c r="E228" s="395">
        <f>'Project-Level Data'!J113</f>
        <v>1</v>
      </c>
      <c r="F228" s="379" t="str">
        <f>'Project-Level Data'!BJ113</f>
        <v>No Response</v>
      </c>
      <c r="G228" s="224" t="str">
        <f t="shared" si="41"/>
        <v>NA</v>
      </c>
      <c r="H228" s="395">
        <f>'Project-Level Data'!P113</f>
        <v>3</v>
      </c>
      <c r="I228" s="379" t="str">
        <f>'Project-Level Data'!BD113</f>
        <v>No Response</v>
      </c>
      <c r="J228" s="224">
        <f t="shared" si="42"/>
        <v>3</v>
      </c>
      <c r="K228" s="395">
        <f>'Project-Level Data'!Q113</f>
        <v>1</v>
      </c>
      <c r="L228" s="379" t="str">
        <f>'Project-Level Data'!BE113</f>
        <v>No Response</v>
      </c>
      <c r="M228" s="224" t="str">
        <f t="shared" si="43"/>
        <v>NA</v>
      </c>
    </row>
    <row r="229" spans="2:13" hidden="1" x14ac:dyDescent="0.25">
      <c r="B229" s="227" t="str">
        <f>'Project-Level Data'!B115</f>
        <v>Sweetwater Reservoir Wetlands Habitat Recovery</v>
      </c>
      <c r="C229" s="475" t="str">
        <f>'Project-Level Data'!C115</f>
        <v>Watershed and Ecosystem Management</v>
      </c>
      <c r="D229" s="477"/>
      <c r="E229" s="395">
        <f>'Project-Level Data'!J115</f>
        <v>1</v>
      </c>
      <c r="F229" s="379" t="str">
        <f>'Project-Level Data'!BJ115</f>
        <v>MISSING</v>
      </c>
      <c r="G229" s="224" t="str">
        <f t="shared" si="41"/>
        <v>NA</v>
      </c>
      <c r="H229" s="395">
        <f>'Project-Level Data'!P115</f>
        <v>3</v>
      </c>
      <c r="I229" s="379">
        <f>'Project-Level Data'!BD115</f>
        <v>5</v>
      </c>
      <c r="J229" s="224">
        <f t="shared" si="42"/>
        <v>3</v>
      </c>
      <c r="K229" s="395">
        <f>'Project-Level Data'!Q115</f>
        <v>1</v>
      </c>
      <c r="L229" s="379">
        <f>'Project-Level Data'!BE115</f>
        <v>5</v>
      </c>
      <c r="M229" s="224">
        <f t="shared" si="43"/>
        <v>5</v>
      </c>
    </row>
    <row r="230" spans="2:13" hidden="1" x14ac:dyDescent="0.25">
      <c r="B230" s="227" t="str">
        <f>'Project-Level Data'!B117</f>
        <v>Sycamore Creek Restoration</v>
      </c>
      <c r="C230" s="475" t="str">
        <f>'Project-Level Data'!C117</f>
        <v>Watershed and Ecosystem Management</v>
      </c>
      <c r="D230" s="477"/>
      <c r="E230" s="395">
        <f>'Project-Level Data'!J117</f>
        <v>1</v>
      </c>
      <c r="F230" s="379">
        <f>'Project-Level Data'!BJ117</f>
        <v>5</v>
      </c>
      <c r="G230" s="224">
        <f t="shared" si="41"/>
        <v>5</v>
      </c>
      <c r="H230" s="395">
        <f>'Project-Level Data'!P117</f>
        <v>3</v>
      </c>
      <c r="I230" s="379">
        <f>'Project-Level Data'!BD117</f>
        <v>3</v>
      </c>
      <c r="J230" s="224">
        <f t="shared" si="42"/>
        <v>3</v>
      </c>
      <c r="K230" s="395">
        <f>'Project-Level Data'!Q117</f>
        <v>2</v>
      </c>
      <c r="L230" s="379">
        <f>'Project-Level Data'!BE117</f>
        <v>5</v>
      </c>
      <c r="M230" s="224">
        <f t="shared" si="43"/>
        <v>4</v>
      </c>
    </row>
    <row r="231" spans="2:13" ht="15.75" hidden="1" thickBot="1" x14ac:dyDescent="0.3">
      <c r="B231" s="508" t="str">
        <f>'Project-Level Data'!B120</f>
        <v>Tijuana River Floating Trash Capture System</v>
      </c>
      <c r="C231" s="509" t="str">
        <f>'Project-Level Data'!C120</f>
        <v>Watershed and Ecosystem Management</v>
      </c>
      <c r="D231" s="510"/>
      <c r="E231" s="531">
        <f>'Project-Level Data'!J120</f>
        <v>1</v>
      </c>
      <c r="F231" s="524" t="str">
        <f>'Project-Level Data'!BJ120</f>
        <v>No Response</v>
      </c>
      <c r="G231" s="532" t="str">
        <f t="shared" si="41"/>
        <v>NA</v>
      </c>
      <c r="H231" s="531">
        <f>'Project-Level Data'!P120</f>
        <v>1</v>
      </c>
      <c r="I231" s="524" t="str">
        <f>'Project-Level Data'!BD120</f>
        <v>No Response</v>
      </c>
      <c r="J231" s="532" t="str">
        <f t="shared" si="42"/>
        <v>NA</v>
      </c>
      <c r="K231" s="531">
        <f>'Project-Level Data'!Q120</f>
        <v>2</v>
      </c>
      <c r="L231" s="524" t="str">
        <f>'Project-Level Data'!BE120</f>
        <v>No Response</v>
      </c>
      <c r="M231" s="532" t="str">
        <f t="shared" si="43"/>
        <v>NA</v>
      </c>
    </row>
    <row r="232" spans="2:13" hidden="1" x14ac:dyDescent="0.25">
      <c r="B232" s="370"/>
      <c r="C232" s="533" t="s">
        <v>860</v>
      </c>
      <c r="D232" s="515"/>
      <c r="E232" s="490">
        <f>COUNTIFS(E112:E231, "=NOT MAPPED")</f>
        <v>9</v>
      </c>
      <c r="F232" s="486">
        <f>COUNTIFS(F112:F231, "=MISSING")</f>
        <v>5</v>
      </c>
      <c r="G232" s="491"/>
      <c r="H232" s="520">
        <f>COUNTIFS(H112:H231, "=NOT MAPPED")</f>
        <v>9</v>
      </c>
      <c r="I232" s="486">
        <f>COUNTIFS(I112:I231, "=MISSING")</f>
        <v>2</v>
      </c>
      <c r="J232" s="491"/>
      <c r="K232" s="520">
        <f>COUNTIFS(K112:K231, "=NOT MAPPED")</f>
        <v>9</v>
      </c>
      <c r="L232" s="486">
        <f>COUNTIFS(L112:L231, "=MISSING")</f>
        <v>1</v>
      </c>
      <c r="M232" s="491"/>
    </row>
    <row r="233" spans="2:13" hidden="1" x14ac:dyDescent="0.25">
      <c r="B233" s="227"/>
      <c r="C233" s="516" t="s">
        <v>856</v>
      </c>
      <c r="D233" s="516"/>
      <c r="E233" s="395">
        <f>COUNTIFS(E112:E231, "=No Response")</f>
        <v>0</v>
      </c>
      <c r="F233" s="379">
        <f>COUNTIFS(F112:F231, "=No Response")</f>
        <v>33</v>
      </c>
      <c r="G233" s="224"/>
      <c r="H233" s="393">
        <f>COUNTIFS(H112:H231, "=No Response")</f>
        <v>0</v>
      </c>
      <c r="I233" s="379">
        <f>COUNTIFS(I112:I231, "=No Response")</f>
        <v>33</v>
      </c>
      <c r="J233" s="224"/>
      <c r="K233" s="393">
        <f>COUNTIFS(K112:K231, "=No Response")</f>
        <v>0</v>
      </c>
      <c r="L233" s="379">
        <f>COUNTIFS(L112:L231, "=No Response")</f>
        <v>33</v>
      </c>
      <c r="M233" s="224"/>
    </row>
    <row r="234" spans="2:13" hidden="1" x14ac:dyDescent="0.25">
      <c r="B234" s="227"/>
      <c r="C234" s="516" t="s">
        <v>858</v>
      </c>
      <c r="D234" s="516"/>
      <c r="E234" s="395">
        <f>COUNTIFS(E112:E231, "=REMOVED")</f>
        <v>0</v>
      </c>
      <c r="F234" s="379">
        <f>COUNTIFS(F112:F231, "=REMOVED")</f>
        <v>1</v>
      </c>
      <c r="G234" s="224"/>
      <c r="H234" s="393">
        <f>COUNTIFS(H112:H231, "=REMOVED")</f>
        <v>0</v>
      </c>
      <c r="I234" s="379">
        <f>COUNTIFS(I112:I231, "=REMOVED")</f>
        <v>1</v>
      </c>
      <c r="J234" s="224"/>
      <c r="K234" s="393">
        <f>COUNTIFS(K112:K231, "=REMOVED")</f>
        <v>0</v>
      </c>
      <c r="L234" s="379">
        <f>COUNTIFS(L112:L231, "=REMOVED")</f>
        <v>1</v>
      </c>
      <c r="M234" s="224"/>
    </row>
    <row r="235" spans="2:13" ht="15.75" hidden="1" thickBot="1" x14ac:dyDescent="0.3">
      <c r="B235" s="328"/>
      <c r="C235" s="517" t="s">
        <v>859</v>
      </c>
      <c r="D235" s="517"/>
      <c r="E235" s="396">
        <f>COUNTIFS(E112:E231, "&gt;0")</f>
        <v>111</v>
      </c>
      <c r="F235" s="383">
        <f>COUNTIFS(F112:F231, "&gt;0")</f>
        <v>81</v>
      </c>
      <c r="G235" s="225"/>
      <c r="H235" s="394">
        <f>COUNTIFS(H112:H231, "&gt;0")</f>
        <v>111</v>
      </c>
      <c r="I235" s="383">
        <f>COUNTIFS(I112:I231, "&gt;0")</f>
        <v>84</v>
      </c>
      <c r="J235" s="225"/>
      <c r="K235" s="394">
        <f>COUNTIFS(K112:K231, "&gt;0")</f>
        <v>111</v>
      </c>
      <c r="L235" s="383">
        <f>COUNTIFS(L112:L231, "&gt;0")</f>
        <v>85</v>
      </c>
      <c r="M235" s="225"/>
    </row>
    <row r="236" spans="2:13" x14ac:dyDescent="0.25">
      <c r="B236" s="258"/>
      <c r="C236" s="259"/>
    </row>
    <row r="237" spans="2:13" x14ac:dyDescent="0.25">
      <c r="B237" s="258"/>
      <c r="C237" s="259"/>
    </row>
    <row r="238" spans="2:13" x14ac:dyDescent="0.25">
      <c r="B238" s="258"/>
      <c r="C238" s="259"/>
    </row>
    <row r="239" spans="2:13" x14ac:dyDescent="0.25">
      <c r="B239" s="258"/>
      <c r="C239" s="259"/>
    </row>
    <row r="240" spans="2:13" x14ac:dyDescent="0.25">
      <c r="B240" s="258"/>
      <c r="C240" s="259"/>
    </row>
    <row r="241" spans="2:3" x14ac:dyDescent="0.25">
      <c r="B241" s="258"/>
      <c r="C241" s="259"/>
    </row>
    <row r="242" spans="2:3" x14ac:dyDescent="0.25">
      <c r="B242" s="258"/>
      <c r="C242" s="259"/>
    </row>
    <row r="243" spans="2:3" x14ac:dyDescent="0.25">
      <c r="B243" s="258"/>
      <c r="C243" s="259"/>
    </row>
    <row r="244" spans="2:3" x14ac:dyDescent="0.25">
      <c r="B244" s="258"/>
      <c r="C244" s="259"/>
    </row>
    <row r="245" spans="2:3" x14ac:dyDescent="0.25">
      <c r="B245" s="258"/>
      <c r="C245" s="259"/>
    </row>
    <row r="246" spans="2:3" x14ac:dyDescent="0.25">
      <c r="B246" s="258"/>
      <c r="C246" s="259"/>
    </row>
    <row r="247" spans="2:3" x14ac:dyDescent="0.25">
      <c r="B247" s="258"/>
      <c r="C247" s="259"/>
    </row>
    <row r="248" spans="2:3" x14ac:dyDescent="0.25">
      <c r="B248" s="258"/>
      <c r="C248" s="259"/>
    </row>
    <row r="249" spans="2:3" x14ac:dyDescent="0.25">
      <c r="B249" s="258"/>
      <c r="C249" s="259"/>
    </row>
    <row r="250" spans="2:3" x14ac:dyDescent="0.25">
      <c r="B250" s="258"/>
      <c r="C250" s="259"/>
    </row>
    <row r="251" spans="2:3" x14ac:dyDescent="0.25">
      <c r="B251" s="258"/>
      <c r="C251" s="259"/>
    </row>
    <row r="252" spans="2:3" x14ac:dyDescent="0.25">
      <c r="B252" s="258"/>
      <c r="C252" s="259"/>
    </row>
  </sheetData>
  <sheetProtection algorithmName="SHA-512" hashValue="h0v9aFuSSZk9koOjEj8pl6lGM0XKfCb+rw9gHC7z1mKjW4kuzyPvfSJi5QvwY8RjyvrQ/vBEdZziOAz65vwhrA==" saltValue="f8xN8SnZjI5ncl7vtGVjcw==" spinCount="100000" sheet="1" objects="1" scenarios="1"/>
  <autoFilter ref="B111:M231" xr:uid="{FB045FD5-49DE-48E6-B4E2-384E8DB4E249}">
    <sortState ref="B112:M231">
      <sortCondition ref="C111:C231"/>
    </sortState>
  </autoFilter>
  <mergeCells count="3">
    <mergeCell ref="K110:M110"/>
    <mergeCell ref="E110:G110"/>
    <mergeCell ref="H110:J110"/>
  </mergeCells>
  <pageMargins left="0.7" right="0.7" top="0.75" bottom="0.75" header="0.3" footer="0.3"/>
  <pageSetup paperSize="3" scale="40" orientation="landscape" r:id="rId1"/>
  <headerFooter>
    <oddHeader>&amp;A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8"/>
    <pageSetUpPr fitToPage="1"/>
  </sheetPr>
  <dimension ref="A1:Z503"/>
  <sheetViews>
    <sheetView showGridLines="0" topLeftCell="I419" zoomScale="80" zoomScaleNormal="80" zoomScaleSheetLayoutView="50" workbookViewId="0">
      <selection activeCell="F25" sqref="F1:P1048576"/>
    </sheetView>
  </sheetViews>
  <sheetFormatPr defaultRowHeight="15" x14ac:dyDescent="0.25"/>
  <cols>
    <col min="1" max="1" width="5.7109375" customWidth="1"/>
    <col min="2" max="2" width="45.7109375" customWidth="1"/>
    <col min="3" max="7" width="20.85546875" customWidth="1"/>
    <col min="8" max="8" width="20.85546875" hidden="1" customWidth="1"/>
    <col min="9" max="10" width="20.85546875" customWidth="1"/>
    <col min="11" max="11" width="2.5703125" style="26" customWidth="1"/>
    <col min="12" max="12" width="3.85546875" style="49" customWidth="1"/>
    <col min="13" max="13" width="5.85546875" customWidth="1"/>
  </cols>
  <sheetData>
    <row r="1" spans="1:26" s="96" customFormat="1" ht="15.75" x14ac:dyDescent="0.25">
      <c r="A1" s="56" t="s">
        <v>243</v>
      </c>
      <c r="L1" s="327"/>
    </row>
    <row r="2" spans="1:26" s="96" customFormat="1" ht="26.25" x14ac:dyDescent="0.4">
      <c r="A2" s="112" t="s">
        <v>103</v>
      </c>
      <c r="L2" s="327"/>
    </row>
    <row r="3" spans="1:26" s="49" customFormat="1" ht="14.25" customHeight="1" x14ac:dyDescent="0.5">
      <c r="B3" s="53"/>
      <c r="C3" s="53"/>
      <c r="D3" s="53"/>
      <c r="E3" s="53"/>
      <c r="F3" s="53"/>
      <c r="G3" s="53"/>
      <c r="H3" s="53"/>
      <c r="I3" s="53"/>
      <c r="J3" s="53"/>
      <c r="K3" s="53"/>
    </row>
    <row r="4" spans="1:26" s="10" customFormat="1" ht="18" customHeight="1" x14ac:dyDescent="0.3">
      <c r="A4" s="47" t="s">
        <v>961</v>
      </c>
      <c r="C4" s="4"/>
      <c r="D4" s="46"/>
      <c r="E4" s="46"/>
      <c r="F4" s="46"/>
      <c r="G4" s="46"/>
      <c r="H4" s="46"/>
      <c r="I4" s="46"/>
      <c r="J4" s="46"/>
      <c r="K4" s="9"/>
      <c r="L4" s="50"/>
      <c r="M4" s="45" t="s">
        <v>120</v>
      </c>
    </row>
    <row r="5" spans="1:26" s="10" customFormat="1" ht="18" customHeight="1" x14ac:dyDescent="0.3">
      <c r="B5" s="47"/>
      <c r="C5" s="4"/>
      <c r="D5" s="46"/>
      <c r="E5" s="46"/>
      <c r="F5" s="46"/>
      <c r="G5" s="46"/>
      <c r="H5" s="46"/>
      <c r="I5" s="46"/>
      <c r="J5" s="46"/>
      <c r="K5" s="9"/>
      <c r="L5" s="50"/>
      <c r="M5" s="45"/>
    </row>
    <row r="6" spans="1:26" s="10" customFormat="1" ht="15.75" thickBot="1" x14ac:dyDescent="0.3">
      <c r="B6" s="46" t="s">
        <v>974</v>
      </c>
      <c r="C6" s="46"/>
      <c r="D6" s="46"/>
      <c r="E6" s="46"/>
      <c r="F6" s="46"/>
      <c r="G6" s="46"/>
      <c r="H6" s="46"/>
      <c r="I6" s="46"/>
      <c r="J6" s="46"/>
      <c r="K6" s="110"/>
      <c r="L6" s="50"/>
    </row>
    <row r="7" spans="1:26" s="10" customFormat="1" ht="60" x14ac:dyDescent="0.25">
      <c r="B7" s="25" t="s">
        <v>6</v>
      </c>
      <c r="C7" s="33" t="s">
        <v>168</v>
      </c>
      <c r="D7" s="33" t="s">
        <v>169</v>
      </c>
      <c r="E7" s="412" t="s">
        <v>811</v>
      </c>
      <c r="F7" s="33" t="s">
        <v>182</v>
      </c>
      <c r="G7" s="33" t="s">
        <v>183</v>
      </c>
      <c r="H7" s="33" t="s">
        <v>128</v>
      </c>
      <c r="I7" s="33" t="s">
        <v>167</v>
      </c>
      <c r="J7" s="34" t="s">
        <v>166</v>
      </c>
      <c r="K7" s="326"/>
      <c r="L7" s="50"/>
    </row>
    <row r="8" spans="1:26" s="10" customFormat="1" x14ac:dyDescent="0.25">
      <c r="B8" s="19" t="s">
        <v>7</v>
      </c>
      <c r="C8" s="63">
        <f>IFERROR(AVERAGEIFS($E$36:$E$155,$C$36:$C$155,"="&amp;B8), "NA")</f>
        <v>3</v>
      </c>
      <c r="D8" s="63">
        <f>IFERROR(AVERAGEIFS($E$163:$E$386,$C$163:$C$386,"="&amp;B8), "NA")</f>
        <v>3.5333333333333332</v>
      </c>
      <c r="E8" s="38">
        <f>IFERROR(ABS(D8-C8), "NA")</f>
        <v>0.53333333333333321</v>
      </c>
      <c r="F8" s="35">
        <f t="shared" ref="F8:F19" si="0">COUNTIFS($C$36:$C$159, "="&amp;B8,$E$36:$E$159,"&gt;=0")</f>
        <v>6</v>
      </c>
      <c r="G8" s="35">
        <f t="shared" ref="G8:G19" si="1">COUNTIFS($E$163:$E$386, "&gt;=0", $C$163:$C$386, "="&amp;B8)</f>
        <v>15</v>
      </c>
      <c r="H8" s="116" t="s">
        <v>126</v>
      </c>
      <c r="I8" s="37">
        <f t="shared" ref="I8:I19" si="2">IF(AND(ISNUMBER(C8),ISNUMBER(D8)),IF(H8="Average All",((F8*C8)+(G8*D8))/(F8+G8),AVERAGE(C8:D8)), IF(AND(C8="NA", ISNUMBER(D8)), D8, "NA"))</f>
        <v>3.2666666666666666</v>
      </c>
      <c r="J8" s="39">
        <f>I8</f>
        <v>3.2666666666666666</v>
      </c>
      <c r="K8" s="26"/>
      <c r="L8" s="50"/>
    </row>
    <row r="9" spans="1:26" s="10" customFormat="1" x14ac:dyDescent="0.25">
      <c r="B9" s="19" t="s">
        <v>34</v>
      </c>
      <c r="C9" s="63" t="str">
        <f t="shared" ref="C9:C19" si="3">IFERROR(AVERAGEIFS($E$36:$E$155,$C$36:$C$155,"="&amp;B9), "NA")</f>
        <v>NA</v>
      </c>
      <c r="D9" s="63" t="str">
        <f t="shared" ref="D9:D19" si="4">IFERROR(AVERAGEIFS($E$163:$E$386,$C$163:$C$386,"="&amp;B9), "NA")</f>
        <v>NA</v>
      </c>
      <c r="E9" s="38" t="str">
        <f t="shared" ref="E9:E19" si="5">IFERROR(ABS(D9-C9), "NA")</f>
        <v>NA</v>
      </c>
      <c r="F9" s="35">
        <f t="shared" si="0"/>
        <v>0</v>
      </c>
      <c r="G9" s="35">
        <f t="shared" si="1"/>
        <v>0</v>
      </c>
      <c r="H9" s="116" t="s">
        <v>125</v>
      </c>
      <c r="I9" s="37" t="str">
        <f t="shared" si="2"/>
        <v>NA</v>
      </c>
      <c r="J9" s="39" t="str">
        <f t="shared" ref="J9:J19" si="6">I9</f>
        <v>NA</v>
      </c>
      <c r="K9" s="26"/>
      <c r="L9" s="50"/>
    </row>
    <row r="10" spans="1:26" s="10" customFormat="1" ht="18" customHeight="1" x14ac:dyDescent="0.25">
      <c r="B10" s="19" t="s">
        <v>8</v>
      </c>
      <c r="C10" s="63">
        <f t="shared" si="3"/>
        <v>4</v>
      </c>
      <c r="D10" s="63">
        <f t="shared" si="4"/>
        <v>3.5714285714285716</v>
      </c>
      <c r="E10" s="38">
        <f t="shared" si="5"/>
        <v>0.42857142857142838</v>
      </c>
      <c r="F10" s="35">
        <f t="shared" si="0"/>
        <v>1</v>
      </c>
      <c r="G10" s="35">
        <f t="shared" si="1"/>
        <v>14</v>
      </c>
      <c r="H10" s="116" t="s">
        <v>125</v>
      </c>
      <c r="I10" s="37">
        <f t="shared" si="2"/>
        <v>3.6</v>
      </c>
      <c r="J10" s="39">
        <f t="shared" si="6"/>
        <v>3.6</v>
      </c>
      <c r="K10" s="26"/>
      <c r="L10" s="50"/>
    </row>
    <row r="11" spans="1:26" s="10" customFormat="1" ht="18" customHeight="1" x14ac:dyDescent="0.25">
      <c r="B11" s="19" t="s">
        <v>9</v>
      </c>
      <c r="C11" s="63">
        <f t="shared" si="3"/>
        <v>2.7777777777777777</v>
      </c>
      <c r="D11" s="63">
        <f t="shared" si="4"/>
        <v>3.3571428571428572</v>
      </c>
      <c r="E11" s="38">
        <f t="shared" si="5"/>
        <v>0.57936507936507953</v>
      </c>
      <c r="F11" s="35">
        <f t="shared" si="0"/>
        <v>9</v>
      </c>
      <c r="G11" s="35">
        <f t="shared" si="1"/>
        <v>14</v>
      </c>
      <c r="H11" s="116" t="s">
        <v>126</v>
      </c>
      <c r="I11" s="37">
        <f t="shared" si="2"/>
        <v>3.0674603174603172</v>
      </c>
      <c r="J11" s="39">
        <f t="shared" si="6"/>
        <v>3.0674603174603172</v>
      </c>
      <c r="K11" s="26"/>
      <c r="L11" s="50"/>
      <c r="M11" s="46"/>
      <c r="N11" s="46"/>
      <c r="O11" s="46"/>
      <c r="P11" s="46"/>
      <c r="Q11" s="46"/>
      <c r="R11" s="46"/>
      <c r="S11" s="46"/>
      <c r="T11" s="46"/>
      <c r="U11" s="46"/>
      <c r="V11" s="46"/>
      <c r="W11" s="46"/>
      <c r="X11" s="46"/>
      <c r="Y11" s="46"/>
      <c r="Z11" s="46"/>
    </row>
    <row r="12" spans="1:26" s="13" customFormat="1" x14ac:dyDescent="0.25">
      <c r="B12" s="19" t="s">
        <v>10</v>
      </c>
      <c r="C12" s="63">
        <f t="shared" si="3"/>
        <v>1</v>
      </c>
      <c r="D12" s="63">
        <f t="shared" si="4"/>
        <v>2.9285714285714284</v>
      </c>
      <c r="E12" s="38">
        <f t="shared" si="5"/>
        <v>1.9285714285714284</v>
      </c>
      <c r="F12" s="35">
        <f t="shared" si="0"/>
        <v>1</v>
      </c>
      <c r="G12" s="35">
        <f t="shared" si="1"/>
        <v>14</v>
      </c>
      <c r="H12" s="116" t="s">
        <v>125</v>
      </c>
      <c r="I12" s="37">
        <f t="shared" si="2"/>
        <v>2.8</v>
      </c>
      <c r="J12" s="39">
        <f t="shared" si="6"/>
        <v>2.8</v>
      </c>
      <c r="K12" s="26"/>
      <c r="L12" s="50"/>
    </row>
    <row r="13" spans="1:26" x14ac:dyDescent="0.25">
      <c r="B13" s="19" t="s">
        <v>11</v>
      </c>
      <c r="C13" s="63">
        <f t="shared" si="3"/>
        <v>3.7</v>
      </c>
      <c r="D13" s="63">
        <f t="shared" si="4"/>
        <v>3.8571428571428572</v>
      </c>
      <c r="E13" s="38">
        <f t="shared" si="5"/>
        <v>0.15714285714285703</v>
      </c>
      <c r="F13" s="35">
        <f t="shared" si="0"/>
        <v>10</v>
      </c>
      <c r="G13" s="35">
        <f t="shared" si="1"/>
        <v>14</v>
      </c>
      <c r="H13" s="116" t="s">
        <v>126</v>
      </c>
      <c r="I13" s="37">
        <f t="shared" si="2"/>
        <v>3.7785714285714285</v>
      </c>
      <c r="J13" s="39">
        <f t="shared" si="6"/>
        <v>3.7785714285714285</v>
      </c>
      <c r="L13" s="50"/>
    </row>
    <row r="14" spans="1:26" x14ac:dyDescent="0.25">
      <c r="B14" s="19" t="s">
        <v>12</v>
      </c>
      <c r="C14" s="63">
        <f t="shared" si="3"/>
        <v>4.125</v>
      </c>
      <c r="D14" s="63">
        <f t="shared" si="4"/>
        <v>3.5714285714285716</v>
      </c>
      <c r="E14" s="38">
        <f t="shared" si="5"/>
        <v>0.55357142857142838</v>
      </c>
      <c r="F14" s="35">
        <f t="shared" si="0"/>
        <v>16</v>
      </c>
      <c r="G14" s="35">
        <f t="shared" si="1"/>
        <v>14</v>
      </c>
      <c r="H14" s="116" t="s">
        <v>126</v>
      </c>
      <c r="I14" s="37">
        <f t="shared" si="2"/>
        <v>3.8482142857142856</v>
      </c>
      <c r="J14" s="39">
        <f t="shared" si="6"/>
        <v>3.8482142857142856</v>
      </c>
      <c r="L14" s="50"/>
    </row>
    <row r="15" spans="1:26" x14ac:dyDescent="0.25">
      <c r="B15" s="19" t="s">
        <v>13</v>
      </c>
      <c r="C15" s="63">
        <f t="shared" si="3"/>
        <v>3.5</v>
      </c>
      <c r="D15" s="63">
        <f t="shared" si="4"/>
        <v>2.3846153846153846</v>
      </c>
      <c r="E15" s="38">
        <f t="shared" si="5"/>
        <v>1.1153846153846154</v>
      </c>
      <c r="F15" s="35">
        <f t="shared" si="0"/>
        <v>2</v>
      </c>
      <c r="G15" s="35">
        <f t="shared" si="1"/>
        <v>13</v>
      </c>
      <c r="H15" s="116" t="s">
        <v>125</v>
      </c>
      <c r="I15" s="37">
        <f t="shared" si="2"/>
        <v>2.5333333333333332</v>
      </c>
      <c r="J15" s="39">
        <f t="shared" si="6"/>
        <v>2.5333333333333332</v>
      </c>
      <c r="L15" s="50"/>
    </row>
    <row r="16" spans="1:26" x14ac:dyDescent="0.25">
      <c r="B16" s="19" t="s">
        <v>14</v>
      </c>
      <c r="C16" s="63">
        <f t="shared" si="3"/>
        <v>3.15</v>
      </c>
      <c r="D16" s="63">
        <f t="shared" si="4"/>
        <v>3.2857142857142856</v>
      </c>
      <c r="E16" s="38">
        <f t="shared" si="5"/>
        <v>0.13571428571428568</v>
      </c>
      <c r="F16" s="35">
        <f t="shared" si="0"/>
        <v>20</v>
      </c>
      <c r="G16" s="35">
        <f t="shared" si="1"/>
        <v>14</v>
      </c>
      <c r="H16" s="116" t="s">
        <v>126</v>
      </c>
      <c r="I16" s="37">
        <f t="shared" si="2"/>
        <v>3.2178571428571425</v>
      </c>
      <c r="J16" s="39">
        <f t="shared" si="6"/>
        <v>3.2178571428571425</v>
      </c>
      <c r="L16" s="51"/>
    </row>
    <row r="17" spans="2:12" x14ac:dyDescent="0.25">
      <c r="B17" s="19" t="s">
        <v>15</v>
      </c>
      <c r="C17" s="63">
        <f t="shared" si="3"/>
        <v>4</v>
      </c>
      <c r="D17" s="63">
        <f t="shared" si="4"/>
        <v>3.2857142857142856</v>
      </c>
      <c r="E17" s="38">
        <f t="shared" si="5"/>
        <v>0.71428571428571441</v>
      </c>
      <c r="F17" s="35">
        <f t="shared" si="0"/>
        <v>2</v>
      </c>
      <c r="G17" s="35">
        <f t="shared" si="1"/>
        <v>14</v>
      </c>
      <c r="H17" s="116" t="s">
        <v>125</v>
      </c>
      <c r="I17" s="37">
        <f t="shared" si="2"/>
        <v>3.375</v>
      </c>
      <c r="J17" s="39">
        <f t="shared" si="6"/>
        <v>3.375</v>
      </c>
    </row>
    <row r="18" spans="2:12" x14ac:dyDescent="0.25">
      <c r="B18" s="19" t="s">
        <v>16</v>
      </c>
      <c r="C18" s="63">
        <f t="shared" si="3"/>
        <v>4</v>
      </c>
      <c r="D18" s="63">
        <f t="shared" si="4"/>
        <v>4.1428571428571432</v>
      </c>
      <c r="E18" s="38">
        <f t="shared" si="5"/>
        <v>0.14285714285714324</v>
      </c>
      <c r="F18" s="35">
        <f t="shared" si="0"/>
        <v>5</v>
      </c>
      <c r="G18" s="35">
        <f t="shared" si="1"/>
        <v>14</v>
      </c>
      <c r="H18" s="116" t="s">
        <v>126</v>
      </c>
      <c r="I18" s="37">
        <f t="shared" si="2"/>
        <v>4.0714285714285712</v>
      </c>
      <c r="J18" s="39">
        <f t="shared" si="6"/>
        <v>4.0714285714285712</v>
      </c>
      <c r="L18" s="52"/>
    </row>
    <row r="19" spans="2:12" ht="15.75" thickBot="1" x14ac:dyDescent="0.3">
      <c r="B19" s="20" t="s">
        <v>17</v>
      </c>
      <c r="C19" s="64">
        <f t="shared" si="3"/>
        <v>3.1428571428571428</v>
      </c>
      <c r="D19" s="64">
        <f t="shared" si="4"/>
        <v>3.8571428571428572</v>
      </c>
      <c r="E19" s="41">
        <f t="shared" si="5"/>
        <v>0.71428571428571441</v>
      </c>
      <c r="F19" s="36">
        <f t="shared" si="0"/>
        <v>14</v>
      </c>
      <c r="G19" s="36">
        <f t="shared" si="1"/>
        <v>14</v>
      </c>
      <c r="H19" s="117" t="s">
        <v>126</v>
      </c>
      <c r="I19" s="40">
        <f t="shared" si="2"/>
        <v>3.5</v>
      </c>
      <c r="J19" s="42">
        <f t="shared" si="6"/>
        <v>3.5</v>
      </c>
    </row>
    <row r="20" spans="2:12" x14ac:dyDescent="0.25">
      <c r="L20" s="52"/>
    </row>
    <row r="21" spans="2:12" hidden="1" x14ac:dyDescent="0.25">
      <c r="B21" s="1" t="s">
        <v>846</v>
      </c>
      <c r="L21" s="52"/>
    </row>
    <row r="22" spans="2:12" hidden="1" x14ac:dyDescent="0.25">
      <c r="B22" s="494" t="s">
        <v>851</v>
      </c>
      <c r="C22" s="457"/>
      <c r="D22" s="457"/>
      <c r="E22" s="457"/>
      <c r="F22" s="457"/>
      <c r="G22" s="457"/>
      <c r="H22" s="457"/>
      <c r="I22" s="457"/>
      <c r="J22" s="458"/>
      <c r="L22" s="52"/>
    </row>
    <row r="23" spans="2:12" hidden="1" x14ac:dyDescent="0.25">
      <c r="B23" s="463" t="s">
        <v>848</v>
      </c>
      <c r="C23" s="11"/>
      <c r="D23" s="11"/>
      <c r="E23" s="11"/>
      <c r="F23" s="11"/>
      <c r="G23" s="11"/>
      <c r="H23" s="11"/>
      <c r="I23" s="241">
        <f>MAX(I8:I19)</f>
        <v>4.0714285714285712</v>
      </c>
      <c r="J23" s="465">
        <f>MAX(J8:J19)</f>
        <v>4.0714285714285712</v>
      </c>
      <c r="L23" s="52"/>
    </row>
    <row r="24" spans="2:12" ht="45" hidden="1" x14ac:dyDescent="0.25">
      <c r="B24" s="463" t="s">
        <v>849</v>
      </c>
      <c r="C24" s="81"/>
      <c r="D24" s="81"/>
      <c r="E24" s="81"/>
      <c r="F24" s="81"/>
      <c r="G24" s="81"/>
      <c r="H24" s="81"/>
      <c r="I24" s="461" t="str">
        <f>INDEX($B8:$B19,MATCH(I23,I8:I19,0))</f>
        <v>Urban and Agricultural Water Use Efficiency</v>
      </c>
      <c r="J24" s="462" t="str">
        <f>INDEX($B$8:$B$19,MATCH(J23,J8:J19,0))</f>
        <v>Urban and Agricultural Water Use Efficiency</v>
      </c>
      <c r="L24" s="52"/>
    </row>
    <row r="25" spans="2:12" hidden="1" x14ac:dyDescent="0.25">
      <c r="B25" s="504" t="s">
        <v>861</v>
      </c>
      <c r="C25" s="495"/>
      <c r="D25" s="495"/>
      <c r="E25" s="495"/>
      <c r="F25" s="495"/>
      <c r="G25" s="495"/>
      <c r="H25" s="495"/>
      <c r="I25" s="497">
        <f>LARGE(I8:I19,2)</f>
        <v>3.8482142857142856</v>
      </c>
      <c r="J25" s="498">
        <f>LARGE(J8:J19,2)</f>
        <v>3.8482142857142856</v>
      </c>
      <c r="L25" s="52"/>
    </row>
    <row r="26" spans="2:12" hidden="1" x14ac:dyDescent="0.25">
      <c r="B26" s="505" t="s">
        <v>862</v>
      </c>
      <c r="C26" s="496"/>
      <c r="D26" s="496"/>
      <c r="E26" s="496"/>
      <c r="F26" s="496"/>
      <c r="G26" s="496"/>
      <c r="H26" s="496"/>
      <c r="I26" s="499" t="str">
        <f>INDEX($B8:$B19,MATCH(I25,I8:I19,0))</f>
        <v>Recycled Water</v>
      </c>
      <c r="J26" s="500" t="str">
        <f>INDEX($B8:$B19,MATCH(J25,J8:J19,0))</f>
        <v>Recycled Water</v>
      </c>
      <c r="L26" s="52"/>
    </row>
    <row r="27" spans="2:12" hidden="1" x14ac:dyDescent="0.25">
      <c r="B27" s="463" t="s">
        <v>847</v>
      </c>
      <c r="C27" s="11"/>
      <c r="D27" s="11"/>
      <c r="E27" s="11"/>
      <c r="F27" s="11"/>
      <c r="G27" s="11"/>
      <c r="H27" s="11"/>
      <c r="I27" s="241">
        <f>MIN(I8:I19)</f>
        <v>2.5333333333333332</v>
      </c>
      <c r="J27" s="464">
        <f>MIN(J8:J19)</f>
        <v>2.5333333333333332</v>
      </c>
      <c r="L27" s="52"/>
    </row>
    <row r="28" spans="2:12" ht="30" hidden="1" x14ac:dyDescent="0.25">
      <c r="B28" s="505" t="s">
        <v>850</v>
      </c>
      <c r="C28" s="496"/>
      <c r="D28" s="496"/>
      <c r="E28" s="496"/>
      <c r="F28" s="496"/>
      <c r="G28" s="496"/>
      <c r="H28" s="496"/>
      <c r="I28" s="499" t="str">
        <f>INDEX($B8:$B19,MATCH(I27,I8:I19,0))</f>
        <v>Seawater Desalination</v>
      </c>
      <c r="J28" s="500" t="str">
        <f>INDEX($B$8:$B$19,MATCH(J$27,$I$8:$I$19,0))</f>
        <v>Seawater Desalination</v>
      </c>
      <c r="L28" s="52"/>
    </row>
    <row r="29" spans="2:12" hidden="1" x14ac:dyDescent="0.25">
      <c r="B29" s="504" t="s">
        <v>864</v>
      </c>
      <c r="C29" s="495"/>
      <c r="D29" s="495"/>
      <c r="E29" s="495"/>
      <c r="F29" s="495"/>
      <c r="G29" s="495"/>
      <c r="H29" s="495"/>
      <c r="I29" s="497">
        <f>SMALL(I8:I19,2)</f>
        <v>2.8</v>
      </c>
      <c r="J29" s="498">
        <f>SMALL(J8:J19,2)</f>
        <v>2.8</v>
      </c>
      <c r="L29" s="52"/>
    </row>
    <row r="30" spans="2:12" ht="30" hidden="1" x14ac:dyDescent="0.25">
      <c r="B30" s="505" t="s">
        <v>863</v>
      </c>
      <c r="C30" s="496"/>
      <c r="D30" s="496"/>
      <c r="E30" s="496"/>
      <c r="F30" s="496"/>
      <c r="G30" s="496"/>
      <c r="H30" s="496"/>
      <c r="I30" s="499" t="str">
        <f>INDEX($B8:$B19,MATCH(I29,I8:I19,0))</f>
        <v>Imported Water Purchases</v>
      </c>
      <c r="J30" s="500" t="str">
        <f>INDEX($B8:$B19,MATCH(J29,J8:J19,0))</f>
        <v>Imported Water Purchases</v>
      </c>
      <c r="L30" s="52"/>
    </row>
    <row r="31" spans="2:12" hidden="1" x14ac:dyDescent="0.25">
      <c r="B31" s="506" t="s">
        <v>844</v>
      </c>
      <c r="C31" s="501"/>
      <c r="D31" s="501"/>
      <c r="E31" s="501"/>
      <c r="F31" s="501"/>
      <c r="G31" s="501"/>
      <c r="H31" s="501"/>
      <c r="I31" s="502">
        <f>I23-I27</f>
        <v>1.538095238095238</v>
      </c>
      <c r="J31" s="503">
        <f>J23-J27</f>
        <v>1.538095238095238</v>
      </c>
      <c r="L31" s="52"/>
    </row>
    <row r="32" spans="2:12" ht="15.75" hidden="1" thickBot="1" x14ac:dyDescent="0.3">
      <c r="B32" s="507" t="s">
        <v>865</v>
      </c>
      <c r="C32" s="316"/>
      <c r="D32" s="316"/>
      <c r="E32" s="316"/>
      <c r="F32" s="316"/>
      <c r="G32" s="316"/>
      <c r="H32" s="316"/>
      <c r="I32" s="41">
        <f>AVERAGE(I8:I19)</f>
        <v>3.3689574314574311</v>
      </c>
      <c r="J32" s="44">
        <f>AVERAGE(J8:J19)</f>
        <v>3.3689574314574311</v>
      </c>
      <c r="L32" s="52"/>
    </row>
    <row r="33" spans="2:12" hidden="1" x14ac:dyDescent="0.25">
      <c r="L33" s="52"/>
    </row>
    <row r="34" spans="2:12" hidden="1" x14ac:dyDescent="0.25">
      <c r="B34" s="1" t="s">
        <v>730</v>
      </c>
    </row>
    <row r="35" spans="2:12" ht="54.75" hidden="1" customHeight="1" thickBot="1" x14ac:dyDescent="0.3">
      <c r="B35" s="348" t="s">
        <v>37</v>
      </c>
      <c r="C35" s="414" t="s">
        <v>6</v>
      </c>
      <c r="D35" s="415"/>
      <c r="E35" s="347" t="s">
        <v>168</v>
      </c>
      <c r="L35" s="52"/>
    </row>
    <row r="36" spans="2:12" ht="15" hidden="1" customHeight="1" x14ac:dyDescent="0.25">
      <c r="B36" s="329" t="str">
        <f>'Project-Level Data'!B22</f>
        <v>Dulzura Conduit Refurbishment</v>
      </c>
      <c r="C36" s="474" t="str">
        <f>'Project-Level Data'!C22</f>
        <v>Conveyance Improvement</v>
      </c>
      <c r="D36" s="477"/>
      <c r="E36" s="377">
        <f>'Project-Level Data'!AL22</f>
        <v>3</v>
      </c>
    </row>
    <row r="37" spans="2:12" hidden="1" x14ac:dyDescent="0.25">
      <c r="B37" s="227" t="str">
        <f>'Project-Level Data'!B53</f>
        <v>Mission Trails Projects Alternative 1</v>
      </c>
      <c r="C37" s="475" t="str">
        <f>'Project-Level Data'!C53</f>
        <v>Conveyance Improvement</v>
      </c>
      <c r="D37" s="477"/>
      <c r="E37" s="381">
        <f>'Project-Level Data'!AL53</f>
        <v>3</v>
      </c>
      <c r="L37" s="52"/>
    </row>
    <row r="38" spans="2:12" hidden="1" x14ac:dyDescent="0.25">
      <c r="B38" s="227" t="str">
        <f>'Project-Level Data'!B72</f>
        <v>Pipeline 3/Pipeline 4 Conversion</v>
      </c>
      <c r="C38" s="475" t="str">
        <f>'Project-Level Data'!C72</f>
        <v>Conveyance Improvement</v>
      </c>
      <c r="D38" s="477"/>
      <c r="E38" s="381">
        <f>'Project-Level Data'!AL72</f>
        <v>3</v>
      </c>
      <c r="L38" s="52"/>
    </row>
    <row r="39" spans="2:12" hidden="1" x14ac:dyDescent="0.25">
      <c r="B39" s="227" t="str">
        <f>'Project-Level Data'!B89</f>
        <v>San Diego County Reservoir Intertie</v>
      </c>
      <c r="C39" s="475" t="str">
        <f>'Project-Level Data'!C89</f>
        <v>Conveyance Improvement</v>
      </c>
      <c r="D39" s="477"/>
      <c r="E39" s="381">
        <f>'Project-Level Data'!AL89</f>
        <v>3</v>
      </c>
    </row>
    <row r="40" spans="2:12" hidden="1" x14ac:dyDescent="0.25">
      <c r="B40" s="227" t="str">
        <f>'Project-Level Data'!B100</f>
        <v>San Vicente 3rd Pump Drive and Power</v>
      </c>
      <c r="C40" s="475" t="str">
        <f>'Project-Level Data'!C100</f>
        <v>Conveyance Improvement</v>
      </c>
      <c r="D40" s="477"/>
      <c r="E40" s="381">
        <f>'Project-Level Data'!AL100</f>
        <v>3</v>
      </c>
    </row>
    <row r="41" spans="2:12" hidden="1" x14ac:dyDescent="0.25">
      <c r="B41" s="227" t="str">
        <f>'Project-Level Data'!B103</f>
        <v>Second Crossover Pipeline</v>
      </c>
      <c r="C41" s="475" t="str">
        <f>'Project-Level Data'!C103</f>
        <v>Conveyance Improvement</v>
      </c>
      <c r="D41" s="477"/>
      <c r="E41" s="381">
        <f>'Project-Level Data'!AL103</f>
        <v>3</v>
      </c>
    </row>
    <row r="42" spans="2:12" ht="15" hidden="1" customHeight="1" x14ac:dyDescent="0.25">
      <c r="B42" s="227" t="str">
        <f>'Project-Level Data'!B27</f>
        <v xml:space="preserve">Enhanced Conservation </v>
      </c>
      <c r="C42" s="475" t="str">
        <f>'Project-Level Data'!C27</f>
        <v>Enhanced Conservation</v>
      </c>
      <c r="D42" s="477"/>
      <c r="E42" s="381" t="str">
        <f>'Project-Level Data'!AL27</f>
        <v>REMOVED</v>
      </c>
    </row>
    <row r="43" spans="2:12" ht="15" hidden="1" customHeight="1" x14ac:dyDescent="0.25">
      <c r="B43" s="227" t="str">
        <f>'Project-Level Data'!B21</f>
        <v>Conservation Home Makeover in the Chollas Creek Watershed</v>
      </c>
      <c r="C43" s="475" t="str">
        <f>'Project-Level Data'!C21</f>
        <v>Gray Water Use</v>
      </c>
      <c r="D43" s="477"/>
      <c r="E43" s="381" t="str">
        <f>'Project-Level Data'!AL21</f>
        <v>No Response</v>
      </c>
    </row>
    <row r="44" spans="2:12" hidden="1" x14ac:dyDescent="0.25">
      <c r="B44" s="227" t="str">
        <f>'Project-Level Data'!B33</f>
        <v>Graywater pilot project</v>
      </c>
      <c r="C44" s="475" t="str">
        <f>'Project-Level Data'!C33</f>
        <v>Gray Water Use</v>
      </c>
      <c r="D44" s="477"/>
      <c r="E44" s="381">
        <f>'Project-Level Data'!AL33</f>
        <v>4</v>
      </c>
    </row>
    <row r="45" spans="2:12" ht="15" hidden="1" customHeight="1" x14ac:dyDescent="0.25">
      <c r="B45" s="227" t="str">
        <f>'Project-Level Data'!B34</f>
        <v>Groundwater Extraction Santee/El Monte</v>
      </c>
      <c r="C45" s="475" t="str">
        <f>'Project-Level Data'!C34</f>
        <v>Groundwater</v>
      </c>
      <c r="D45" s="477"/>
      <c r="E45" s="381">
        <f>'Project-Level Data'!AL34</f>
        <v>3</v>
      </c>
    </row>
    <row r="46" spans="2:12" ht="25.5" hidden="1" x14ac:dyDescent="0.25">
      <c r="B46" s="227" t="str">
        <f>'Project-Level Data'!B52</f>
        <v>Middle Sweetwater River Basin Groundwater Well System</v>
      </c>
      <c r="C46" s="475" t="str">
        <f>'Project-Level Data'!C52</f>
        <v>Groundwater</v>
      </c>
      <c r="D46" s="477"/>
      <c r="E46" s="381">
        <f>'Project-Level Data'!AL52</f>
        <v>3</v>
      </c>
    </row>
    <row r="47" spans="2:12" hidden="1" x14ac:dyDescent="0.25">
      <c r="B47" s="227" t="str">
        <f>'Project-Level Data'!B54</f>
        <v>Mission Valley Brackish Groundwater Recovery Project</v>
      </c>
      <c r="C47" s="475" t="str">
        <f>'Project-Level Data'!C54</f>
        <v>Groundwater</v>
      </c>
      <c r="D47" s="477"/>
      <c r="E47" s="381">
        <f>'Project-Level Data'!AL54</f>
        <v>3</v>
      </c>
    </row>
    <row r="48" spans="2:12" ht="15" hidden="1" customHeight="1" x14ac:dyDescent="0.25">
      <c r="B48" s="227" t="str">
        <f>'Project-Level Data'!B67</f>
        <v>Otay Mesa Lot 7 Groundwater Well System (capacity)</v>
      </c>
      <c r="C48" s="475" t="str">
        <f>'Project-Level Data'!C67</f>
        <v>Groundwater</v>
      </c>
      <c r="D48" s="477"/>
      <c r="E48" s="381">
        <f>'Project-Level Data'!AL67</f>
        <v>1</v>
      </c>
    </row>
    <row r="49" spans="2:5" ht="25.5" hidden="1" x14ac:dyDescent="0.25">
      <c r="B49" s="227" t="str">
        <f>'Project-Level Data'!B68</f>
        <v>Otay River Valley GW Aquifer Studies &amp; Field Investigations</v>
      </c>
      <c r="C49" s="475" t="str">
        <f>'Project-Level Data'!C68</f>
        <v>Groundwater</v>
      </c>
      <c r="D49" s="477"/>
      <c r="E49" s="381">
        <f>'Project-Level Data'!AL68</f>
        <v>3</v>
      </c>
    </row>
    <row r="50" spans="2:5" ht="25.5" hidden="1" x14ac:dyDescent="0.25">
      <c r="B50" s="227" t="str">
        <f>'Project-Level Data'!B79</f>
        <v>Rancho del Rey Groundwater Well Development (capacity)</v>
      </c>
      <c r="C50" s="475" t="str">
        <f>'Project-Level Data'!C79</f>
        <v>Groundwater</v>
      </c>
      <c r="D50" s="477"/>
      <c r="E50" s="381">
        <f>'Project-Level Data'!AL79</f>
        <v>1</v>
      </c>
    </row>
    <row r="51" spans="2:5" ht="15" hidden="1" customHeight="1" x14ac:dyDescent="0.25">
      <c r="B51" s="227" t="str">
        <f>'Project-Level Data'!B90</f>
        <v>San Diego Formation - Southeaster San Diego, including Mt Hope</v>
      </c>
      <c r="C51" s="475" t="str">
        <f>'Project-Level Data'!C90</f>
        <v>Groundwater</v>
      </c>
      <c r="D51" s="477"/>
      <c r="E51" s="381">
        <f>'Project-Level Data'!AL90</f>
        <v>4</v>
      </c>
    </row>
    <row r="52" spans="2:5" ht="25.5" hidden="1" x14ac:dyDescent="0.25">
      <c r="B52" s="227" t="str">
        <f>'Project-Level Data'!B94</f>
        <v>San Dieguito River Basin Brackish GW Recovery and Treatment</v>
      </c>
      <c r="C52" s="475" t="str">
        <f>'Project-Level Data'!C94</f>
        <v>Groundwater</v>
      </c>
      <c r="D52" s="477"/>
      <c r="E52" s="381">
        <f>'Project-Level Data'!AL94</f>
        <v>5</v>
      </c>
    </row>
    <row r="53" spans="2:5" hidden="1" x14ac:dyDescent="0.25">
      <c r="B53" s="227" t="str">
        <f>'Project-Level Data'!B95</f>
        <v>San Luis Rey Groundwater Study</v>
      </c>
      <c r="C53" s="475" t="str">
        <f>'Project-Level Data'!C95</f>
        <v>Groundwater</v>
      </c>
      <c r="D53" s="477"/>
      <c r="E53" s="381" t="str">
        <f>'Project-Level Data'!AL95</f>
        <v>No Response</v>
      </c>
    </row>
    <row r="54" spans="2:5" hidden="1" x14ac:dyDescent="0.25">
      <c r="B54" s="227" t="str">
        <f>'Project-Level Data'!B99</f>
        <v>San Pasqual Brackish Groundwater Recovery Project</v>
      </c>
      <c r="C54" s="475" t="str">
        <f>'Project-Level Data'!C99</f>
        <v>Groundwater</v>
      </c>
      <c r="D54" s="477"/>
      <c r="E54" s="381">
        <f>'Project-Level Data'!AL99</f>
        <v>2</v>
      </c>
    </row>
    <row r="55" spans="2:5" ht="38.25" hidden="1" x14ac:dyDescent="0.25">
      <c r="B55" s="227" t="str">
        <f>'Project-Level Data'!B101</f>
        <v>Santa Margarita Conjunctive-Use Project - Local surface water recharge and expansion of Camp Pendleton groundwater recovery program</v>
      </c>
      <c r="C55" s="475" t="str">
        <f>'Project-Level Data'!C101</f>
        <v>Groundwater</v>
      </c>
      <c r="D55" s="477"/>
      <c r="E55" s="381" t="str">
        <f>'Project-Level Data'!AL101</f>
        <v>No Response</v>
      </c>
    </row>
    <row r="56" spans="2:5" hidden="1" x14ac:dyDescent="0.25">
      <c r="B56" s="227" t="str">
        <f>'Project-Level Data'!B14</f>
        <v>Cadiz additional imported supplies</v>
      </c>
      <c r="C56" s="475" t="str">
        <f>'Project-Level Data'!C14</f>
        <v>Imported Water Purchases</v>
      </c>
      <c r="D56" s="477"/>
      <c r="E56" s="381">
        <f>'Project-Level Data'!AL14</f>
        <v>1</v>
      </c>
    </row>
    <row r="57" spans="2:5" ht="25.5" hidden="1" x14ac:dyDescent="0.25">
      <c r="B57" s="227" t="str">
        <f>'Project-Level Data'!B23</f>
        <v>East County Advanced Water Purification Program Phase 1</v>
      </c>
      <c r="C57" s="475" t="str">
        <f>'Project-Level Data'!C23</f>
        <v>Potable Reuse</v>
      </c>
      <c r="D57" s="477"/>
      <c r="E57" s="381">
        <f>'Project-Level Data'!AL23</f>
        <v>5</v>
      </c>
    </row>
    <row r="58" spans="2:5" ht="25.5" hidden="1" x14ac:dyDescent="0.25">
      <c r="B58" s="227" t="str">
        <f>'Project-Level Data'!B24</f>
        <v>East County Advanced Water Purification Program Phase 2</v>
      </c>
      <c r="C58" s="475" t="str">
        <f>'Project-Level Data'!C24</f>
        <v>Potable Reuse</v>
      </c>
      <c r="D58" s="477"/>
      <c r="E58" s="381">
        <f>'Project-Level Data'!AL24</f>
        <v>5</v>
      </c>
    </row>
    <row r="59" spans="2:5" ht="15" hidden="1" customHeight="1" x14ac:dyDescent="0.25">
      <c r="B59" s="227" t="str">
        <f>'Project-Level Data'!B25</f>
        <v>East County Advanced Water Purification Program Phase 3</v>
      </c>
      <c r="C59" s="475" t="str">
        <f>'Project-Level Data'!C25</f>
        <v>Potable Reuse</v>
      </c>
      <c r="D59" s="477"/>
      <c r="E59" s="381">
        <f>'Project-Level Data'!AL25</f>
        <v>3</v>
      </c>
    </row>
    <row r="60" spans="2:5" ht="15" hidden="1" customHeight="1" x14ac:dyDescent="0.25">
      <c r="B60" s="227" t="str">
        <f>'Project-Level Data'!B26</f>
        <v>Encina Wastewater Water Reuse Project</v>
      </c>
      <c r="C60" s="475" t="str">
        <f>'Project-Level Data'!C26</f>
        <v>Potable Reuse</v>
      </c>
      <c r="D60" s="477"/>
      <c r="E60" s="381">
        <f>'Project-Level Data'!AL26</f>
        <v>4</v>
      </c>
    </row>
    <row r="61" spans="2:5" ht="25.5" hidden="1" x14ac:dyDescent="0.25">
      <c r="B61" s="227" t="str">
        <f>'Project-Level Data'!B59</f>
        <v>New Local Supply Rincon del Diablo - Hale Avenue RRF/ City of Escondido/WRFs</v>
      </c>
      <c r="C61" s="475" t="str">
        <f>'Project-Level Data'!C59</f>
        <v>Potable Reuse</v>
      </c>
      <c r="D61" s="477"/>
      <c r="E61" s="381" t="str">
        <f>'Project-Level Data'!AL59</f>
        <v>No Response</v>
      </c>
    </row>
    <row r="62" spans="2:5" ht="25.5" hidden="1" x14ac:dyDescent="0.25">
      <c r="B62" s="227" t="str">
        <f>'Project-Level Data'!B73</f>
        <v xml:space="preserve">Potable Reuse/Hale Avenue Resource Recovery Facility (HARRF) </v>
      </c>
      <c r="C62" s="475" t="str">
        <f>'Project-Level Data'!C73</f>
        <v>Potable Reuse</v>
      </c>
      <c r="D62" s="477"/>
      <c r="E62" s="381" t="str">
        <f>'Project-Level Data'!AL73</f>
        <v>No Response</v>
      </c>
    </row>
    <row r="63" spans="2:5" hidden="1" x14ac:dyDescent="0.25">
      <c r="B63" s="227" t="str">
        <f>'Project-Level Data'!B75</f>
        <v xml:space="preserve">Pure Water San Diego Phase 1 - North City </v>
      </c>
      <c r="C63" s="475" t="str">
        <f>'Project-Level Data'!C75</f>
        <v>Potable Reuse</v>
      </c>
      <c r="D63" s="477"/>
      <c r="E63" s="381">
        <f>'Project-Level Data'!AL75</f>
        <v>5</v>
      </c>
    </row>
    <row r="64" spans="2:5" hidden="1" x14ac:dyDescent="0.25">
      <c r="B64" s="227" t="str">
        <f>'Project-Level Data'!B76</f>
        <v>Pure Water San Diego Phase 2 - Central</v>
      </c>
      <c r="C64" s="475" t="str">
        <f>'Project-Level Data'!C76</f>
        <v>Potable Reuse</v>
      </c>
      <c r="D64" s="477"/>
      <c r="E64" s="381">
        <f>'Project-Level Data'!AL76</f>
        <v>3</v>
      </c>
    </row>
    <row r="65" spans="2:5" hidden="1" x14ac:dyDescent="0.25">
      <c r="B65" s="227" t="str">
        <f>'Project-Level Data'!B104</f>
        <v>SFID/SDWD/SEJPA Potable Reuse Project</v>
      </c>
      <c r="C65" s="475" t="str">
        <f>'Project-Level Data'!C104</f>
        <v>Potable Reuse</v>
      </c>
      <c r="D65" s="477"/>
      <c r="E65" s="381">
        <f>'Project-Level Data'!AL104</f>
        <v>2</v>
      </c>
    </row>
    <row r="66" spans="2:5" hidden="1" x14ac:dyDescent="0.25">
      <c r="B66" s="227" t="str">
        <f>'Project-Level Data'!B108</f>
        <v>South WWTP - Indirect Potable Recharge</v>
      </c>
      <c r="C66" s="475" t="str">
        <f>'Project-Level Data'!C108</f>
        <v>Potable Reuse</v>
      </c>
      <c r="D66" s="477"/>
      <c r="E66" s="381">
        <f>'Project-Level Data'!AL108</f>
        <v>2</v>
      </c>
    </row>
    <row r="67" spans="2:5" hidden="1" x14ac:dyDescent="0.25">
      <c r="B67" s="227" t="str">
        <f>'Project-Level Data'!B109</f>
        <v>South WWTP - Injection to Las Flores Basin</v>
      </c>
      <c r="C67" s="475" t="str">
        <f>'Project-Level Data'!C109</f>
        <v>Potable Reuse</v>
      </c>
      <c r="D67" s="477"/>
      <c r="E67" s="381">
        <f>'Project-Level Data'!AL109</f>
        <v>4</v>
      </c>
    </row>
    <row r="68" spans="2:5" hidden="1" x14ac:dyDescent="0.25">
      <c r="B68" s="227" t="str">
        <f>'Project-Level Data'!B110</f>
        <v>South WWTP - Injection to Santa Margarita Basin</v>
      </c>
      <c r="C68" s="475" t="str">
        <f>'Project-Level Data'!C110</f>
        <v>Potable Reuse</v>
      </c>
      <c r="D68" s="477"/>
      <c r="E68" s="381">
        <f>'Project-Level Data'!AL110</f>
        <v>4</v>
      </c>
    </row>
    <row r="69" spans="2:5" hidden="1" x14ac:dyDescent="0.25">
      <c r="B69" s="227" t="str">
        <f>'Project-Level Data'!B17</f>
        <v>Carlsbad WRF - Landscape, Agriculture 2025</v>
      </c>
      <c r="C69" s="475" t="str">
        <f>'Project-Level Data'!C17</f>
        <v>Recycled Water</v>
      </c>
      <c r="D69" s="477"/>
      <c r="E69" s="381">
        <f>'Project-Level Data'!AL17</f>
        <v>4</v>
      </c>
    </row>
    <row r="70" spans="2:5" hidden="1" x14ac:dyDescent="0.25">
      <c r="B70" s="227" t="str">
        <f>'Project-Level Data'!B18</f>
        <v>Carlsbad WRF - Landscape, Agriculture 2050</v>
      </c>
      <c r="C70" s="475" t="str">
        <f>'Project-Level Data'!C18</f>
        <v>Recycled Water</v>
      </c>
      <c r="D70" s="477"/>
      <c r="E70" s="381">
        <f>'Project-Level Data'!AL18</f>
        <v>4</v>
      </c>
    </row>
    <row r="71" spans="2:5" hidden="1" x14ac:dyDescent="0.25">
      <c r="B71" s="227" t="str">
        <f>'Project-Level Data'!B28</f>
        <v>Extension 153 Phase I</v>
      </c>
      <c r="C71" s="475" t="str">
        <f>'Project-Level Data'!C28</f>
        <v>Recycled Water</v>
      </c>
      <c r="D71" s="477"/>
      <c r="E71" s="381">
        <f>'Project-Level Data'!AL28</f>
        <v>5</v>
      </c>
    </row>
    <row r="72" spans="2:5" hidden="1" x14ac:dyDescent="0.25">
      <c r="B72" s="227" t="str">
        <f>'Project-Level Data'!B29</f>
        <v>Extension 153 Phase II</v>
      </c>
      <c r="C72" s="475" t="str">
        <f>'Project-Level Data'!C29</f>
        <v>Recycled Water</v>
      </c>
      <c r="D72" s="477"/>
      <c r="E72" s="381">
        <f>'Project-Level Data'!AL29</f>
        <v>5</v>
      </c>
    </row>
    <row r="73" spans="2:5" ht="25.5" hidden="1" x14ac:dyDescent="0.25">
      <c r="B73" s="227" t="str">
        <f>'Project-Level Data'!B35</f>
        <v>Hale Avenue Resource Recovery Facility (HARRF) - Landscape, Agriculture, Industrial, PR</v>
      </c>
      <c r="C73" s="475" t="str">
        <f>'Project-Level Data'!C35</f>
        <v>Recycled Water</v>
      </c>
      <c r="D73" s="477"/>
      <c r="E73" s="381" t="str">
        <f>'Project-Level Data'!AL35</f>
        <v>No Response</v>
      </c>
    </row>
    <row r="74" spans="2:5" ht="25.5" hidden="1" x14ac:dyDescent="0.25">
      <c r="B74" s="227" t="str">
        <f>'Project-Level Data'!B36</f>
        <v>Integrated Water Resource Solutions for the Carlsbad Watershed</v>
      </c>
      <c r="C74" s="475" t="str">
        <f>'Project-Level Data'!C36</f>
        <v>Recycled Water</v>
      </c>
      <c r="D74" s="477"/>
      <c r="E74" s="381">
        <f>'Project-Level Data'!AL36</f>
        <v>4</v>
      </c>
    </row>
    <row r="75" spans="2:5" ht="25.5" hidden="1" x14ac:dyDescent="0.25">
      <c r="B75" s="227" t="str">
        <f>'Project-Level Data'!B37</f>
        <v>Intergrated Water Resource Solutions for the Carlsbad Watershed</v>
      </c>
      <c r="C75" s="475" t="str">
        <f>'Project-Level Data'!C37</f>
        <v>Recycled Water</v>
      </c>
      <c r="D75" s="477"/>
      <c r="E75" s="381">
        <f>'Project-Level Data'!AL37</f>
        <v>4</v>
      </c>
    </row>
    <row r="76" spans="2:5" hidden="1" x14ac:dyDescent="0.25">
      <c r="B76" s="227" t="str">
        <f>'Project-Level Data'!B38</f>
        <v>Joint RW Transmission Project with SFID and OMWD</v>
      </c>
      <c r="C76" s="475" t="str">
        <f>'Project-Level Data'!C38</f>
        <v>Recycled Water</v>
      </c>
      <c r="D76" s="477"/>
      <c r="E76" s="381">
        <f>'Project-Level Data'!AL38</f>
        <v>4</v>
      </c>
    </row>
    <row r="77" spans="2:5" hidden="1" x14ac:dyDescent="0.25">
      <c r="B77" s="227" t="str">
        <f>'Project-Level Data'!B42</f>
        <v>Lilac Hills Ranch WRF</v>
      </c>
      <c r="C77" s="475" t="str">
        <f>'Project-Level Data'!C42</f>
        <v>Recycled Water</v>
      </c>
      <c r="D77" s="477"/>
      <c r="E77" s="381" t="str">
        <f>'Project-Level Data'!AL42</f>
        <v>No Response</v>
      </c>
    </row>
    <row r="78" spans="2:5" ht="15" hidden="1" customHeight="1" x14ac:dyDescent="0.25">
      <c r="B78" s="227" t="str">
        <f>'Project-Level Data'!B45</f>
        <v>Lower Moosa Canyon WRF</v>
      </c>
      <c r="C78" s="475" t="str">
        <f>'Project-Level Data'!C45</f>
        <v>Recycled Water</v>
      </c>
      <c r="D78" s="477"/>
      <c r="E78" s="381" t="str">
        <f>'Project-Level Data'!AL45</f>
        <v>No Response</v>
      </c>
    </row>
    <row r="79" spans="2:5" hidden="1" x14ac:dyDescent="0.25">
      <c r="B79" s="227" t="str">
        <f>'Project-Level Data'!B50</f>
        <v>Meadowlark WRF</v>
      </c>
      <c r="C79" s="475" t="str">
        <f>'Project-Level Data'!C50</f>
        <v>Recycled Water</v>
      </c>
      <c r="D79" s="477"/>
      <c r="E79" s="381" t="str">
        <f>'Project-Level Data'!AL50</f>
        <v>No Response</v>
      </c>
    </row>
    <row r="80" spans="2:5" hidden="1" x14ac:dyDescent="0.25">
      <c r="B80" s="227" t="str">
        <f>'Project-Level Data'!B51</f>
        <v>Meadowood WRF</v>
      </c>
      <c r="C80" s="475" t="str">
        <f>'Project-Level Data'!C51</f>
        <v>Recycled Water</v>
      </c>
      <c r="D80" s="477"/>
      <c r="E80" s="381" t="str">
        <f>'Project-Level Data'!AL51</f>
        <v>No Response</v>
      </c>
    </row>
    <row r="81" spans="2:5" hidden="1" x14ac:dyDescent="0.25">
      <c r="B81" s="227" t="str">
        <f>'Project-Level Data'!B61</f>
        <v>North City WRP - Project 1</v>
      </c>
      <c r="C81" s="475" t="str">
        <f>'Project-Level Data'!C61</f>
        <v>Recycled Water</v>
      </c>
      <c r="D81" s="477"/>
      <c r="E81" s="381">
        <f>'Project-Level Data'!AL61</f>
        <v>4</v>
      </c>
    </row>
    <row r="82" spans="2:5" ht="15" hidden="1" customHeight="1" x14ac:dyDescent="0.25">
      <c r="B82" s="227" t="str">
        <f>'Project-Level Data'!B62</f>
        <v>North City WRP - Project 2</v>
      </c>
      <c r="C82" s="475" t="str">
        <f>'Project-Level Data'!C62</f>
        <v>Recycled Water</v>
      </c>
      <c r="D82" s="477"/>
      <c r="E82" s="381">
        <f>'Project-Level Data'!AL62</f>
        <v>4</v>
      </c>
    </row>
    <row r="83" spans="2:5" hidden="1" x14ac:dyDescent="0.25">
      <c r="B83" s="227" t="str">
        <f>'Project-Level Data'!B63</f>
        <v>North District Recycled System/RW Chapman WRF</v>
      </c>
      <c r="C83" s="475" t="str">
        <f>'Project-Level Data'!C63</f>
        <v>Recycled Water</v>
      </c>
      <c r="D83" s="477"/>
      <c r="E83" s="381">
        <f>'Project-Level Data'!AL63</f>
        <v>2</v>
      </c>
    </row>
    <row r="84" spans="2:5" ht="15" hidden="1" customHeight="1" x14ac:dyDescent="0.25">
      <c r="B84" s="227" t="str">
        <f>'Project-Level Data'!B64</f>
        <v>North San Diego County Regional Recycled Water Project-Phase ll</v>
      </c>
      <c r="C84" s="475" t="str">
        <f>'Project-Level Data'!C64</f>
        <v>Recycled Water</v>
      </c>
      <c r="D84" s="477"/>
      <c r="E84" s="381">
        <f>'Project-Level Data'!AL64</f>
        <v>5</v>
      </c>
    </row>
    <row r="85" spans="2:5" ht="15" hidden="1" customHeight="1" x14ac:dyDescent="0.25">
      <c r="B85" s="227" t="str">
        <f>'Project-Level Data'!B65</f>
        <v>North Village WRF</v>
      </c>
      <c r="C85" s="475" t="str">
        <f>'Project-Level Data'!C65</f>
        <v>Recycled Water</v>
      </c>
      <c r="D85" s="477"/>
      <c r="E85" s="381" t="str">
        <f>'Project-Level Data'!AL65</f>
        <v>No Response</v>
      </c>
    </row>
    <row r="86" spans="2:5" hidden="1" x14ac:dyDescent="0.25">
      <c r="B86" s="227" t="str">
        <f>'Project-Level Data'!B66</f>
        <v>North WWTP Landscape Application</v>
      </c>
      <c r="C86" s="475" t="str">
        <f>'Project-Level Data'!C66</f>
        <v>Recycled Water</v>
      </c>
      <c r="D86" s="477"/>
      <c r="E86" s="381">
        <f>'Project-Level Data'!AL66</f>
        <v>5</v>
      </c>
    </row>
    <row r="87" spans="2:5" ht="15" hidden="1" customHeight="1" x14ac:dyDescent="0.25">
      <c r="B87" s="227" t="str">
        <f>'Project-Level Data'!B78</f>
        <v>Rancho Cielo</v>
      </c>
      <c r="C87" s="475" t="str">
        <f>'Project-Level Data'!C78</f>
        <v>Recycled Water</v>
      </c>
      <c r="D87" s="477"/>
      <c r="E87" s="381">
        <f>'Project-Level Data'!AL78</f>
        <v>4</v>
      </c>
    </row>
    <row r="88" spans="2:5" hidden="1" x14ac:dyDescent="0.25">
      <c r="B88" s="227" t="str">
        <f>'Project-Level Data'!B80</f>
        <v>Ray Stoyer WRF - Landscape, Irrigation, Dust Control</v>
      </c>
      <c r="C88" s="475" t="str">
        <f>'Project-Level Data'!C80</f>
        <v>Recycled Water</v>
      </c>
      <c r="D88" s="477"/>
      <c r="E88" s="381">
        <f>'Project-Level Data'!AL80</f>
        <v>3</v>
      </c>
    </row>
    <row r="89" spans="2:5" ht="15" hidden="1" customHeight="1" x14ac:dyDescent="0.25">
      <c r="B89" s="227" t="str">
        <f>'Project-Level Data'!B86</f>
        <v>Safari Drought Response and Outreach</v>
      </c>
      <c r="C89" s="475" t="str">
        <f>'Project-Level Data'!C86</f>
        <v>Recycled Water</v>
      </c>
      <c r="D89" s="477"/>
      <c r="E89" s="381" t="str">
        <f>'Project-Level Data'!AL86</f>
        <v>No Response</v>
      </c>
    </row>
    <row r="90" spans="2:5" hidden="1" x14ac:dyDescent="0.25">
      <c r="B90" s="227" t="str">
        <f>'Project-Level Data'!B102</f>
        <v>Santa Maria WRP</v>
      </c>
      <c r="C90" s="475" t="str">
        <f>'Project-Level Data'!C102</f>
        <v>Recycled Water</v>
      </c>
      <c r="D90" s="477"/>
      <c r="E90" s="381" t="str">
        <f>'Project-Level Data'!AL102</f>
        <v>No Response</v>
      </c>
    </row>
    <row r="91" spans="2:5" hidden="1" x14ac:dyDescent="0.25">
      <c r="B91" s="227" t="str">
        <f>'Project-Level Data'!B105</f>
        <v>Shadowridge WRP</v>
      </c>
      <c r="C91" s="475" t="str">
        <f>'Project-Level Data'!C105</f>
        <v>Recycled Water</v>
      </c>
      <c r="D91" s="477"/>
      <c r="E91" s="381" t="str">
        <f>'Project-Level Data'!AL105</f>
        <v>No Response</v>
      </c>
    </row>
    <row r="92" spans="2:5" ht="25.5" hidden="1" x14ac:dyDescent="0.25">
      <c r="B92" s="227" t="str">
        <f>'Project-Level Data'!B118</f>
        <v>TBD - Evaluation Multiple Options/TBD - Supply/ Source Treatment Plant/Agency for recycled water</v>
      </c>
      <c r="C92" s="475" t="str">
        <f>'Project-Level Data'!C118</f>
        <v>Recycled Water</v>
      </c>
      <c r="D92" s="477"/>
      <c r="E92" s="381">
        <f>'Project-Level Data'!AL118</f>
        <v>4</v>
      </c>
    </row>
    <row r="93" spans="2:5" hidden="1" x14ac:dyDescent="0.25">
      <c r="B93" s="227" t="str">
        <f>'Project-Level Data'!B122</f>
        <v>Village Park Recycled Water Expansion Project</v>
      </c>
      <c r="C93" s="475" t="str">
        <f>'Project-Level Data'!C122</f>
        <v>Recycled Water</v>
      </c>
      <c r="D93" s="477"/>
      <c r="E93" s="381">
        <f>'Project-Level Data'!AL122</f>
        <v>5</v>
      </c>
    </row>
    <row r="94" spans="2:5" hidden="1" x14ac:dyDescent="0.25">
      <c r="B94" s="227" t="str">
        <f>'Project-Level Data'!B123</f>
        <v>W+157:181RP/Recycled Water Distribution System</v>
      </c>
      <c r="C94" s="475" t="str">
        <f>'Project-Level Data'!C123</f>
        <v>Recycled Water</v>
      </c>
      <c r="D94" s="477"/>
      <c r="E94" s="381" t="str">
        <f>'Project-Level Data'!AL123</f>
        <v>No Response</v>
      </c>
    </row>
    <row r="95" spans="2:5" hidden="1" x14ac:dyDescent="0.25">
      <c r="B95" s="227" t="str">
        <f>'Project-Level Data'!B124</f>
        <v>Welk WRF</v>
      </c>
      <c r="C95" s="475" t="str">
        <f>'Project-Level Data'!C124</f>
        <v>Recycled Water</v>
      </c>
      <c r="D95" s="477"/>
      <c r="E95" s="381" t="str">
        <f>'Project-Level Data'!AL124</f>
        <v>No Response</v>
      </c>
    </row>
    <row r="96" spans="2:5" hidden="1" x14ac:dyDescent="0.25">
      <c r="B96" s="227" t="str">
        <f>'Project-Level Data'!B125</f>
        <v>Woods Valley Ranch WRF Phase 3</v>
      </c>
      <c r="C96" s="475" t="str">
        <f>'Project-Level Data'!C125</f>
        <v>Recycled Water</v>
      </c>
      <c r="D96" s="477"/>
      <c r="E96" s="381" t="str">
        <f>'Project-Level Data'!AL125</f>
        <v>No Response</v>
      </c>
    </row>
    <row r="97" spans="2:5" hidden="1" x14ac:dyDescent="0.25">
      <c r="B97" s="227" t="str">
        <f>'Project-Level Data'!B15</f>
        <v>Camp Pendleton Desalination Facility</v>
      </c>
      <c r="C97" s="475" t="str">
        <f>'Project-Level Data'!C15</f>
        <v>Seawater Desalination</v>
      </c>
      <c r="D97" s="477"/>
      <c r="E97" s="381">
        <f>'Project-Level Data'!AL15</f>
        <v>3</v>
      </c>
    </row>
    <row r="98" spans="2:5" ht="15" hidden="1" customHeight="1" x14ac:dyDescent="0.25">
      <c r="B98" s="227" t="str">
        <f>'Project-Level Data'!B83</f>
        <v>Re-rating of Carlsbad Desalination for higher flow</v>
      </c>
      <c r="C98" s="475" t="str">
        <f>'Project-Level Data'!C83</f>
        <v>Seawater Desalination</v>
      </c>
      <c r="D98" s="477"/>
      <c r="E98" s="381" t="str">
        <f>'Project-Level Data'!AL83</f>
        <v>No Response</v>
      </c>
    </row>
    <row r="99" spans="2:5" ht="15" hidden="1" customHeight="1" x14ac:dyDescent="0.25">
      <c r="B99" s="227" t="str">
        <f>'Project-Level Data'!B85</f>
        <v>Rosarito Beach Desalination</v>
      </c>
      <c r="C99" s="475" t="str">
        <f>'Project-Level Data'!C85</f>
        <v>Seawater Desalination</v>
      </c>
      <c r="D99" s="477"/>
      <c r="E99" s="381">
        <f>'Project-Level Data'!AL85</f>
        <v>4</v>
      </c>
    </row>
    <row r="100" spans="2:5" ht="38.25" hidden="1" x14ac:dyDescent="0.25">
      <c r="B100" s="227" t="str">
        <f>'Project-Level Data'!B9</f>
        <v>Alternative Compliance Retrofit Project El Norte Parkway and Rincon
Villa Drive, Escondido</v>
      </c>
      <c r="C100" s="475" t="str">
        <f>'Project-Level Data'!C9</f>
        <v>Stormwater BMPs</v>
      </c>
      <c r="D100" s="477"/>
      <c r="E100" s="381" t="str">
        <f>'Project-Level Data'!AL9</f>
        <v>No Response</v>
      </c>
    </row>
    <row r="101" spans="2:5" ht="15" hidden="1" customHeight="1" x14ac:dyDescent="0.25">
      <c r="B101" s="227" t="str">
        <f>'Project-Level Data'!B10</f>
        <v>Alternative Compliance Retrofit Project Mountain View Park, Escondido</v>
      </c>
      <c r="C101" s="475" t="str">
        <f>'Project-Level Data'!C10</f>
        <v>Stormwater BMPs</v>
      </c>
      <c r="D101" s="477"/>
      <c r="E101" s="381" t="str">
        <f>'Project-Level Data'!AL10</f>
        <v>No Response</v>
      </c>
    </row>
    <row r="102" spans="2:5" hidden="1" x14ac:dyDescent="0.25">
      <c r="B102" s="227" t="str">
        <f>'Project-Level Data'!B11</f>
        <v>Bakersfield Street and San Altos Channel Restoration</v>
      </c>
      <c r="C102" s="475" t="str">
        <f>'Project-Level Data'!C11</f>
        <v>Stormwater BMPs</v>
      </c>
      <c r="D102" s="477"/>
      <c r="E102" s="381">
        <f>'Project-Level Data'!AL11</f>
        <v>3</v>
      </c>
    </row>
    <row r="103" spans="2:5" ht="38.25" hidden="1" x14ac:dyDescent="0.25">
      <c r="B103" s="227" t="str">
        <f>'Project-Level Data'!B12</f>
        <v>Broadway Channel Flood Risk Reduction and Water Quality
Improvements</v>
      </c>
      <c r="C103" s="475" t="str">
        <f>'Project-Level Data'!C12</f>
        <v>Stormwater BMPs</v>
      </c>
      <c r="D103" s="477"/>
      <c r="E103" s="381">
        <f>'Project-Level Data'!AL12</f>
        <v>3</v>
      </c>
    </row>
    <row r="104" spans="2:5" hidden="1" x14ac:dyDescent="0.25">
      <c r="B104" s="227" t="str">
        <f>'Project-Level Data'!B20</f>
        <v>City of Oceanside Loma Alta Slough Restoration Project</v>
      </c>
      <c r="C104" s="475" t="str">
        <f>'Project-Level Data'!C20</f>
        <v>Stormwater BMPs</v>
      </c>
      <c r="D104" s="477"/>
      <c r="E104" s="381" t="str">
        <f>'Project-Level Data'!AL20</f>
        <v>No Response</v>
      </c>
    </row>
    <row r="105" spans="2:5" hidden="1" x14ac:dyDescent="0.25">
      <c r="B105" s="227" t="str">
        <f>'Project-Level Data'!B32</f>
        <v>Golden Ave Green Street</v>
      </c>
      <c r="C105" s="475" t="str">
        <f>'Project-Level Data'!C32</f>
        <v>Stormwater BMPs</v>
      </c>
      <c r="D105" s="477"/>
      <c r="E105" s="381">
        <f>'Project-Level Data'!AL32</f>
        <v>3</v>
      </c>
    </row>
    <row r="106" spans="2:5" hidden="1" x14ac:dyDescent="0.25">
      <c r="B106" s="227" t="str">
        <f>'Project-Level Data'!B39</f>
        <v>Las Colinas Channel Improvments</v>
      </c>
      <c r="C106" s="475" t="str">
        <f>'Project-Level Data'!C39</f>
        <v>Stormwater BMPs</v>
      </c>
      <c r="D106" s="477"/>
      <c r="E106" s="381">
        <f>'Project-Level Data'!AL39</f>
        <v>3</v>
      </c>
    </row>
    <row r="107" spans="2:5" hidden="1" x14ac:dyDescent="0.25">
      <c r="B107" s="227" t="str">
        <f>'Project-Level Data'!B40</f>
        <v>Lemon Grove Avenue Green Streets</v>
      </c>
      <c r="C107" s="475" t="str">
        <f>'Project-Level Data'!C40</f>
        <v>Stormwater BMPs</v>
      </c>
      <c r="D107" s="477"/>
      <c r="E107" s="381">
        <f>'Project-Level Data'!AL40</f>
        <v>3</v>
      </c>
    </row>
    <row r="108" spans="2:5" ht="25.5" hidden="1" x14ac:dyDescent="0.25">
      <c r="B108" s="227" t="str">
        <f>'Project-Level Data'!B41</f>
        <v>Leucadia Roadside Park Stormwater Capture/Reuse Project</v>
      </c>
      <c r="C108" s="475" t="str">
        <f>'Project-Level Data'!C41</f>
        <v>Stormwater BMPs</v>
      </c>
      <c r="D108" s="477"/>
      <c r="E108" s="381">
        <f>'Project-Level Data'!AL41</f>
        <v>3</v>
      </c>
    </row>
    <row r="109" spans="2:5" hidden="1" x14ac:dyDescent="0.25">
      <c r="B109" s="227" t="str">
        <f>'Project-Level Data'!B43</f>
        <v>Lincoln St Green Street</v>
      </c>
      <c r="C109" s="475" t="str">
        <f>'Project-Level Data'!C43</f>
        <v>Stormwater BMPs</v>
      </c>
      <c r="D109" s="477"/>
      <c r="E109" s="381">
        <f>'Project-Level Data'!AL43</f>
        <v>3</v>
      </c>
    </row>
    <row r="110" spans="2:5" ht="15" hidden="1" customHeight="1" x14ac:dyDescent="0.25">
      <c r="B110" s="227" t="str">
        <f>'Project-Level Data'!B44</f>
        <v xml:space="preserve">Low Impact Development Urban Runoff Control Projects for the Tijuana Estuary </v>
      </c>
      <c r="C110" s="475" t="str">
        <f>'Project-Level Data'!C44</f>
        <v>Stormwater BMPs</v>
      </c>
      <c r="D110" s="477"/>
      <c r="E110" s="381">
        <f>'Project-Level Data'!AL44</f>
        <v>5</v>
      </c>
    </row>
    <row r="111" spans="2:5" ht="15" hidden="1" customHeight="1" x14ac:dyDescent="0.25">
      <c r="B111" s="227" t="str">
        <f>'Project-Level Data'!B46</f>
        <v>Madera St Green Street</v>
      </c>
      <c r="C111" s="475" t="str">
        <f>'Project-Level Data'!C46</f>
        <v>Stormwater BMPs</v>
      </c>
      <c r="D111" s="477"/>
      <c r="E111" s="381">
        <f>'Project-Level Data'!AL46</f>
        <v>3</v>
      </c>
    </row>
    <row r="112" spans="2:5" hidden="1" x14ac:dyDescent="0.25">
      <c r="B112" s="227" t="str">
        <f>'Project-Level Data'!B47</f>
        <v>Main Street Promenade Extension</v>
      </c>
      <c r="C112" s="475" t="str">
        <f>'Project-Level Data'!C47</f>
        <v>Stormwater BMPs</v>
      </c>
      <c r="D112" s="477"/>
      <c r="E112" s="381">
        <f>'Project-Level Data'!AL47</f>
        <v>3</v>
      </c>
    </row>
    <row r="113" spans="2:5" ht="15" hidden="1" customHeight="1" x14ac:dyDescent="0.25">
      <c r="B113" s="227" t="str">
        <f>'Project-Level Data'!B48</f>
        <v>Mapleview Street ‐ Green Infrastructure and Stormwater QualityImprovement Project</v>
      </c>
      <c r="C113" s="475" t="str">
        <f>'Project-Level Data'!C48</f>
        <v>Stormwater BMPs</v>
      </c>
      <c r="D113" s="477"/>
      <c r="E113" s="381">
        <f>'Project-Level Data'!AL48</f>
        <v>3</v>
      </c>
    </row>
    <row r="114" spans="2:5" ht="25.5" hidden="1" x14ac:dyDescent="0.25">
      <c r="B114" s="227" t="str">
        <f>'Project-Level Data'!B71</f>
        <v>Paradise Valley Creek Water Quality and Community Enhancement</v>
      </c>
      <c r="C114" s="475" t="str">
        <f>'Project-Level Data'!C71</f>
        <v>Stormwater BMPs</v>
      </c>
      <c r="D114" s="477"/>
      <c r="E114" s="381">
        <f>'Project-Level Data'!AL71</f>
        <v>1</v>
      </c>
    </row>
    <row r="115" spans="2:5" ht="25.5" hidden="1" x14ac:dyDescent="0.25">
      <c r="B115" s="227" t="str">
        <f>'Project-Level Data'!B74</f>
        <v>Pure Water - Los Penasquitos Creek Urban Dry-Weather Water Harvesting</v>
      </c>
      <c r="C115" s="475" t="str">
        <f>'Project-Level Data'!C74</f>
        <v>Stormwater BMPs</v>
      </c>
      <c r="D115" s="477"/>
      <c r="E115" s="381">
        <f>'Project-Level Data'!AL74</f>
        <v>3</v>
      </c>
    </row>
    <row r="116" spans="2:5" hidden="1" x14ac:dyDescent="0.25">
      <c r="B116" s="227" t="str">
        <f>'Project-Level Data'!B87</f>
        <v>Safari Park Storm Water Capture and Reuse Project</v>
      </c>
      <c r="C116" s="475" t="str">
        <f>'Project-Level Data'!C87</f>
        <v>Stormwater BMPs</v>
      </c>
      <c r="D116" s="477"/>
      <c r="E116" s="381" t="str">
        <f>'Project-Level Data'!AL87</f>
        <v>No Response</v>
      </c>
    </row>
    <row r="117" spans="2:5" ht="25.5" hidden="1" x14ac:dyDescent="0.25">
      <c r="B117" s="227" t="str">
        <f>'Project-Level Data'!B88</f>
        <v>Safari Park Water Reuse Sustainability and Watershed Protection Prgram</v>
      </c>
      <c r="C117" s="475" t="str">
        <f>'Project-Level Data'!C88</f>
        <v>Stormwater BMPs</v>
      </c>
      <c r="D117" s="477"/>
      <c r="E117" s="381" t="str">
        <f>'Project-Level Data'!AL88</f>
        <v>No Response</v>
      </c>
    </row>
    <row r="118" spans="2:5" ht="15" hidden="1" customHeight="1" x14ac:dyDescent="0.25">
      <c r="B118" s="227" t="str">
        <f>'Project-Level Data'!B96</f>
        <v>San Marino Drive Green Street and Dry Weather Flow Management Sweetwater</v>
      </c>
      <c r="C118" s="475" t="str">
        <f>'Project-Level Data'!C96</f>
        <v>Stormwater BMPs</v>
      </c>
      <c r="D118" s="477"/>
      <c r="E118" s="381">
        <f>'Project-Level Data'!AL96</f>
        <v>3</v>
      </c>
    </row>
    <row r="119" spans="2:5" ht="25.5" hidden="1" x14ac:dyDescent="0.25">
      <c r="B119" s="227" t="str">
        <f>'Project-Level Data'!B97</f>
        <v>San Marino Drive Green Street and Dry Weather Flow Management Vallecitos</v>
      </c>
      <c r="C119" s="475" t="str">
        <f>'Project-Level Data'!C97</f>
        <v>Stormwater BMPs</v>
      </c>
      <c r="D119" s="477"/>
      <c r="E119" s="381">
        <f>'Project-Level Data'!AL97</f>
        <v>3</v>
      </c>
    </row>
    <row r="120" spans="2:5" ht="15" hidden="1" customHeight="1" x14ac:dyDescent="0.25">
      <c r="B120" s="227" t="str">
        <f>'Project-Level Data'!B98</f>
        <v>San Miguel Green Street</v>
      </c>
      <c r="C120" s="475" t="str">
        <f>'Project-Level Data'!C98</f>
        <v>Stormwater BMPs</v>
      </c>
      <c r="D120" s="477"/>
      <c r="E120" s="381" t="str">
        <f>'Project-Level Data'!AL98</f>
        <v>No Response</v>
      </c>
    </row>
    <row r="121" spans="2:5" ht="15" hidden="1" customHeight="1" x14ac:dyDescent="0.25">
      <c r="B121" s="227" t="str">
        <f>'Project-Level Data'!B106</f>
        <v>Skyline Dr and Kempt St Green Streets</v>
      </c>
      <c r="C121" s="475" t="str">
        <f>'Project-Level Data'!C106</f>
        <v>Stormwater BMPs</v>
      </c>
      <c r="D121" s="477"/>
      <c r="E121" s="381">
        <f>'Project-Level Data'!AL106</f>
        <v>3</v>
      </c>
    </row>
    <row r="122" spans="2:5" ht="15" hidden="1" customHeight="1" x14ac:dyDescent="0.25">
      <c r="B122" s="227" t="str">
        <f>'Project-Level Data'!B107</f>
        <v>South Santa Fe Green Street Project</v>
      </c>
      <c r="C122" s="475" t="str">
        <f>'Project-Level Data'!C107</f>
        <v>Stormwater BMPs</v>
      </c>
      <c r="D122" s="477"/>
      <c r="E122" s="381">
        <f>'Project-Level Data'!AL107</f>
        <v>5</v>
      </c>
    </row>
    <row r="123" spans="2:5" hidden="1" x14ac:dyDescent="0.25">
      <c r="B123" s="227" t="str">
        <f>'Project-Level Data'!B111</f>
        <v>Spruce Street Channel Improvement Project</v>
      </c>
      <c r="C123" s="475" t="str">
        <f>'Project-Level Data'!C111</f>
        <v>Stormwater BMPs</v>
      </c>
      <c r="D123" s="477"/>
      <c r="E123" s="381" t="str">
        <f>'Project-Level Data'!AL111</f>
        <v>No Response</v>
      </c>
    </row>
    <row r="124" spans="2:5" ht="25.5" hidden="1" x14ac:dyDescent="0.25">
      <c r="B124" s="227" t="str">
        <f>'Project-Level Data'!B112</f>
        <v>Storm water Capture off San Diego River along Alvarado Canyon and Fairmont Canyon to Fish and Wildlife site</v>
      </c>
      <c r="C124" s="475" t="str">
        <f>'Project-Level Data'!C112</f>
        <v>Stormwater BMPs</v>
      </c>
      <c r="D124" s="477"/>
      <c r="E124" s="381">
        <f>'Project-Level Data'!AL112</f>
        <v>4</v>
      </c>
    </row>
    <row r="125" spans="2:5" hidden="1" x14ac:dyDescent="0.25">
      <c r="B125" s="227" t="str">
        <f>'Project-Level Data'!B114</f>
        <v>Sweetwater Rd Green Street</v>
      </c>
      <c r="C125" s="475" t="str">
        <f>'Project-Level Data'!C114</f>
        <v>Stormwater BMPs</v>
      </c>
      <c r="D125" s="477"/>
      <c r="E125" s="381">
        <f>'Project-Level Data'!AL114</f>
        <v>3</v>
      </c>
    </row>
    <row r="126" spans="2:5" hidden="1" x14ac:dyDescent="0.25">
      <c r="B126" s="227" t="str">
        <f>'Project-Level Data'!B116</f>
        <v>Sweetwater River Park Bioretention</v>
      </c>
      <c r="C126" s="475" t="str">
        <f>'Project-Level Data'!C116</f>
        <v>Stormwater BMPs</v>
      </c>
      <c r="D126" s="477"/>
      <c r="E126" s="381" t="str">
        <f>'Project-Level Data'!AL116</f>
        <v>No Response</v>
      </c>
    </row>
    <row r="127" spans="2:5" hidden="1" x14ac:dyDescent="0.25">
      <c r="B127" s="227" t="str">
        <f>'Project-Level Data'!B119</f>
        <v>Telegraph Canyon Channel Improvement Project</v>
      </c>
      <c r="C127" s="475" t="str">
        <f>'Project-Level Data'!C119</f>
        <v>Stormwater BMPs</v>
      </c>
      <c r="D127" s="477"/>
      <c r="E127" s="381" t="str">
        <f>'Project-Level Data'!AL119</f>
        <v>No Response</v>
      </c>
    </row>
    <row r="128" spans="2:5" hidden="1" x14ac:dyDescent="0.25">
      <c r="B128" s="227" t="str">
        <f>'Project-Level Data'!B126</f>
        <v>Woodside Avenue Complete Green Street</v>
      </c>
      <c r="C128" s="475" t="str">
        <f>'Project-Level Data'!C126</f>
        <v>Stormwater BMPs</v>
      </c>
      <c r="D128" s="477"/>
      <c r="E128" s="381">
        <f>'Project-Level Data'!AL126</f>
        <v>3</v>
      </c>
    </row>
    <row r="129" spans="2:5" ht="15" hidden="1" customHeight="1" x14ac:dyDescent="0.25">
      <c r="B129" s="227" t="str">
        <f>'Project-Level Data'!B57</f>
        <v>Murray Urban Runoff Diversion System Capture</v>
      </c>
      <c r="C129" s="475" t="str">
        <f>'Project-Level Data'!C57</f>
        <v>Stormwater Capture</v>
      </c>
      <c r="D129" s="477"/>
      <c r="E129" s="381">
        <f>'Project-Level Data'!AL57</f>
        <v>3</v>
      </c>
    </row>
    <row r="130" spans="2:5" hidden="1" x14ac:dyDescent="0.25">
      <c r="B130" s="227" t="str">
        <f>'Project-Level Data'!B77</f>
        <v>Rainwater harvesting</v>
      </c>
      <c r="C130" s="475" t="str">
        <f>'Project-Level Data'!C77</f>
        <v>Stormwater Capture</v>
      </c>
      <c r="D130" s="477"/>
      <c r="E130" s="381">
        <f>'Project-Level Data'!AL77</f>
        <v>5</v>
      </c>
    </row>
    <row r="131" spans="2:5" hidden="1" x14ac:dyDescent="0.25">
      <c r="B131" s="227" t="str">
        <f>'Project-Level Data'!B55</f>
        <v xml:space="preserve">Ms. Smarty-Plants Grows Water-Wise Schools </v>
      </c>
      <c r="C131" s="475" t="str">
        <f>'Project-Level Data'!C55</f>
        <v>Urban and Agricultural Water Use Efficiency</v>
      </c>
      <c r="D131" s="477"/>
      <c r="E131" s="381" t="str">
        <f>'Project-Level Data'!AL55</f>
        <v>No Response</v>
      </c>
    </row>
    <row r="132" spans="2:5" ht="15" hidden="1" customHeight="1" x14ac:dyDescent="0.25">
      <c r="B132" s="227" t="str">
        <f>'Project-Level Data'!B81</f>
        <v>Regional Demand Management Program Expansion</v>
      </c>
      <c r="C132" s="475" t="str">
        <f>'Project-Level Data'!C81</f>
        <v>Urban and Agricultural Water Use Efficiency</v>
      </c>
      <c r="D132" s="477"/>
      <c r="E132" s="381">
        <f>'Project-Level Data'!AL81</f>
        <v>3</v>
      </c>
    </row>
    <row r="133" spans="2:5" hidden="1" x14ac:dyDescent="0.25">
      <c r="B133" s="227" t="str">
        <f>'Project-Level Data'!B82</f>
        <v>Regional Drought Resilience Program</v>
      </c>
      <c r="C133" s="475" t="str">
        <f>'Project-Level Data'!C82</f>
        <v>Urban and Agricultural Water Use Efficiency</v>
      </c>
      <c r="D133" s="477"/>
      <c r="E133" s="381">
        <f>'Project-Level Data'!AL82</f>
        <v>3</v>
      </c>
    </row>
    <row r="134" spans="2:5" hidden="1" x14ac:dyDescent="0.25">
      <c r="B134" s="227" t="str">
        <f>'Project-Level Data'!B84</f>
        <v>Rincon Customer-Driven Demand Management Program</v>
      </c>
      <c r="C134" s="475" t="str">
        <f>'Project-Level Data'!C84</f>
        <v>Urban and Agricultural Water Use Efficiency</v>
      </c>
      <c r="D134" s="477"/>
      <c r="E134" s="381" t="str">
        <f>'Project-Level Data'!AL84</f>
        <v>No Response</v>
      </c>
    </row>
    <row r="135" spans="2:5" hidden="1" x14ac:dyDescent="0.25">
      <c r="B135" s="227" t="str">
        <f>'Project-Level Data'!B92</f>
        <v>San Diego Water Conservation Program</v>
      </c>
      <c r="C135" s="475" t="str">
        <f>'Project-Level Data'!C92</f>
        <v>Urban and Agricultural Water Use Efficiency</v>
      </c>
      <c r="D135" s="477"/>
      <c r="E135" s="381">
        <f>'Project-Level Data'!AL92</f>
        <v>5</v>
      </c>
    </row>
    <row r="136" spans="2:5" hidden="1" x14ac:dyDescent="0.25">
      <c r="B136" s="227" t="str">
        <f>'Project-Level Data'!B93</f>
        <v>San Diego Water Use Reduction Program</v>
      </c>
      <c r="C136" s="475" t="str">
        <f>'Project-Level Data'!C93</f>
        <v>Urban and Agricultural Water Use Efficiency</v>
      </c>
      <c r="D136" s="477"/>
      <c r="E136" s="381">
        <f>'Project-Level Data'!AL93</f>
        <v>5</v>
      </c>
    </row>
    <row r="137" spans="2:5" ht="25.5" hidden="1" x14ac:dyDescent="0.25">
      <c r="B137" s="227" t="str">
        <f>'Project-Level Data'!B121</f>
        <v>UC San Diego Water Conservation and Watershed Protection</v>
      </c>
      <c r="C137" s="475" t="str">
        <f>'Project-Level Data'!C121</f>
        <v>Urban and Agricultural Water Use Efficiency</v>
      </c>
      <c r="D137" s="477"/>
      <c r="E137" s="381">
        <f>'Project-Level Data'!AL121</f>
        <v>4</v>
      </c>
    </row>
    <row r="138" spans="2:5" hidden="1" x14ac:dyDescent="0.25">
      <c r="B138" s="227" t="str">
        <f>'Project-Level Data'!B7</f>
        <v>69th St Green Street</v>
      </c>
      <c r="C138" s="475" t="str">
        <f>'Project-Level Data'!C7</f>
        <v>Watershed and Ecosystem Management</v>
      </c>
      <c r="D138" s="477"/>
      <c r="E138" s="381">
        <f>'Project-Level Data'!AL7</f>
        <v>3</v>
      </c>
    </row>
    <row r="139" spans="2:5" ht="38.25" hidden="1" x14ac:dyDescent="0.25">
      <c r="B139" s="227" t="str">
        <f>'Project-Level Data'!B8</f>
        <v>Alternative Compliance Retrofit Project Avenida Del Diablo Park,
Escondido</v>
      </c>
      <c r="C139" s="475" t="str">
        <f>'Project-Level Data'!C8</f>
        <v>Watershed and Ecosystem Management</v>
      </c>
      <c r="D139" s="477"/>
      <c r="E139" s="381" t="str">
        <f>'Project-Level Data'!AL8</f>
        <v>No Response</v>
      </c>
    </row>
    <row r="140" spans="2:5" hidden="1" x14ac:dyDescent="0.25">
      <c r="B140" s="227" t="str">
        <f>'Project-Level Data'!B13</f>
        <v>Broadway/Federal Blvd Green Street</v>
      </c>
      <c r="C140" s="475" t="str">
        <f>'Project-Level Data'!C13</f>
        <v>Watershed and Ecosystem Management</v>
      </c>
      <c r="D140" s="477"/>
      <c r="E140" s="381">
        <f>'Project-Level Data'!AL13</f>
        <v>3</v>
      </c>
    </row>
    <row r="141" spans="2:5" ht="25.5" hidden="1" customHeight="1" x14ac:dyDescent="0.25">
      <c r="B141" s="227" t="str">
        <f>'Project-Level Data'!B16</f>
        <v>Canton Dr Green Street</v>
      </c>
      <c r="C141" s="475" t="str">
        <f>'Project-Level Data'!C16</f>
        <v>Watershed and Ecosystem Management</v>
      </c>
      <c r="D141" s="477"/>
      <c r="E141" s="381">
        <f>'Project-Level Data'!AL16</f>
        <v>3</v>
      </c>
    </row>
    <row r="142" spans="2:5" hidden="1" x14ac:dyDescent="0.25">
      <c r="B142" s="227" t="str">
        <f>'Project-Level Data'!B19</f>
        <v>Central Avenue Green Street</v>
      </c>
      <c r="C142" s="475" t="str">
        <f>'Project-Level Data'!C19</f>
        <v>Watershed and Ecosystem Management</v>
      </c>
      <c r="D142" s="477"/>
      <c r="E142" s="381">
        <f>'Project-Level Data'!AL19</f>
        <v>3</v>
      </c>
    </row>
    <row r="143" spans="2:5" hidden="1" x14ac:dyDescent="0.25">
      <c r="B143" s="227" t="str">
        <f>'Project-Level Data'!B30</f>
        <v>Federal Blvd Channel</v>
      </c>
      <c r="C143" s="475" t="str">
        <f>'Project-Level Data'!C30</f>
        <v>Watershed and Ecosystem Management</v>
      </c>
      <c r="D143" s="477"/>
      <c r="E143" s="381">
        <f>'Project-Level Data'!AL30</f>
        <v>3</v>
      </c>
    </row>
    <row r="144" spans="2:5" ht="15" hidden="1" customHeight="1" x14ac:dyDescent="0.25">
      <c r="B144" s="227" t="str">
        <f>'Project-Level Data'!B31</f>
        <v>Hodges Water Quality Improvement Program</v>
      </c>
      <c r="C144" s="475" t="str">
        <f>'Project-Level Data'!C31</f>
        <v>Watershed and Ecosystem Management</v>
      </c>
      <c r="D144" s="477"/>
      <c r="E144" s="381">
        <f>'Project-Level Data'!AL31</f>
        <v>4</v>
      </c>
    </row>
    <row r="145" spans="2:5" hidden="1" x14ac:dyDescent="0.25">
      <c r="B145" s="227" t="str">
        <f>'Project-Level Data'!B49</f>
        <v>Massachusetts Blvd Green Street</v>
      </c>
      <c r="C145" s="475" t="str">
        <f>'Project-Level Data'!C49</f>
        <v>Watershed and Ecosystem Management</v>
      </c>
      <c r="D145" s="477"/>
      <c r="E145" s="381">
        <f>'Project-Level Data'!AL49</f>
        <v>3</v>
      </c>
    </row>
    <row r="146" spans="2:5" ht="15" hidden="1" customHeight="1" x14ac:dyDescent="0.25">
      <c r="B146" s="227" t="str">
        <f>'Project-Level Data'!B56</f>
        <v>Mt. Vernon St Green Street</v>
      </c>
      <c r="C146" s="475" t="str">
        <f>'Project-Level Data'!C56</f>
        <v>Watershed and Ecosystem Management</v>
      </c>
      <c r="D146" s="477"/>
      <c r="E146" s="381">
        <f>'Project-Level Data'!AL56</f>
        <v>3</v>
      </c>
    </row>
    <row r="147" spans="2:5" hidden="1" x14ac:dyDescent="0.25">
      <c r="B147" s="227" t="str">
        <f>'Project-Level Data'!B58</f>
        <v>Nestor Creek Channel Restoration</v>
      </c>
      <c r="C147" s="475" t="str">
        <f>'Project-Level Data'!C58</f>
        <v>Watershed and Ecosystem Management</v>
      </c>
      <c r="D147" s="477"/>
      <c r="E147" s="381" t="str">
        <f>'Project-Level Data'!AL58</f>
        <v>No Response</v>
      </c>
    </row>
    <row r="148" spans="2:5" hidden="1" x14ac:dyDescent="0.25">
      <c r="B148" s="227" t="str">
        <f>'Project-Level Data'!B60</f>
        <v>North Ave and Grove Green Street</v>
      </c>
      <c r="C148" s="475" t="str">
        <f>'Project-Level Data'!C60</f>
        <v>Watershed and Ecosystem Management</v>
      </c>
      <c r="D148" s="477"/>
      <c r="E148" s="381">
        <f>'Project-Level Data'!AL60</f>
        <v>3</v>
      </c>
    </row>
    <row r="149" spans="2:5" ht="15" hidden="1" customHeight="1" x14ac:dyDescent="0.25">
      <c r="B149" s="227" t="str">
        <f>'Project-Level Data'!B69</f>
        <v>Palm St Green Street</v>
      </c>
      <c r="C149" s="475" t="str">
        <f>'Project-Level Data'!C69</f>
        <v>Watershed and Ecosystem Management</v>
      </c>
      <c r="D149" s="477"/>
      <c r="E149" s="381">
        <f>'Project-Level Data'!AL69</f>
        <v>3</v>
      </c>
    </row>
    <row r="150" spans="2:5" hidden="1" x14ac:dyDescent="0.25">
      <c r="B150" s="227" t="str">
        <f>'Project-Level Data'!B70</f>
        <v>Paradise Creek Restoration Phase II</v>
      </c>
      <c r="C150" s="475" t="str">
        <f>'Project-Level Data'!C70</f>
        <v>Watershed and Ecosystem Management</v>
      </c>
      <c r="D150" s="477"/>
      <c r="E150" s="381">
        <f>'Project-Level Data'!AL70</f>
        <v>4</v>
      </c>
    </row>
    <row r="151" spans="2:5" hidden="1" x14ac:dyDescent="0.25">
      <c r="B151" s="227" t="str">
        <f>'Project-Level Data'!B91</f>
        <v>San Diego Healthy Headwaters Restoration</v>
      </c>
      <c r="C151" s="475" t="str">
        <f>'Project-Level Data'!C91</f>
        <v>Watershed and Ecosystem Management</v>
      </c>
      <c r="D151" s="477"/>
      <c r="E151" s="381">
        <f>'Project-Level Data'!AL91</f>
        <v>3</v>
      </c>
    </row>
    <row r="152" spans="2:5" ht="25.5" hidden="1" x14ac:dyDescent="0.25">
      <c r="B152" s="227" t="str">
        <f>'Project-Level Data'!B113</f>
        <v>Sustaining Healthy Tributaries to the Upper San Diego River and Protecting Local Water Supplies</v>
      </c>
      <c r="C152" s="475" t="str">
        <f>'Project-Level Data'!C113</f>
        <v>Watershed and Ecosystem Management</v>
      </c>
      <c r="D152" s="477"/>
      <c r="E152" s="381" t="str">
        <f>'Project-Level Data'!AL113</f>
        <v>No Response</v>
      </c>
    </row>
    <row r="153" spans="2:5" hidden="1" x14ac:dyDescent="0.25">
      <c r="B153" s="227" t="str">
        <f>'Project-Level Data'!B115</f>
        <v>Sweetwater Reservoir Wetlands Habitat Recovery</v>
      </c>
      <c r="C153" s="475" t="str">
        <f>'Project-Level Data'!C115</f>
        <v>Watershed and Ecosystem Management</v>
      </c>
      <c r="D153" s="477"/>
      <c r="E153" s="381">
        <f>'Project-Level Data'!AL115</f>
        <v>2</v>
      </c>
    </row>
    <row r="154" spans="2:5" hidden="1" x14ac:dyDescent="0.25">
      <c r="B154" s="227" t="str">
        <f>'Project-Level Data'!B117</f>
        <v>Sycamore Creek Restoration</v>
      </c>
      <c r="C154" s="475" t="str">
        <f>'Project-Level Data'!C117</f>
        <v>Watershed and Ecosystem Management</v>
      </c>
      <c r="D154" s="477"/>
      <c r="E154" s="381">
        <f>'Project-Level Data'!AL117</f>
        <v>4</v>
      </c>
    </row>
    <row r="155" spans="2:5" hidden="1" x14ac:dyDescent="0.25">
      <c r="B155" s="227" t="str">
        <f>'Project-Level Data'!B120</f>
        <v>Tijuana River Floating Trash Capture System</v>
      </c>
      <c r="C155" s="509" t="str">
        <f>'Project-Level Data'!C120</f>
        <v>Watershed and Ecosystem Management</v>
      </c>
      <c r="D155" s="510"/>
      <c r="E155" s="381" t="str">
        <f>'Project-Level Data'!AL120</f>
        <v>No Response</v>
      </c>
    </row>
    <row r="156" spans="2:5" hidden="1" x14ac:dyDescent="0.25">
      <c r="B156" s="370"/>
      <c r="C156" s="515" t="s">
        <v>855</v>
      </c>
      <c r="D156" s="515"/>
      <c r="E156" s="398">
        <f>COUNTIFS(E36:E155, "=MISSING")</f>
        <v>0</v>
      </c>
    </row>
    <row r="157" spans="2:5" hidden="1" x14ac:dyDescent="0.25">
      <c r="B157" s="227"/>
      <c r="C157" s="516" t="s">
        <v>856</v>
      </c>
      <c r="D157" s="516"/>
      <c r="E157" s="381">
        <f>COUNTIFS(E36:E155, "=No Response")</f>
        <v>33</v>
      </c>
    </row>
    <row r="158" spans="2:5" hidden="1" x14ac:dyDescent="0.25">
      <c r="B158" s="227"/>
      <c r="C158" s="516" t="s">
        <v>858</v>
      </c>
      <c r="D158" s="516"/>
      <c r="E158" s="381">
        <f>COUNTIFS(E36:E155, "=REMOVED")</f>
        <v>1</v>
      </c>
    </row>
    <row r="159" spans="2:5" ht="15.75" hidden="1" thickBot="1" x14ac:dyDescent="0.3">
      <c r="B159" s="328"/>
      <c r="C159" s="517" t="s">
        <v>859</v>
      </c>
      <c r="D159" s="517"/>
      <c r="E159" s="385">
        <f>COUNTIFS(E36:E155, "&gt;0")</f>
        <v>86</v>
      </c>
    </row>
    <row r="160" spans="2:5" hidden="1" x14ac:dyDescent="0.25">
      <c r="B160" s="11"/>
      <c r="C160" s="84"/>
      <c r="D160" s="84"/>
    </row>
    <row r="161" spans="2:5" hidden="1" x14ac:dyDescent="0.25">
      <c r="B161" s="1" t="s">
        <v>729</v>
      </c>
    </row>
    <row r="162" spans="2:5" ht="45.75" hidden="1" thickBot="1" x14ac:dyDescent="0.3">
      <c r="B162" s="363" t="s">
        <v>374</v>
      </c>
      <c r="C162" s="798" t="s">
        <v>6</v>
      </c>
      <c r="D162" s="799"/>
      <c r="E162" s="347" t="s">
        <v>169</v>
      </c>
    </row>
    <row r="163" spans="2:5" hidden="1" x14ac:dyDescent="0.25">
      <c r="B163" s="370" t="str">
        <f>'Concept-Level Data'!A7</f>
        <v>Respondent 1</v>
      </c>
      <c r="C163" s="805" t="str">
        <f>'Concept-Level Data'!B7</f>
        <v>Conveyance Improvement</v>
      </c>
      <c r="D163" s="806"/>
      <c r="E163" s="377">
        <f>'Concept-Level Data'!V7</f>
        <v>2</v>
      </c>
    </row>
    <row r="164" spans="2:5" hidden="1" x14ac:dyDescent="0.25">
      <c r="B164" s="227" t="str">
        <f>'Concept-Level Data'!A8</f>
        <v>Respondent 1</v>
      </c>
      <c r="C164" s="793" t="str">
        <f>'Concept-Level Data'!B8</f>
        <v>Drought Restriction/Allocation</v>
      </c>
      <c r="D164" s="794"/>
      <c r="E164" s="381">
        <f>'Concept-Level Data'!V8</f>
        <v>3</v>
      </c>
    </row>
    <row r="165" spans="2:5" hidden="1" x14ac:dyDescent="0.25">
      <c r="B165" s="227" t="str">
        <f>'Concept-Level Data'!A9</f>
        <v>Respondent 1</v>
      </c>
      <c r="C165" s="793" t="str">
        <f>'Concept-Level Data'!B9</f>
        <v>Firm Water Supply Agreements</v>
      </c>
      <c r="D165" s="794"/>
      <c r="E165" s="381">
        <f>'Concept-Level Data'!V9</f>
        <v>3</v>
      </c>
    </row>
    <row r="166" spans="2:5" hidden="1" x14ac:dyDescent="0.25">
      <c r="B166" s="227" t="str">
        <f>'Concept-Level Data'!A10</f>
        <v>Respondent 1</v>
      </c>
      <c r="C166" s="793" t="str">
        <f>'Concept-Level Data'!B10</f>
        <v>Gray Water Use</v>
      </c>
      <c r="D166" s="794"/>
      <c r="E166" s="381">
        <f>'Concept-Level Data'!V10</f>
        <v>3</v>
      </c>
    </row>
    <row r="167" spans="2:5" hidden="1" x14ac:dyDescent="0.25">
      <c r="B167" s="227" t="str">
        <f>'Concept-Level Data'!A11</f>
        <v>Respondent 1</v>
      </c>
      <c r="C167" s="793" t="str">
        <f>'Concept-Level Data'!B11</f>
        <v>Groundwater</v>
      </c>
      <c r="D167" s="794"/>
      <c r="E167" s="381">
        <f>'Concept-Level Data'!V11</f>
        <v>3</v>
      </c>
    </row>
    <row r="168" spans="2:5" hidden="1" x14ac:dyDescent="0.25">
      <c r="B168" s="227" t="str">
        <f>'Concept-Level Data'!A12</f>
        <v>Respondent 1</v>
      </c>
      <c r="C168" s="793" t="str">
        <f>'Concept-Level Data'!B12</f>
        <v>Imported Water Purchases</v>
      </c>
      <c r="D168" s="794"/>
      <c r="E168" s="381">
        <f>'Concept-Level Data'!V12</f>
        <v>4</v>
      </c>
    </row>
    <row r="169" spans="2:5" hidden="1" x14ac:dyDescent="0.25">
      <c r="B169" s="227" t="str">
        <f>'Concept-Level Data'!A13</f>
        <v>Respondent 1</v>
      </c>
      <c r="C169" s="793" t="str">
        <f>'Concept-Level Data'!B13</f>
        <v>Local Surface Water Reservoirs</v>
      </c>
      <c r="D169" s="794"/>
      <c r="E169" s="381">
        <f>'Concept-Level Data'!V13</f>
        <v>2</v>
      </c>
    </row>
    <row r="170" spans="2:5" hidden="1" x14ac:dyDescent="0.25">
      <c r="B170" s="227" t="str">
        <f>'Concept-Level Data'!A14</f>
        <v>Respondent 1</v>
      </c>
      <c r="C170" s="793" t="str">
        <f>'Concept-Level Data'!B14</f>
        <v>Potable Reuse</v>
      </c>
      <c r="D170" s="794"/>
      <c r="E170" s="381">
        <f>'Concept-Level Data'!V14</f>
        <v>2</v>
      </c>
    </row>
    <row r="171" spans="2:5" hidden="1" x14ac:dyDescent="0.25">
      <c r="B171" s="227" t="str">
        <f>'Concept-Level Data'!A15</f>
        <v>Respondent 1</v>
      </c>
      <c r="C171" s="793" t="str">
        <f>'Concept-Level Data'!B15</f>
        <v>Recycled Water</v>
      </c>
      <c r="D171" s="794"/>
      <c r="E171" s="381">
        <f>'Concept-Level Data'!V15</f>
        <v>2</v>
      </c>
    </row>
    <row r="172" spans="2:5" hidden="1" x14ac:dyDescent="0.25">
      <c r="B172" s="227" t="str">
        <f>'Concept-Level Data'!A16</f>
        <v>Respondent 1</v>
      </c>
      <c r="C172" s="793" t="str">
        <f>'Concept-Level Data'!B16</f>
        <v>Seawater Desalination</v>
      </c>
      <c r="D172" s="794"/>
      <c r="E172" s="381">
        <f>'Concept-Level Data'!V16</f>
        <v>2</v>
      </c>
    </row>
    <row r="173" spans="2:5" hidden="1" x14ac:dyDescent="0.25">
      <c r="B173" s="227" t="str">
        <f>'Concept-Level Data'!A17</f>
        <v>Respondent 1</v>
      </c>
      <c r="C173" s="793" t="str">
        <f>'Concept-Level Data'!B17</f>
        <v>Stormwater BMPs</v>
      </c>
      <c r="D173" s="794"/>
      <c r="E173" s="381">
        <f>'Concept-Level Data'!V17</f>
        <v>3</v>
      </c>
    </row>
    <row r="174" spans="2:5" hidden="1" x14ac:dyDescent="0.25">
      <c r="B174" s="227" t="str">
        <f>'Concept-Level Data'!A18</f>
        <v>Respondent 1</v>
      </c>
      <c r="C174" s="793" t="str">
        <f>'Concept-Level Data'!B18</f>
        <v>Stormwater Capture</v>
      </c>
      <c r="D174" s="794"/>
      <c r="E174" s="381">
        <f>'Concept-Level Data'!V18</f>
        <v>4</v>
      </c>
    </row>
    <row r="175" spans="2:5" hidden="1" x14ac:dyDescent="0.25">
      <c r="B175" s="227" t="str">
        <f>'Concept-Level Data'!A19</f>
        <v>Respondent 1</v>
      </c>
      <c r="C175" s="793" t="str">
        <f>'Concept-Level Data'!B19</f>
        <v>Urban and Agricultural Water Use Efficiency</v>
      </c>
      <c r="D175" s="794"/>
      <c r="E175" s="381">
        <f>'Concept-Level Data'!V19</f>
        <v>5</v>
      </c>
    </row>
    <row r="176" spans="2:5" hidden="1" x14ac:dyDescent="0.25">
      <c r="B176" s="227" t="str">
        <f>'Concept-Level Data'!A20</f>
        <v>Respondent 1</v>
      </c>
      <c r="C176" s="793" t="str">
        <f>'Concept-Level Data'!B20</f>
        <v>Watershed and Ecosystem Management</v>
      </c>
      <c r="D176" s="794"/>
      <c r="E176" s="381">
        <f>'Concept-Level Data'!V20</f>
        <v>2</v>
      </c>
    </row>
    <row r="177" spans="2:5" hidden="1" x14ac:dyDescent="0.25">
      <c r="B177" s="227" t="str">
        <f>'Concept-Level Data'!A21</f>
        <v>Respondent 2</v>
      </c>
      <c r="C177" s="793" t="str">
        <f>'Concept-Level Data'!B21</f>
        <v>Conveyance Improvement</v>
      </c>
      <c r="D177" s="794"/>
      <c r="E177" s="381">
        <f>'Concept-Level Data'!V21</f>
        <v>4</v>
      </c>
    </row>
    <row r="178" spans="2:5" hidden="1" x14ac:dyDescent="0.25">
      <c r="B178" s="227" t="str">
        <f>'Concept-Level Data'!A22</f>
        <v>Respondent 2</v>
      </c>
      <c r="C178" s="793" t="str">
        <f>'Concept-Level Data'!B22</f>
        <v>Drought Restriction/Allocation</v>
      </c>
      <c r="D178" s="794"/>
      <c r="E178" s="381">
        <f>'Concept-Level Data'!V22</f>
        <v>4</v>
      </c>
    </row>
    <row r="179" spans="2:5" hidden="1" x14ac:dyDescent="0.25">
      <c r="B179" s="227" t="str">
        <f>'Concept-Level Data'!A23</f>
        <v>Respondent 2</v>
      </c>
      <c r="C179" s="793" t="str">
        <f>'Concept-Level Data'!B23</f>
        <v>Firm Water Supply Agreements</v>
      </c>
      <c r="D179" s="794"/>
      <c r="E179" s="381">
        <f>'Concept-Level Data'!V23</f>
        <v>2</v>
      </c>
    </row>
    <row r="180" spans="2:5" hidden="1" x14ac:dyDescent="0.25">
      <c r="B180" s="227" t="str">
        <f>'Concept-Level Data'!A24</f>
        <v>Respondent 2</v>
      </c>
      <c r="C180" s="793" t="str">
        <f>'Concept-Level Data'!B24</f>
        <v>Gray Water Use</v>
      </c>
      <c r="D180" s="794"/>
      <c r="E180" s="381">
        <f>'Concept-Level Data'!V24</f>
        <v>4</v>
      </c>
    </row>
    <row r="181" spans="2:5" hidden="1" x14ac:dyDescent="0.25">
      <c r="B181" s="227" t="str">
        <f>'Concept-Level Data'!A25</f>
        <v>Respondent 2</v>
      </c>
      <c r="C181" s="793" t="str">
        <f>'Concept-Level Data'!B25</f>
        <v>Groundwater</v>
      </c>
      <c r="D181" s="794"/>
      <c r="E181" s="381">
        <f>'Concept-Level Data'!V25</f>
        <v>3</v>
      </c>
    </row>
    <row r="182" spans="2:5" hidden="1" x14ac:dyDescent="0.25">
      <c r="B182" s="227" t="str">
        <f>'Concept-Level Data'!A26</f>
        <v>Respondent 2</v>
      </c>
      <c r="C182" s="793" t="str">
        <f>'Concept-Level Data'!B26</f>
        <v>Imported Water Purchases</v>
      </c>
      <c r="D182" s="794"/>
      <c r="E182" s="381">
        <f>'Concept-Level Data'!V26</f>
        <v>3</v>
      </c>
    </row>
    <row r="183" spans="2:5" hidden="1" x14ac:dyDescent="0.25">
      <c r="B183" s="227" t="str">
        <f>'Concept-Level Data'!A27</f>
        <v>Respondent 2</v>
      </c>
      <c r="C183" s="793" t="str">
        <f>'Concept-Level Data'!B27</f>
        <v>Local Surface Water Reservoirs</v>
      </c>
      <c r="D183" s="794"/>
      <c r="E183" s="381">
        <f>'Concept-Level Data'!V27</f>
        <v>2</v>
      </c>
    </row>
    <row r="184" spans="2:5" hidden="1" x14ac:dyDescent="0.25">
      <c r="B184" s="227" t="str">
        <f>'Concept-Level Data'!A28</f>
        <v>Respondent 2</v>
      </c>
      <c r="C184" s="793" t="str">
        <f>'Concept-Level Data'!B28</f>
        <v>Potable Reuse</v>
      </c>
      <c r="D184" s="794"/>
      <c r="E184" s="381">
        <f>'Concept-Level Data'!V28</f>
        <v>4</v>
      </c>
    </row>
    <row r="185" spans="2:5" hidden="1" x14ac:dyDescent="0.25">
      <c r="B185" s="227" t="str">
        <f>'Concept-Level Data'!A29</f>
        <v>Respondent 2</v>
      </c>
      <c r="C185" s="793" t="str">
        <f>'Concept-Level Data'!B29</f>
        <v>Recycled Water</v>
      </c>
      <c r="D185" s="794"/>
      <c r="E185" s="381">
        <f>'Concept-Level Data'!V29</f>
        <v>4</v>
      </c>
    </row>
    <row r="186" spans="2:5" hidden="1" x14ac:dyDescent="0.25">
      <c r="B186" s="227" t="str">
        <f>'Concept-Level Data'!A30</f>
        <v>Respondent 2</v>
      </c>
      <c r="C186" s="793" t="str">
        <f>'Concept-Level Data'!B30</f>
        <v>Seawater Desalination</v>
      </c>
      <c r="D186" s="794"/>
      <c r="E186" s="381">
        <f>'Concept-Level Data'!V30</f>
        <v>4</v>
      </c>
    </row>
    <row r="187" spans="2:5" hidden="1" x14ac:dyDescent="0.25">
      <c r="B187" s="227" t="str">
        <f>'Concept-Level Data'!A31</f>
        <v>Respondent 2</v>
      </c>
      <c r="C187" s="793" t="str">
        <f>'Concept-Level Data'!B31</f>
        <v>Stormwater BMPs</v>
      </c>
      <c r="D187" s="794"/>
      <c r="E187" s="381">
        <f>'Concept-Level Data'!V31</f>
        <v>3</v>
      </c>
    </row>
    <row r="188" spans="2:5" hidden="1" x14ac:dyDescent="0.25">
      <c r="B188" s="227" t="str">
        <f>'Concept-Level Data'!A32</f>
        <v>Respondent 2</v>
      </c>
      <c r="C188" s="793" t="str">
        <f>'Concept-Level Data'!B32</f>
        <v>Stormwater Capture</v>
      </c>
      <c r="D188" s="794"/>
      <c r="E188" s="381">
        <f>'Concept-Level Data'!V32</f>
        <v>3</v>
      </c>
    </row>
    <row r="189" spans="2:5" hidden="1" x14ac:dyDescent="0.25">
      <c r="B189" s="227" t="str">
        <f>'Concept-Level Data'!A33</f>
        <v>Respondent 2</v>
      </c>
      <c r="C189" s="793" t="str">
        <f>'Concept-Level Data'!B33</f>
        <v>Urban and Agricultural Water Use Efficiency</v>
      </c>
      <c r="D189" s="794"/>
      <c r="E189" s="381">
        <f>'Concept-Level Data'!V33</f>
        <v>4</v>
      </c>
    </row>
    <row r="190" spans="2:5" hidden="1" x14ac:dyDescent="0.25">
      <c r="B190" s="227" t="str">
        <f>'Concept-Level Data'!A34</f>
        <v>Respondent 2</v>
      </c>
      <c r="C190" s="793" t="str">
        <f>'Concept-Level Data'!B34</f>
        <v>Watershed and Ecosystem Management</v>
      </c>
      <c r="D190" s="794"/>
      <c r="E190" s="381">
        <f>'Concept-Level Data'!V34</f>
        <v>4</v>
      </c>
    </row>
    <row r="191" spans="2:5" hidden="1" x14ac:dyDescent="0.25">
      <c r="B191" s="227" t="str">
        <f>'Concept-Level Data'!A35</f>
        <v>Respondent 3</v>
      </c>
      <c r="C191" s="793" t="str">
        <f>'Concept-Level Data'!B35</f>
        <v>Conveyance Improvement</v>
      </c>
      <c r="D191" s="794"/>
      <c r="E191" s="381">
        <f>'Concept-Level Data'!V35</f>
        <v>2</v>
      </c>
    </row>
    <row r="192" spans="2:5" hidden="1" x14ac:dyDescent="0.25">
      <c r="B192" s="227" t="str">
        <f>'Concept-Level Data'!A36</f>
        <v>Respondent 3</v>
      </c>
      <c r="C192" s="793" t="str">
        <f>'Concept-Level Data'!B36</f>
        <v>Drought Restriction/Allocation</v>
      </c>
      <c r="D192" s="794"/>
      <c r="E192" s="381">
        <f>'Concept-Level Data'!V36</f>
        <v>4</v>
      </c>
    </row>
    <row r="193" spans="2:5" hidden="1" x14ac:dyDescent="0.25">
      <c r="B193" s="227" t="str">
        <f>'Concept-Level Data'!A37</f>
        <v>Respondent 3</v>
      </c>
      <c r="C193" s="793" t="str">
        <f>'Concept-Level Data'!B37</f>
        <v>Firm Water Supply Agreements</v>
      </c>
      <c r="D193" s="794"/>
      <c r="E193" s="381">
        <f>'Concept-Level Data'!V37</f>
        <v>3</v>
      </c>
    </row>
    <row r="194" spans="2:5" hidden="1" x14ac:dyDescent="0.25">
      <c r="B194" s="227" t="str">
        <f>'Concept-Level Data'!A38</f>
        <v>Respondent 3</v>
      </c>
      <c r="C194" s="793" t="str">
        <f>'Concept-Level Data'!B38</f>
        <v>Gray Water Use</v>
      </c>
      <c r="D194" s="794"/>
      <c r="E194" s="381">
        <f>'Concept-Level Data'!V38</f>
        <v>4</v>
      </c>
    </row>
    <row r="195" spans="2:5" hidden="1" x14ac:dyDescent="0.25">
      <c r="B195" s="227" t="str">
        <f>'Concept-Level Data'!A39</f>
        <v>Respondent 3</v>
      </c>
      <c r="C195" s="793" t="str">
        <f>'Concept-Level Data'!B39</f>
        <v>Groundwater</v>
      </c>
      <c r="D195" s="794"/>
      <c r="E195" s="381">
        <f>'Concept-Level Data'!V39</f>
        <v>2</v>
      </c>
    </row>
    <row r="196" spans="2:5" hidden="1" x14ac:dyDescent="0.25">
      <c r="B196" s="227" t="str">
        <f>'Concept-Level Data'!A40</f>
        <v>Respondent 3</v>
      </c>
      <c r="C196" s="793" t="str">
        <f>'Concept-Level Data'!B40</f>
        <v>Imported Water Purchases</v>
      </c>
      <c r="D196" s="794"/>
      <c r="E196" s="381">
        <f>'Concept-Level Data'!V40</f>
        <v>2</v>
      </c>
    </row>
    <row r="197" spans="2:5" hidden="1" x14ac:dyDescent="0.25">
      <c r="B197" s="227" t="str">
        <f>'Concept-Level Data'!A41</f>
        <v>Respondent 3</v>
      </c>
      <c r="C197" s="793" t="str">
        <f>'Concept-Level Data'!B41</f>
        <v>Local Surface Water Reservoirs</v>
      </c>
      <c r="D197" s="794"/>
      <c r="E197" s="381">
        <f>'Concept-Level Data'!V41</f>
        <v>2</v>
      </c>
    </row>
    <row r="198" spans="2:5" hidden="1" x14ac:dyDescent="0.25">
      <c r="B198" s="227" t="str">
        <f>'Concept-Level Data'!A42</f>
        <v>Respondent 3</v>
      </c>
      <c r="C198" s="793" t="str">
        <f>'Concept-Level Data'!B42</f>
        <v>Potable Reuse</v>
      </c>
      <c r="D198" s="794"/>
      <c r="E198" s="381">
        <f>'Concept-Level Data'!V42</f>
        <v>2</v>
      </c>
    </row>
    <row r="199" spans="2:5" hidden="1" x14ac:dyDescent="0.25">
      <c r="B199" s="227" t="str">
        <f>'Concept-Level Data'!A43</f>
        <v>Respondent 3</v>
      </c>
      <c r="C199" s="793" t="str">
        <f>'Concept-Level Data'!B43</f>
        <v>Recycled Water</v>
      </c>
      <c r="D199" s="794"/>
      <c r="E199" s="381">
        <f>'Concept-Level Data'!V43</f>
        <v>2</v>
      </c>
    </row>
    <row r="200" spans="2:5" hidden="1" x14ac:dyDescent="0.25">
      <c r="B200" s="227" t="str">
        <f>'Concept-Level Data'!A44</f>
        <v>Respondent 3</v>
      </c>
      <c r="C200" s="793" t="str">
        <f>'Concept-Level Data'!B44</f>
        <v>Seawater Desalination</v>
      </c>
      <c r="D200" s="794"/>
      <c r="E200" s="381">
        <f>'Concept-Level Data'!V44</f>
        <v>2</v>
      </c>
    </row>
    <row r="201" spans="2:5" hidden="1" x14ac:dyDescent="0.25">
      <c r="B201" s="227" t="str">
        <f>'Concept-Level Data'!A45</f>
        <v>Respondent 3</v>
      </c>
      <c r="C201" s="793" t="str">
        <f>'Concept-Level Data'!B45</f>
        <v>Stormwater BMPs</v>
      </c>
      <c r="D201" s="794"/>
      <c r="E201" s="381">
        <f>'Concept-Level Data'!V45</f>
        <v>2</v>
      </c>
    </row>
    <row r="202" spans="2:5" hidden="1" x14ac:dyDescent="0.25">
      <c r="B202" s="227" t="str">
        <f>'Concept-Level Data'!A46</f>
        <v>Respondent 3</v>
      </c>
      <c r="C202" s="793" t="str">
        <f>'Concept-Level Data'!B46</f>
        <v>Stormwater Capture</v>
      </c>
      <c r="D202" s="794"/>
      <c r="E202" s="381">
        <f>'Concept-Level Data'!V46</f>
        <v>2</v>
      </c>
    </row>
    <row r="203" spans="2:5" hidden="1" x14ac:dyDescent="0.25">
      <c r="B203" s="227" t="str">
        <f>'Concept-Level Data'!A47</f>
        <v>Respondent 3</v>
      </c>
      <c r="C203" s="793" t="str">
        <f>'Concept-Level Data'!B47</f>
        <v>Urban and Agricultural Water Use Efficiency</v>
      </c>
      <c r="D203" s="794"/>
      <c r="E203" s="381">
        <f>'Concept-Level Data'!V47</f>
        <v>4</v>
      </c>
    </row>
    <row r="204" spans="2:5" hidden="1" x14ac:dyDescent="0.25">
      <c r="B204" s="227" t="str">
        <f>'Concept-Level Data'!A48</f>
        <v>Respondent 3</v>
      </c>
      <c r="C204" s="793" t="str">
        <f>'Concept-Level Data'!B48</f>
        <v>Watershed and Ecosystem Management</v>
      </c>
      <c r="D204" s="794"/>
      <c r="E204" s="381">
        <f>'Concept-Level Data'!V48</f>
        <v>4</v>
      </c>
    </row>
    <row r="205" spans="2:5" hidden="1" x14ac:dyDescent="0.25">
      <c r="B205" s="227" t="str">
        <f>'Concept-Level Data'!A49</f>
        <v>Respondent 4</v>
      </c>
      <c r="C205" s="793" t="str">
        <f>'Concept-Level Data'!B49</f>
        <v>Conveyance Improvement</v>
      </c>
      <c r="D205" s="794"/>
      <c r="E205" s="381">
        <f>'Concept-Level Data'!V49</f>
        <v>4</v>
      </c>
    </row>
    <row r="206" spans="2:5" hidden="1" x14ac:dyDescent="0.25">
      <c r="B206" s="227" t="str">
        <f>'Concept-Level Data'!A50</f>
        <v>Respondent 4</v>
      </c>
      <c r="C206" s="793" t="str">
        <f>'Concept-Level Data'!B50</f>
        <v>Drought Restriction/Allocation</v>
      </c>
      <c r="D206" s="794"/>
      <c r="E206" s="381">
        <f>'Concept-Level Data'!V50</f>
        <v>2</v>
      </c>
    </row>
    <row r="207" spans="2:5" hidden="1" x14ac:dyDescent="0.25">
      <c r="B207" s="227" t="str">
        <f>'Concept-Level Data'!A51</f>
        <v>Respondent 4</v>
      </c>
      <c r="C207" s="793" t="str">
        <f>'Concept-Level Data'!B51</f>
        <v>Firm Water Supply Agreements</v>
      </c>
      <c r="D207" s="794"/>
      <c r="E207" s="381">
        <f>'Concept-Level Data'!V51</f>
        <v>2</v>
      </c>
    </row>
    <row r="208" spans="2:5" hidden="1" x14ac:dyDescent="0.25">
      <c r="B208" s="227" t="str">
        <f>'Concept-Level Data'!A52</f>
        <v>Respondent 4</v>
      </c>
      <c r="C208" s="793" t="str">
        <f>'Concept-Level Data'!B52</f>
        <v>Gray Water Use</v>
      </c>
      <c r="D208" s="794"/>
      <c r="E208" s="381">
        <f>'Concept-Level Data'!V52</f>
        <v>4</v>
      </c>
    </row>
    <row r="209" spans="2:5" hidden="1" x14ac:dyDescent="0.25">
      <c r="B209" s="227" t="str">
        <f>'Concept-Level Data'!A53</f>
        <v>Respondent 4</v>
      </c>
      <c r="C209" s="793" t="str">
        <f>'Concept-Level Data'!B53</f>
        <v>Groundwater</v>
      </c>
      <c r="D209" s="794"/>
      <c r="E209" s="381">
        <f>'Concept-Level Data'!V53</f>
        <v>4</v>
      </c>
    </row>
    <row r="210" spans="2:5" hidden="1" x14ac:dyDescent="0.25">
      <c r="B210" s="227" t="str">
        <f>'Concept-Level Data'!A54</f>
        <v>Respondent 4</v>
      </c>
      <c r="C210" s="793" t="str">
        <f>'Concept-Level Data'!B54</f>
        <v>Imported Water Purchases</v>
      </c>
      <c r="D210" s="794"/>
      <c r="E210" s="381">
        <f>'Concept-Level Data'!V54</f>
        <v>3</v>
      </c>
    </row>
    <row r="211" spans="2:5" hidden="1" x14ac:dyDescent="0.25">
      <c r="B211" s="227" t="str">
        <f>'Concept-Level Data'!A55</f>
        <v>Respondent 4</v>
      </c>
      <c r="C211" s="793" t="str">
        <f>'Concept-Level Data'!B55</f>
        <v>Local Surface Water Reservoirs</v>
      </c>
      <c r="D211" s="794"/>
      <c r="E211" s="381">
        <f>'Concept-Level Data'!V55</f>
        <v>4</v>
      </c>
    </row>
    <row r="212" spans="2:5" hidden="1" x14ac:dyDescent="0.25">
      <c r="B212" s="227" t="str">
        <f>'Concept-Level Data'!A56</f>
        <v>Respondent 4</v>
      </c>
      <c r="C212" s="793" t="str">
        <f>'Concept-Level Data'!B56</f>
        <v>Potable Reuse</v>
      </c>
      <c r="D212" s="794"/>
      <c r="E212" s="381">
        <f>'Concept-Level Data'!V56</f>
        <v>4</v>
      </c>
    </row>
    <row r="213" spans="2:5" hidden="1" x14ac:dyDescent="0.25">
      <c r="B213" s="227" t="str">
        <f>'Concept-Level Data'!A57</f>
        <v>Respondent 4</v>
      </c>
      <c r="C213" s="793" t="str">
        <f>'Concept-Level Data'!B57</f>
        <v>Recycled Water</v>
      </c>
      <c r="D213" s="794"/>
      <c r="E213" s="381">
        <f>'Concept-Level Data'!V57</f>
        <v>4</v>
      </c>
    </row>
    <row r="214" spans="2:5" hidden="1" x14ac:dyDescent="0.25">
      <c r="B214" s="227" t="str">
        <f>'Concept-Level Data'!A58</f>
        <v>Respondent 4</v>
      </c>
      <c r="C214" s="793" t="str">
        <f>'Concept-Level Data'!B58</f>
        <v>Seawater Desalination</v>
      </c>
      <c r="D214" s="794"/>
      <c r="E214" s="381">
        <f>'Concept-Level Data'!V58</f>
        <v>4</v>
      </c>
    </row>
    <row r="215" spans="2:5" hidden="1" x14ac:dyDescent="0.25">
      <c r="B215" s="227" t="str">
        <f>'Concept-Level Data'!A59</f>
        <v>Respondent 4</v>
      </c>
      <c r="C215" s="793" t="str">
        <f>'Concept-Level Data'!B59</f>
        <v>Stormwater BMPs</v>
      </c>
      <c r="D215" s="794"/>
      <c r="E215" s="381">
        <f>'Concept-Level Data'!V59</f>
        <v>4</v>
      </c>
    </row>
    <row r="216" spans="2:5" hidden="1" x14ac:dyDescent="0.25">
      <c r="B216" s="227" t="str">
        <f>'Concept-Level Data'!A60</f>
        <v>Respondent 4</v>
      </c>
      <c r="C216" s="793" t="str">
        <f>'Concept-Level Data'!B60</f>
        <v>Stormwater Capture</v>
      </c>
      <c r="D216" s="794"/>
      <c r="E216" s="381">
        <f>'Concept-Level Data'!V60</f>
        <v>4</v>
      </c>
    </row>
    <row r="217" spans="2:5" hidden="1" x14ac:dyDescent="0.25">
      <c r="B217" s="227" t="str">
        <f>'Concept-Level Data'!A61</f>
        <v>Respondent 4</v>
      </c>
      <c r="C217" s="793" t="str">
        <f>'Concept-Level Data'!B61</f>
        <v>Urban and Agricultural Water Use Efficiency</v>
      </c>
      <c r="D217" s="794"/>
      <c r="E217" s="381">
        <f>'Concept-Level Data'!V61</f>
        <v>4</v>
      </c>
    </row>
    <row r="218" spans="2:5" hidden="1" x14ac:dyDescent="0.25">
      <c r="B218" s="227" t="str">
        <f>'Concept-Level Data'!A62</f>
        <v>Respondent 4</v>
      </c>
      <c r="C218" s="793" t="str">
        <f>'Concept-Level Data'!B62</f>
        <v>Watershed and Ecosystem Management</v>
      </c>
      <c r="D218" s="794"/>
      <c r="E218" s="381">
        <f>'Concept-Level Data'!V62</f>
        <v>4</v>
      </c>
    </row>
    <row r="219" spans="2:5" hidden="1" x14ac:dyDescent="0.25">
      <c r="B219" s="227" t="str">
        <f>'Concept-Level Data'!A63</f>
        <v>Respondent 5</v>
      </c>
      <c r="C219" s="793" t="str">
        <f>'Concept-Level Data'!B63</f>
        <v>Conveyance Improvement</v>
      </c>
      <c r="D219" s="794"/>
      <c r="E219" s="381">
        <f>'Concept-Level Data'!V63</f>
        <v>5</v>
      </c>
    </row>
    <row r="220" spans="2:5" hidden="1" x14ac:dyDescent="0.25">
      <c r="B220" s="227" t="str">
        <f>'Concept-Level Data'!A64</f>
        <v>Respondent 5</v>
      </c>
      <c r="C220" s="793" t="str">
        <f>'Concept-Level Data'!B64</f>
        <v>Drought Restriction/Allocation</v>
      </c>
      <c r="D220" s="794"/>
      <c r="E220" s="381">
        <f>'Concept-Level Data'!V64</f>
        <v>4</v>
      </c>
    </row>
    <row r="221" spans="2:5" hidden="1" x14ac:dyDescent="0.25">
      <c r="B221" s="227" t="str">
        <f>'Concept-Level Data'!A65</f>
        <v>Respondent 5</v>
      </c>
      <c r="C221" s="793" t="str">
        <f>'Concept-Level Data'!B65</f>
        <v>Firm Water Supply Agreements</v>
      </c>
      <c r="D221" s="794"/>
      <c r="E221" s="381">
        <f>'Concept-Level Data'!V65</f>
        <v>1</v>
      </c>
    </row>
    <row r="222" spans="2:5" hidden="1" x14ac:dyDescent="0.25">
      <c r="B222" s="227" t="str">
        <f>'Concept-Level Data'!A66</f>
        <v>Respondent 5</v>
      </c>
      <c r="C222" s="793" t="str">
        <f>'Concept-Level Data'!B66</f>
        <v>Gray Water Use</v>
      </c>
      <c r="D222" s="794"/>
      <c r="E222" s="381">
        <f>'Concept-Level Data'!V66</f>
        <v>4</v>
      </c>
    </row>
    <row r="223" spans="2:5" hidden="1" x14ac:dyDescent="0.25">
      <c r="B223" s="227" t="str">
        <f>'Concept-Level Data'!A67</f>
        <v>Respondent 5</v>
      </c>
      <c r="C223" s="793" t="str">
        <f>'Concept-Level Data'!B67</f>
        <v>Groundwater</v>
      </c>
      <c r="D223" s="794"/>
      <c r="E223" s="381">
        <f>'Concept-Level Data'!V67</f>
        <v>4</v>
      </c>
    </row>
    <row r="224" spans="2:5" hidden="1" x14ac:dyDescent="0.25">
      <c r="B224" s="227" t="str">
        <f>'Concept-Level Data'!A68</f>
        <v>Respondent 5</v>
      </c>
      <c r="C224" s="793" t="str">
        <f>'Concept-Level Data'!B68</f>
        <v>Imported Water Purchases</v>
      </c>
      <c r="D224" s="794"/>
      <c r="E224" s="381">
        <f>'Concept-Level Data'!V68</f>
        <v>1</v>
      </c>
    </row>
    <row r="225" spans="2:5" hidden="1" x14ac:dyDescent="0.25">
      <c r="B225" s="227" t="str">
        <f>'Concept-Level Data'!A69</f>
        <v>Respondent 5</v>
      </c>
      <c r="C225" s="793" t="str">
        <f>'Concept-Level Data'!B69</f>
        <v>Local Surface Water Reservoirs</v>
      </c>
      <c r="D225" s="794"/>
      <c r="E225" s="381">
        <f>'Concept-Level Data'!V69</f>
        <v>4</v>
      </c>
    </row>
    <row r="226" spans="2:5" hidden="1" x14ac:dyDescent="0.25">
      <c r="B226" s="227" t="str">
        <f>'Concept-Level Data'!A70</f>
        <v>Respondent 5</v>
      </c>
      <c r="C226" s="793" t="str">
        <f>'Concept-Level Data'!B70</f>
        <v>Potable Reuse</v>
      </c>
      <c r="D226" s="794"/>
      <c r="E226" s="381">
        <f>'Concept-Level Data'!V70</f>
        <v>4</v>
      </c>
    </row>
    <row r="227" spans="2:5" hidden="1" x14ac:dyDescent="0.25">
      <c r="B227" s="227" t="str">
        <f>'Concept-Level Data'!A71</f>
        <v>Respondent 5</v>
      </c>
      <c r="C227" s="793" t="str">
        <f>'Concept-Level Data'!B71</f>
        <v>Recycled Water</v>
      </c>
      <c r="D227" s="794"/>
      <c r="E227" s="381">
        <f>'Concept-Level Data'!V71</f>
        <v>4</v>
      </c>
    </row>
    <row r="228" spans="2:5" hidden="1" x14ac:dyDescent="0.25">
      <c r="B228" s="227" t="str">
        <f>'Concept-Level Data'!A72</f>
        <v>Respondent 5</v>
      </c>
      <c r="C228" s="793" t="str">
        <f>'Concept-Level Data'!B72</f>
        <v>Seawater Desalination</v>
      </c>
      <c r="D228" s="794"/>
      <c r="E228" s="381">
        <f>'Concept-Level Data'!V72</f>
        <v>2</v>
      </c>
    </row>
    <row r="229" spans="2:5" hidden="1" x14ac:dyDescent="0.25">
      <c r="B229" s="227" t="str">
        <f>'Concept-Level Data'!A73</f>
        <v>Respondent 5</v>
      </c>
      <c r="C229" s="793" t="str">
        <f>'Concept-Level Data'!B73</f>
        <v>Stormwater BMPs</v>
      </c>
      <c r="D229" s="794"/>
      <c r="E229" s="381">
        <f>'Concept-Level Data'!V73</f>
        <v>4</v>
      </c>
    </row>
    <row r="230" spans="2:5" hidden="1" x14ac:dyDescent="0.25">
      <c r="B230" s="227" t="str">
        <f>'Concept-Level Data'!A74</f>
        <v>Respondent 5</v>
      </c>
      <c r="C230" s="793" t="str">
        <f>'Concept-Level Data'!B74</f>
        <v>Stormwater Capture</v>
      </c>
      <c r="D230" s="794"/>
      <c r="E230" s="381">
        <f>'Concept-Level Data'!V74</f>
        <v>4</v>
      </c>
    </row>
    <row r="231" spans="2:5" hidden="1" x14ac:dyDescent="0.25">
      <c r="B231" s="227" t="str">
        <f>'Concept-Level Data'!A75</f>
        <v>Respondent 5</v>
      </c>
      <c r="C231" s="793" t="str">
        <f>'Concept-Level Data'!B75</f>
        <v>Urban and Agricultural Water Use Efficiency</v>
      </c>
      <c r="D231" s="794"/>
      <c r="E231" s="381">
        <f>'Concept-Level Data'!V75</f>
        <v>4</v>
      </c>
    </row>
    <row r="232" spans="2:5" hidden="1" x14ac:dyDescent="0.25">
      <c r="B232" s="227" t="str">
        <f>'Concept-Level Data'!A76</f>
        <v>Respondent 5</v>
      </c>
      <c r="C232" s="793" t="str">
        <f>'Concept-Level Data'!B76</f>
        <v>Watershed and Ecosystem Management</v>
      </c>
      <c r="D232" s="794"/>
      <c r="E232" s="381">
        <f>'Concept-Level Data'!V76</f>
        <v>4</v>
      </c>
    </row>
    <row r="233" spans="2:5" hidden="1" x14ac:dyDescent="0.25">
      <c r="B233" s="227" t="str">
        <f>'Concept-Level Data'!A77</f>
        <v>Respondent 6</v>
      </c>
      <c r="C233" s="793" t="str">
        <f>'Concept-Level Data'!B77</f>
        <v>Conveyance Improvement</v>
      </c>
      <c r="D233" s="794"/>
      <c r="E233" s="381">
        <f>'Concept-Level Data'!V77</f>
        <v>4</v>
      </c>
    </row>
    <row r="234" spans="2:5" hidden="1" x14ac:dyDescent="0.25">
      <c r="B234" s="227" t="str">
        <f>'Concept-Level Data'!A78</f>
        <v>Respondent 6</v>
      </c>
      <c r="C234" s="793" t="str">
        <f>'Concept-Level Data'!B78</f>
        <v>Drought Restriction/Allocation</v>
      </c>
      <c r="D234" s="794"/>
      <c r="E234" s="381">
        <f>'Concept-Level Data'!V78</f>
        <v>3</v>
      </c>
    </row>
    <row r="235" spans="2:5" hidden="1" x14ac:dyDescent="0.25">
      <c r="B235" s="227" t="str">
        <f>'Concept-Level Data'!A79</f>
        <v>Respondent 6</v>
      </c>
      <c r="C235" s="793" t="str">
        <f>'Concept-Level Data'!B79</f>
        <v>Firm Water Supply Agreements</v>
      </c>
      <c r="D235" s="794"/>
      <c r="E235" s="381">
        <f>'Concept-Level Data'!V79</f>
        <v>3</v>
      </c>
    </row>
    <row r="236" spans="2:5" hidden="1" x14ac:dyDescent="0.25">
      <c r="B236" s="227" t="str">
        <f>'Concept-Level Data'!A80</f>
        <v>Respondent 6</v>
      </c>
      <c r="C236" s="793" t="str">
        <f>'Concept-Level Data'!B80</f>
        <v>Gray Water Use</v>
      </c>
      <c r="D236" s="794"/>
      <c r="E236" s="381">
        <f>'Concept-Level Data'!V80</f>
        <v>4</v>
      </c>
    </row>
    <row r="237" spans="2:5" hidden="1" x14ac:dyDescent="0.25">
      <c r="B237" s="227" t="str">
        <f>'Concept-Level Data'!A81</f>
        <v>Respondent 6</v>
      </c>
      <c r="C237" s="793" t="str">
        <f>'Concept-Level Data'!B81</f>
        <v>Groundwater</v>
      </c>
      <c r="D237" s="794"/>
      <c r="E237" s="381">
        <f>'Concept-Level Data'!V81</f>
        <v>2</v>
      </c>
    </row>
    <row r="238" spans="2:5" hidden="1" x14ac:dyDescent="0.25">
      <c r="B238" s="227" t="str">
        <f>'Concept-Level Data'!A82</f>
        <v>Respondent 6</v>
      </c>
      <c r="C238" s="793" t="str">
        <f>'Concept-Level Data'!B82</f>
        <v>Imported Water Purchases</v>
      </c>
      <c r="D238" s="794"/>
      <c r="E238" s="381">
        <f>'Concept-Level Data'!V82</f>
        <v>3</v>
      </c>
    </row>
    <row r="239" spans="2:5" hidden="1" x14ac:dyDescent="0.25">
      <c r="B239" s="227" t="str">
        <f>'Concept-Level Data'!A83</f>
        <v>Respondent 6</v>
      </c>
      <c r="C239" s="793" t="str">
        <f>'Concept-Level Data'!B83</f>
        <v>Local Surface Water Reservoirs</v>
      </c>
      <c r="D239" s="794"/>
      <c r="E239" s="381">
        <f>'Concept-Level Data'!V83</f>
        <v>4</v>
      </c>
    </row>
    <row r="240" spans="2:5" hidden="1" x14ac:dyDescent="0.25">
      <c r="B240" s="227" t="str">
        <f>'Concept-Level Data'!A84</f>
        <v>Respondent 6</v>
      </c>
      <c r="C240" s="793" t="str">
        <f>'Concept-Level Data'!B84</f>
        <v>Potable Reuse</v>
      </c>
      <c r="D240" s="794"/>
      <c r="E240" s="381">
        <f>'Concept-Level Data'!V84</f>
        <v>4</v>
      </c>
    </row>
    <row r="241" spans="2:5" hidden="1" x14ac:dyDescent="0.25">
      <c r="B241" s="227" t="str">
        <f>'Concept-Level Data'!A85</f>
        <v>Respondent 6</v>
      </c>
      <c r="C241" s="793" t="str">
        <f>'Concept-Level Data'!B85</f>
        <v>Recycled Water</v>
      </c>
      <c r="D241" s="794"/>
      <c r="E241" s="381">
        <f>'Concept-Level Data'!V85</f>
        <v>5</v>
      </c>
    </row>
    <row r="242" spans="2:5" hidden="1" x14ac:dyDescent="0.25">
      <c r="B242" s="227" t="str">
        <f>'Concept-Level Data'!A86</f>
        <v>Respondent 6</v>
      </c>
      <c r="C242" s="793" t="str">
        <f>'Concept-Level Data'!B86</f>
        <v>Seawater Desalination</v>
      </c>
      <c r="D242" s="794"/>
      <c r="E242" s="381">
        <f>'Concept-Level Data'!V86</f>
        <v>4</v>
      </c>
    </row>
    <row r="243" spans="2:5" hidden="1" x14ac:dyDescent="0.25">
      <c r="B243" s="227" t="str">
        <f>'Concept-Level Data'!A87</f>
        <v>Respondent 6</v>
      </c>
      <c r="C243" s="793" t="str">
        <f>'Concept-Level Data'!B87</f>
        <v>Stormwater BMPs</v>
      </c>
      <c r="D243" s="794"/>
      <c r="E243" s="381">
        <f>'Concept-Level Data'!V87</f>
        <v>4</v>
      </c>
    </row>
    <row r="244" spans="2:5" hidden="1" x14ac:dyDescent="0.25">
      <c r="B244" s="227" t="str">
        <f>'Concept-Level Data'!A88</f>
        <v>Respondent 6</v>
      </c>
      <c r="C244" s="793" t="str">
        <f>'Concept-Level Data'!B88</f>
        <v>Stormwater Capture</v>
      </c>
      <c r="D244" s="794"/>
      <c r="E244" s="381">
        <f>'Concept-Level Data'!V88</f>
        <v>4</v>
      </c>
    </row>
    <row r="245" spans="2:5" hidden="1" x14ac:dyDescent="0.25">
      <c r="B245" s="227" t="str">
        <f>'Concept-Level Data'!A89</f>
        <v>Respondent 6</v>
      </c>
      <c r="C245" s="793" t="str">
        <f>'Concept-Level Data'!B89</f>
        <v>Urban and Agricultural Water Use Efficiency</v>
      </c>
      <c r="D245" s="794"/>
      <c r="E245" s="381">
        <f>'Concept-Level Data'!V89</f>
        <v>4</v>
      </c>
    </row>
    <row r="246" spans="2:5" hidden="1" x14ac:dyDescent="0.25">
      <c r="B246" s="227" t="str">
        <f>'Concept-Level Data'!A90</f>
        <v>Respondent 6</v>
      </c>
      <c r="C246" s="793" t="str">
        <f>'Concept-Level Data'!B90</f>
        <v>Watershed and Ecosystem Management</v>
      </c>
      <c r="D246" s="794"/>
      <c r="E246" s="381">
        <f>'Concept-Level Data'!V90</f>
        <v>5</v>
      </c>
    </row>
    <row r="247" spans="2:5" hidden="1" x14ac:dyDescent="0.25">
      <c r="B247" s="227" t="str">
        <f>'Concept-Level Data'!A91</f>
        <v>Respondent 7</v>
      </c>
      <c r="C247" s="793" t="str">
        <f>'Concept-Level Data'!B91</f>
        <v>Conveyance Improvement</v>
      </c>
      <c r="D247" s="794"/>
      <c r="E247" s="381">
        <f>'Concept-Level Data'!V91</f>
        <v>4</v>
      </c>
    </row>
    <row r="248" spans="2:5" hidden="1" x14ac:dyDescent="0.25">
      <c r="B248" s="227" t="str">
        <f>'Concept-Level Data'!A92</f>
        <v>Respondent 7</v>
      </c>
      <c r="C248" s="793" t="str">
        <f>'Concept-Level Data'!B92</f>
        <v>Drought Restriction/Allocation</v>
      </c>
      <c r="D248" s="794"/>
      <c r="E248" s="381">
        <f>'Concept-Level Data'!V92</f>
        <v>2</v>
      </c>
    </row>
    <row r="249" spans="2:5" hidden="1" x14ac:dyDescent="0.25">
      <c r="B249" s="227" t="str">
        <f>'Concept-Level Data'!A93</f>
        <v>Respondent 7</v>
      </c>
      <c r="C249" s="793" t="str">
        <f>'Concept-Level Data'!B93</f>
        <v>Firm Water Supply Agreements</v>
      </c>
      <c r="D249" s="794"/>
      <c r="E249" s="381">
        <f>'Concept-Level Data'!V93</f>
        <v>1</v>
      </c>
    </row>
    <row r="250" spans="2:5" hidden="1" x14ac:dyDescent="0.25">
      <c r="B250" s="227" t="str">
        <f>'Concept-Level Data'!A94</f>
        <v>Respondent 7</v>
      </c>
      <c r="C250" s="793" t="str">
        <f>'Concept-Level Data'!B94</f>
        <v>Gray Water Use</v>
      </c>
      <c r="D250" s="794"/>
      <c r="E250" s="381">
        <f>'Concept-Level Data'!V94</f>
        <v>4</v>
      </c>
    </row>
    <row r="251" spans="2:5" hidden="1" x14ac:dyDescent="0.25">
      <c r="B251" s="227" t="str">
        <f>'Concept-Level Data'!A95</f>
        <v>Respondent 7</v>
      </c>
      <c r="C251" s="793" t="str">
        <f>'Concept-Level Data'!B95</f>
        <v>Groundwater</v>
      </c>
      <c r="D251" s="794"/>
      <c r="E251" s="381">
        <f>'Concept-Level Data'!V95</f>
        <v>2</v>
      </c>
    </row>
    <row r="252" spans="2:5" hidden="1" x14ac:dyDescent="0.25">
      <c r="B252" s="227" t="str">
        <f>'Concept-Level Data'!A96</f>
        <v>Respondent 7</v>
      </c>
      <c r="C252" s="793" t="str">
        <f>'Concept-Level Data'!B96</f>
        <v>Imported Water Purchases</v>
      </c>
      <c r="D252" s="794"/>
      <c r="E252" s="381">
        <f>'Concept-Level Data'!V96</f>
        <v>1</v>
      </c>
    </row>
    <row r="253" spans="2:5" hidden="1" x14ac:dyDescent="0.25">
      <c r="B253" s="227" t="str">
        <f>'Concept-Level Data'!A97</f>
        <v>Respondent 7</v>
      </c>
      <c r="C253" s="793" t="str">
        <f>'Concept-Level Data'!B97</f>
        <v>Local Surface Water Reservoirs</v>
      </c>
      <c r="D253" s="794"/>
      <c r="E253" s="381">
        <f>'Concept-Level Data'!V97</f>
        <v>4</v>
      </c>
    </row>
    <row r="254" spans="2:5" hidden="1" x14ac:dyDescent="0.25">
      <c r="B254" s="227" t="str">
        <f>'Concept-Level Data'!A98</f>
        <v>Respondent 7</v>
      </c>
      <c r="C254" s="793" t="str">
        <f>'Concept-Level Data'!B98</f>
        <v>Potable Reuse</v>
      </c>
      <c r="D254" s="794"/>
      <c r="E254" s="381">
        <f>'Concept-Level Data'!V98</f>
        <v>5</v>
      </c>
    </row>
    <row r="255" spans="2:5" hidden="1" x14ac:dyDescent="0.25">
      <c r="B255" s="227" t="str">
        <f>'Concept-Level Data'!A99</f>
        <v>Respondent 7</v>
      </c>
      <c r="C255" s="793" t="str">
        <f>'Concept-Level Data'!B99</f>
        <v>Recycled Water</v>
      </c>
      <c r="D255" s="794"/>
      <c r="E255" s="381">
        <f>'Concept-Level Data'!V99</f>
        <v>2</v>
      </c>
    </row>
    <row r="256" spans="2:5" hidden="1" x14ac:dyDescent="0.25">
      <c r="B256" s="227" t="str">
        <f>'Concept-Level Data'!A100</f>
        <v>Respondent 7</v>
      </c>
      <c r="C256" s="793" t="str">
        <f>'Concept-Level Data'!B100</f>
        <v>Seawater Desalination</v>
      </c>
      <c r="D256" s="794"/>
      <c r="E256" s="381">
        <f>'Concept-Level Data'!V100</f>
        <v>1</v>
      </c>
    </row>
    <row r="257" spans="2:5" hidden="1" x14ac:dyDescent="0.25">
      <c r="B257" s="227" t="str">
        <f>'Concept-Level Data'!A101</f>
        <v>Respondent 7</v>
      </c>
      <c r="C257" s="793" t="str">
        <f>'Concept-Level Data'!B101</f>
        <v>Stormwater BMPs</v>
      </c>
      <c r="D257" s="794"/>
      <c r="E257" s="381">
        <f>'Concept-Level Data'!V101</f>
        <v>4</v>
      </c>
    </row>
    <row r="258" spans="2:5" hidden="1" x14ac:dyDescent="0.25">
      <c r="B258" s="227" t="str">
        <f>'Concept-Level Data'!A102</f>
        <v>Respondent 7</v>
      </c>
      <c r="C258" s="793" t="str">
        <f>'Concept-Level Data'!B102</f>
        <v>Stormwater Capture</v>
      </c>
      <c r="D258" s="794"/>
      <c r="E258" s="381">
        <f>'Concept-Level Data'!V102</f>
        <v>2</v>
      </c>
    </row>
    <row r="259" spans="2:5" hidden="1" x14ac:dyDescent="0.25">
      <c r="B259" s="227" t="str">
        <f>'Concept-Level Data'!A103</f>
        <v>Respondent 7</v>
      </c>
      <c r="C259" s="793" t="str">
        <f>'Concept-Level Data'!B103</f>
        <v>Urban and Agricultural Water Use Efficiency</v>
      </c>
      <c r="D259" s="794"/>
      <c r="E259" s="381">
        <f>'Concept-Level Data'!V103</f>
        <v>4</v>
      </c>
    </row>
    <row r="260" spans="2:5" hidden="1" x14ac:dyDescent="0.25">
      <c r="B260" s="227" t="str">
        <f>'Concept-Level Data'!A104</f>
        <v>Respondent 7</v>
      </c>
      <c r="C260" s="793" t="str">
        <f>'Concept-Level Data'!B104</f>
        <v>Watershed and Ecosystem Management</v>
      </c>
      <c r="D260" s="794"/>
      <c r="E260" s="381">
        <f>'Concept-Level Data'!V104</f>
        <v>4</v>
      </c>
    </row>
    <row r="261" spans="2:5" hidden="1" x14ac:dyDescent="0.25">
      <c r="B261" s="227" t="str">
        <f>'Concept-Level Data'!A105</f>
        <v>Respondent 8</v>
      </c>
      <c r="C261" s="793" t="str">
        <f>'Concept-Level Data'!B105</f>
        <v>Conveyance Improvement</v>
      </c>
      <c r="D261" s="794"/>
      <c r="E261" s="381">
        <f>'Concept-Level Data'!V105</f>
        <v>5</v>
      </c>
    </row>
    <row r="262" spans="2:5" hidden="1" x14ac:dyDescent="0.25">
      <c r="B262" s="227" t="str">
        <f>'Concept-Level Data'!A106</f>
        <v>Respondent 8</v>
      </c>
      <c r="C262" s="793" t="str">
        <f>'Concept-Level Data'!B106</f>
        <v>Drought Restriction/Allocation</v>
      </c>
      <c r="D262" s="794"/>
      <c r="E262" s="381" t="str">
        <f>'Concept-Level Data'!V106</f>
        <v>MISSING</v>
      </c>
    </row>
    <row r="263" spans="2:5" hidden="1" x14ac:dyDescent="0.25">
      <c r="B263" s="227" t="str">
        <f>'Concept-Level Data'!A107</f>
        <v>Respondent 8</v>
      </c>
      <c r="C263" s="793" t="str">
        <f>'Concept-Level Data'!B107</f>
        <v>Firm Water Supply Agreements</v>
      </c>
      <c r="D263" s="794"/>
      <c r="E263" s="381" t="str">
        <f>'Concept-Level Data'!V107</f>
        <v>MISSING</v>
      </c>
    </row>
    <row r="264" spans="2:5" hidden="1" x14ac:dyDescent="0.25">
      <c r="B264" s="227" t="str">
        <f>'Concept-Level Data'!A108</f>
        <v>Respondent 8</v>
      </c>
      <c r="C264" s="793" t="str">
        <f>'Concept-Level Data'!B108</f>
        <v>Gray Water Use</v>
      </c>
      <c r="D264" s="794"/>
      <c r="E264" s="381" t="str">
        <f>'Concept-Level Data'!V108</f>
        <v>MISSING</v>
      </c>
    </row>
    <row r="265" spans="2:5" hidden="1" x14ac:dyDescent="0.25">
      <c r="B265" s="227" t="str">
        <f>'Concept-Level Data'!A109</f>
        <v>Respondent 8</v>
      </c>
      <c r="C265" s="793" t="str">
        <f>'Concept-Level Data'!B109</f>
        <v>Groundwater</v>
      </c>
      <c r="D265" s="794"/>
      <c r="E265" s="381" t="str">
        <f>'Concept-Level Data'!V109</f>
        <v>MISSING</v>
      </c>
    </row>
    <row r="266" spans="2:5" hidden="1" x14ac:dyDescent="0.25">
      <c r="B266" s="227" t="str">
        <f>'Concept-Level Data'!A110</f>
        <v>Respondent 8</v>
      </c>
      <c r="C266" s="793" t="str">
        <f>'Concept-Level Data'!B110</f>
        <v>Imported Water Purchases</v>
      </c>
      <c r="D266" s="794"/>
      <c r="E266" s="381" t="str">
        <f>'Concept-Level Data'!V110</f>
        <v>MISSING</v>
      </c>
    </row>
    <row r="267" spans="2:5" hidden="1" x14ac:dyDescent="0.25">
      <c r="B267" s="227" t="str">
        <f>'Concept-Level Data'!A111</f>
        <v>Respondent 8</v>
      </c>
      <c r="C267" s="793" t="str">
        <f>'Concept-Level Data'!B111</f>
        <v>Local Surface Water Reservoirs</v>
      </c>
      <c r="D267" s="794"/>
      <c r="E267" s="381" t="str">
        <f>'Concept-Level Data'!V111</f>
        <v>MISSING</v>
      </c>
    </row>
    <row r="268" spans="2:5" hidden="1" x14ac:dyDescent="0.25">
      <c r="B268" s="227" t="str">
        <f>'Concept-Level Data'!A112</f>
        <v>Respondent 8</v>
      </c>
      <c r="C268" s="793" t="str">
        <f>'Concept-Level Data'!B112</f>
        <v>Potable Reuse</v>
      </c>
      <c r="D268" s="794"/>
      <c r="E268" s="381" t="str">
        <f>'Concept-Level Data'!V112</f>
        <v>MISSING</v>
      </c>
    </row>
    <row r="269" spans="2:5" hidden="1" x14ac:dyDescent="0.25">
      <c r="B269" s="227" t="str">
        <f>'Concept-Level Data'!A113</f>
        <v>Respondent 8</v>
      </c>
      <c r="C269" s="793" t="str">
        <f>'Concept-Level Data'!B113</f>
        <v>Recycled Water</v>
      </c>
      <c r="D269" s="794"/>
      <c r="E269" s="381" t="str">
        <f>'Concept-Level Data'!V113</f>
        <v>MISSING</v>
      </c>
    </row>
    <row r="270" spans="2:5" hidden="1" x14ac:dyDescent="0.25">
      <c r="B270" s="227" t="str">
        <f>'Concept-Level Data'!A114</f>
        <v>Respondent 8</v>
      </c>
      <c r="C270" s="793" t="str">
        <f>'Concept-Level Data'!B114</f>
        <v>Seawater Desalination</v>
      </c>
      <c r="D270" s="794"/>
      <c r="E270" s="381" t="str">
        <f>'Concept-Level Data'!V114</f>
        <v>MISSING</v>
      </c>
    </row>
    <row r="271" spans="2:5" hidden="1" x14ac:dyDescent="0.25">
      <c r="B271" s="227" t="str">
        <f>'Concept-Level Data'!A115</f>
        <v>Respondent 8</v>
      </c>
      <c r="C271" s="793" t="str">
        <f>'Concept-Level Data'!B115</f>
        <v>Stormwater BMPs</v>
      </c>
      <c r="D271" s="794"/>
      <c r="E271" s="381" t="str">
        <f>'Concept-Level Data'!V115</f>
        <v>MISSING</v>
      </c>
    </row>
    <row r="272" spans="2:5" hidden="1" x14ac:dyDescent="0.25">
      <c r="B272" s="227" t="str">
        <f>'Concept-Level Data'!A116</f>
        <v>Respondent 8</v>
      </c>
      <c r="C272" s="793" t="str">
        <f>'Concept-Level Data'!B116</f>
        <v>Stormwater Capture</v>
      </c>
      <c r="D272" s="794"/>
      <c r="E272" s="381" t="str">
        <f>'Concept-Level Data'!V116</f>
        <v>MISSING</v>
      </c>
    </row>
    <row r="273" spans="2:5" hidden="1" x14ac:dyDescent="0.25">
      <c r="B273" s="227" t="str">
        <f>'Concept-Level Data'!A117</f>
        <v>Respondent 8</v>
      </c>
      <c r="C273" s="793" t="str">
        <f>'Concept-Level Data'!B117</f>
        <v>Urban and Agricultural Water Use Efficiency</v>
      </c>
      <c r="D273" s="794"/>
      <c r="E273" s="381" t="str">
        <f>'Concept-Level Data'!V117</f>
        <v>MISSING</v>
      </c>
    </row>
    <row r="274" spans="2:5" hidden="1" x14ac:dyDescent="0.25">
      <c r="B274" s="227" t="str">
        <f>'Concept-Level Data'!A118</f>
        <v>Respondent 8</v>
      </c>
      <c r="C274" s="793" t="str">
        <f>'Concept-Level Data'!B118</f>
        <v>Watershed and Ecosystem Management</v>
      </c>
      <c r="D274" s="794"/>
      <c r="E274" s="381" t="str">
        <f>'Concept-Level Data'!V118</f>
        <v>MISSING</v>
      </c>
    </row>
    <row r="275" spans="2:5" hidden="1" x14ac:dyDescent="0.25">
      <c r="B275" s="227" t="str">
        <f>'Concept-Level Data'!A119</f>
        <v>Respondent 9</v>
      </c>
      <c r="C275" s="793" t="str">
        <f>'Concept-Level Data'!B119</f>
        <v>Conveyance Improvement</v>
      </c>
      <c r="D275" s="794"/>
      <c r="E275" s="381">
        <f>'Concept-Level Data'!V119</f>
        <v>4</v>
      </c>
    </row>
    <row r="276" spans="2:5" hidden="1" x14ac:dyDescent="0.25">
      <c r="B276" s="227" t="str">
        <f>'Concept-Level Data'!A120</f>
        <v>Respondent 9</v>
      </c>
      <c r="C276" s="793" t="str">
        <f>'Concept-Level Data'!B120</f>
        <v>Drought Restriction/Allocation</v>
      </c>
      <c r="D276" s="794"/>
      <c r="E276" s="381">
        <f>'Concept-Level Data'!V120</f>
        <v>4</v>
      </c>
    </row>
    <row r="277" spans="2:5" hidden="1" x14ac:dyDescent="0.25">
      <c r="B277" s="227" t="str">
        <f>'Concept-Level Data'!A121</f>
        <v>Respondent 9</v>
      </c>
      <c r="C277" s="793" t="str">
        <f>'Concept-Level Data'!B121</f>
        <v>Firm Water Supply Agreements</v>
      </c>
      <c r="D277" s="794"/>
      <c r="E277" s="381">
        <f>'Concept-Level Data'!V121</f>
        <v>3</v>
      </c>
    </row>
    <row r="278" spans="2:5" hidden="1" x14ac:dyDescent="0.25">
      <c r="B278" s="227" t="str">
        <f>'Concept-Level Data'!A122</f>
        <v>Respondent 9</v>
      </c>
      <c r="C278" s="793" t="str">
        <f>'Concept-Level Data'!B122</f>
        <v>Gray Water Use</v>
      </c>
      <c r="D278" s="794"/>
      <c r="E278" s="381">
        <f>'Concept-Level Data'!V122</f>
        <v>4</v>
      </c>
    </row>
    <row r="279" spans="2:5" hidden="1" x14ac:dyDescent="0.25">
      <c r="B279" s="227" t="str">
        <f>'Concept-Level Data'!A123</f>
        <v>Respondent 9</v>
      </c>
      <c r="C279" s="793" t="str">
        <f>'Concept-Level Data'!B123</f>
        <v>Groundwater</v>
      </c>
      <c r="D279" s="794"/>
      <c r="E279" s="381">
        <f>'Concept-Level Data'!V123</f>
        <v>4</v>
      </c>
    </row>
    <row r="280" spans="2:5" hidden="1" x14ac:dyDescent="0.25">
      <c r="B280" s="227" t="str">
        <f>'Concept-Level Data'!A124</f>
        <v>Respondent 9</v>
      </c>
      <c r="C280" s="793" t="str">
        <f>'Concept-Level Data'!B124</f>
        <v>Imported Water Purchases</v>
      </c>
      <c r="D280" s="794"/>
      <c r="E280" s="381">
        <f>'Concept-Level Data'!V124</f>
        <v>3</v>
      </c>
    </row>
    <row r="281" spans="2:5" hidden="1" x14ac:dyDescent="0.25">
      <c r="B281" s="227" t="str">
        <f>'Concept-Level Data'!A125</f>
        <v>Respondent 9</v>
      </c>
      <c r="C281" s="793" t="str">
        <f>'Concept-Level Data'!B125</f>
        <v>Local Surface Water Reservoirs</v>
      </c>
      <c r="D281" s="794"/>
      <c r="E281" s="381">
        <f>'Concept-Level Data'!V125</f>
        <v>4</v>
      </c>
    </row>
    <row r="282" spans="2:5" hidden="1" x14ac:dyDescent="0.25">
      <c r="B282" s="227" t="str">
        <f>'Concept-Level Data'!A126</f>
        <v>Respondent 9</v>
      </c>
      <c r="C282" s="793" t="str">
        <f>'Concept-Level Data'!B126</f>
        <v>Potable Reuse</v>
      </c>
      <c r="D282" s="794"/>
      <c r="E282" s="381">
        <f>'Concept-Level Data'!V126</f>
        <v>4</v>
      </c>
    </row>
    <row r="283" spans="2:5" hidden="1" x14ac:dyDescent="0.25">
      <c r="B283" s="227" t="str">
        <f>'Concept-Level Data'!A127</f>
        <v>Respondent 9</v>
      </c>
      <c r="C283" s="793" t="str">
        <f>'Concept-Level Data'!B127</f>
        <v>Recycled Water</v>
      </c>
      <c r="D283" s="794"/>
      <c r="E283" s="381">
        <f>'Concept-Level Data'!V127</f>
        <v>4</v>
      </c>
    </row>
    <row r="284" spans="2:5" hidden="1" x14ac:dyDescent="0.25">
      <c r="B284" s="227" t="str">
        <f>'Concept-Level Data'!A128</f>
        <v>Respondent 9</v>
      </c>
      <c r="C284" s="793" t="str">
        <f>'Concept-Level Data'!B128</f>
        <v>Seawater Desalination</v>
      </c>
      <c r="D284" s="794"/>
      <c r="E284" s="381">
        <f>'Concept-Level Data'!V128</f>
        <v>2</v>
      </c>
    </row>
    <row r="285" spans="2:5" hidden="1" x14ac:dyDescent="0.25">
      <c r="B285" s="227" t="str">
        <f>'Concept-Level Data'!A129</f>
        <v>Respondent 9</v>
      </c>
      <c r="C285" s="793" t="str">
        <f>'Concept-Level Data'!B129</f>
        <v>Stormwater BMPs</v>
      </c>
      <c r="D285" s="794"/>
      <c r="E285" s="381">
        <f>'Concept-Level Data'!V129</f>
        <v>4</v>
      </c>
    </row>
    <row r="286" spans="2:5" hidden="1" x14ac:dyDescent="0.25">
      <c r="B286" s="227" t="str">
        <f>'Concept-Level Data'!A130</f>
        <v>Respondent 9</v>
      </c>
      <c r="C286" s="793" t="str">
        <f>'Concept-Level Data'!B130</f>
        <v>Stormwater Capture</v>
      </c>
      <c r="D286" s="794"/>
      <c r="E286" s="381">
        <f>'Concept-Level Data'!V130</f>
        <v>4</v>
      </c>
    </row>
    <row r="287" spans="2:5" hidden="1" x14ac:dyDescent="0.25">
      <c r="B287" s="227" t="str">
        <f>'Concept-Level Data'!A131</f>
        <v>Respondent 9</v>
      </c>
      <c r="C287" s="793" t="str">
        <f>'Concept-Level Data'!B131</f>
        <v>Urban and Agricultural Water Use Efficiency</v>
      </c>
      <c r="D287" s="794"/>
      <c r="E287" s="381">
        <f>'Concept-Level Data'!V131</f>
        <v>4</v>
      </c>
    </row>
    <row r="288" spans="2:5" hidden="1" x14ac:dyDescent="0.25">
      <c r="B288" s="227" t="str">
        <f>'Concept-Level Data'!A132</f>
        <v>Respondent 9</v>
      </c>
      <c r="C288" s="793" t="str">
        <f>'Concept-Level Data'!B132</f>
        <v>Watershed and Ecosystem Management</v>
      </c>
      <c r="D288" s="794"/>
      <c r="E288" s="381">
        <f>'Concept-Level Data'!V132</f>
        <v>4</v>
      </c>
    </row>
    <row r="289" spans="2:5" hidden="1" x14ac:dyDescent="0.25">
      <c r="B289" s="251" t="str">
        <f>'Concept-Level Data'!A133</f>
        <v>Respondent 10</v>
      </c>
      <c r="C289" s="793" t="str">
        <f>'Concept-Level Data'!B133</f>
        <v>Conveyance Improvement</v>
      </c>
      <c r="D289" s="794"/>
      <c r="E289" s="381">
        <f>'Concept-Level Data'!V133</f>
        <v>4</v>
      </c>
    </row>
    <row r="290" spans="2:5" hidden="1" x14ac:dyDescent="0.25">
      <c r="B290" s="251" t="str">
        <f>'Concept-Level Data'!A134</f>
        <v>Respondent 10</v>
      </c>
      <c r="C290" s="793" t="str">
        <f>'Concept-Level Data'!B134</f>
        <v>Drought Restriction/Allocation</v>
      </c>
      <c r="D290" s="794"/>
      <c r="E290" s="381">
        <f>'Concept-Level Data'!V134</f>
        <v>4</v>
      </c>
    </row>
    <row r="291" spans="2:5" hidden="1" x14ac:dyDescent="0.25">
      <c r="B291" s="251" t="str">
        <f>'Concept-Level Data'!A135</f>
        <v>Respondent 10</v>
      </c>
      <c r="C291" s="793" t="str">
        <f>'Concept-Level Data'!B135</f>
        <v>Firm Water Supply Agreements</v>
      </c>
      <c r="D291" s="794"/>
      <c r="E291" s="381">
        <f>'Concept-Level Data'!V135</f>
        <v>4</v>
      </c>
    </row>
    <row r="292" spans="2:5" hidden="1" x14ac:dyDescent="0.25">
      <c r="B292" s="251" t="str">
        <f>'Concept-Level Data'!A136</f>
        <v>Respondent 10</v>
      </c>
      <c r="C292" s="793" t="str">
        <f>'Concept-Level Data'!B136</f>
        <v>Gray Water Use</v>
      </c>
      <c r="D292" s="794"/>
      <c r="E292" s="381">
        <f>'Concept-Level Data'!V136</f>
        <v>2</v>
      </c>
    </row>
    <row r="293" spans="2:5" hidden="1" x14ac:dyDescent="0.25">
      <c r="B293" s="251" t="str">
        <f>'Concept-Level Data'!A137</f>
        <v>Respondent 10</v>
      </c>
      <c r="C293" s="793" t="str">
        <f>'Concept-Level Data'!B137</f>
        <v>Groundwater</v>
      </c>
      <c r="D293" s="794"/>
      <c r="E293" s="381">
        <f>'Concept-Level Data'!V137</f>
        <v>3</v>
      </c>
    </row>
    <row r="294" spans="2:5" hidden="1" x14ac:dyDescent="0.25">
      <c r="B294" s="251" t="str">
        <f>'Concept-Level Data'!A138</f>
        <v>Respondent 10</v>
      </c>
      <c r="C294" s="793" t="str">
        <f>'Concept-Level Data'!B138</f>
        <v>Imported Water Purchases</v>
      </c>
      <c r="D294" s="794"/>
      <c r="E294" s="381">
        <f>'Concept-Level Data'!V138</f>
        <v>4</v>
      </c>
    </row>
    <row r="295" spans="2:5" hidden="1" x14ac:dyDescent="0.25">
      <c r="B295" s="251" t="str">
        <f>'Concept-Level Data'!A139</f>
        <v>Respondent 10</v>
      </c>
      <c r="C295" s="793" t="str">
        <f>'Concept-Level Data'!B139</f>
        <v>Local Surface Water Reservoirs</v>
      </c>
      <c r="D295" s="794"/>
      <c r="E295" s="381">
        <f>'Concept-Level Data'!V139</f>
        <v>2</v>
      </c>
    </row>
    <row r="296" spans="2:5" hidden="1" x14ac:dyDescent="0.25">
      <c r="B296" s="251" t="str">
        <f>'Concept-Level Data'!A140</f>
        <v>Respondent 10</v>
      </c>
      <c r="C296" s="793" t="str">
        <f>'Concept-Level Data'!B140</f>
        <v>Potable Reuse</v>
      </c>
      <c r="D296" s="794"/>
      <c r="E296" s="381">
        <f>'Concept-Level Data'!V140</f>
        <v>5</v>
      </c>
    </row>
    <row r="297" spans="2:5" hidden="1" x14ac:dyDescent="0.25">
      <c r="B297" s="251" t="str">
        <f>'Concept-Level Data'!A141</f>
        <v>Respondent 10</v>
      </c>
      <c r="C297" s="793" t="str">
        <f>'Concept-Level Data'!B141</f>
        <v>Recycled Water</v>
      </c>
      <c r="D297" s="794"/>
      <c r="E297" s="381">
        <f>'Concept-Level Data'!V141</f>
        <v>4</v>
      </c>
    </row>
    <row r="298" spans="2:5" hidden="1" x14ac:dyDescent="0.25">
      <c r="B298" s="251" t="str">
        <f>'Concept-Level Data'!A142</f>
        <v>Respondent 10</v>
      </c>
      <c r="C298" s="793" t="str">
        <f>'Concept-Level Data'!B142</f>
        <v>Seawater Desalination</v>
      </c>
      <c r="D298" s="794"/>
      <c r="E298" s="381">
        <f>'Concept-Level Data'!V142</f>
        <v>1</v>
      </c>
    </row>
    <row r="299" spans="2:5" hidden="1" x14ac:dyDescent="0.25">
      <c r="B299" s="251" t="str">
        <f>'Concept-Level Data'!A143</f>
        <v>Respondent 10</v>
      </c>
      <c r="C299" s="793" t="str">
        <f>'Concept-Level Data'!B143</f>
        <v>Stormwater BMPs</v>
      </c>
      <c r="D299" s="794"/>
      <c r="E299" s="381">
        <f>'Concept-Level Data'!V143</f>
        <v>4</v>
      </c>
    </row>
    <row r="300" spans="2:5" hidden="1" x14ac:dyDescent="0.25">
      <c r="B300" s="251" t="str">
        <f>'Concept-Level Data'!A144</f>
        <v>Respondent 10</v>
      </c>
      <c r="C300" s="793" t="str">
        <f>'Concept-Level Data'!B144</f>
        <v>Stormwater Capture</v>
      </c>
      <c r="D300" s="794"/>
      <c r="E300" s="381">
        <f>'Concept-Level Data'!V144</f>
        <v>4</v>
      </c>
    </row>
    <row r="301" spans="2:5" hidden="1" x14ac:dyDescent="0.25">
      <c r="B301" s="251" t="str">
        <f>'Concept-Level Data'!A145</f>
        <v>Respondent 10</v>
      </c>
      <c r="C301" s="793" t="str">
        <f>'Concept-Level Data'!B145</f>
        <v>Urban and Agricultural Water Use Efficiency</v>
      </c>
      <c r="D301" s="794"/>
      <c r="E301" s="381">
        <f>'Concept-Level Data'!V145</f>
        <v>4</v>
      </c>
    </row>
    <row r="302" spans="2:5" hidden="1" x14ac:dyDescent="0.25">
      <c r="B302" s="251" t="str">
        <f>'Concept-Level Data'!A146</f>
        <v>Respondent 10</v>
      </c>
      <c r="C302" s="793" t="str">
        <f>'Concept-Level Data'!B146</f>
        <v>Watershed and Ecosystem Management</v>
      </c>
      <c r="D302" s="794"/>
      <c r="E302" s="381">
        <f>'Concept-Level Data'!V146</f>
        <v>4</v>
      </c>
    </row>
    <row r="303" spans="2:5" hidden="1" x14ac:dyDescent="0.25">
      <c r="B303" s="251" t="str">
        <f>'Concept-Level Data'!A147</f>
        <v>Respondent 11</v>
      </c>
      <c r="C303" s="793" t="str">
        <f>'Concept-Level Data'!B147</f>
        <v>Conveyance Improvement</v>
      </c>
      <c r="D303" s="794"/>
      <c r="E303" s="381">
        <f>'Concept-Level Data'!V147</f>
        <v>2</v>
      </c>
    </row>
    <row r="304" spans="2:5" hidden="1" x14ac:dyDescent="0.25">
      <c r="B304" s="251" t="str">
        <f>'Concept-Level Data'!A148</f>
        <v>Respondent 11</v>
      </c>
      <c r="C304" s="793" t="str">
        <f>'Concept-Level Data'!B148</f>
        <v>Drought Restriction/Allocation</v>
      </c>
      <c r="D304" s="794"/>
      <c r="E304" s="381">
        <f>'Concept-Level Data'!V148</f>
        <v>1</v>
      </c>
    </row>
    <row r="305" spans="2:5" hidden="1" x14ac:dyDescent="0.25">
      <c r="B305" s="251" t="str">
        <f>'Concept-Level Data'!A149</f>
        <v>Respondent 11</v>
      </c>
      <c r="C305" s="793" t="str">
        <f>'Concept-Level Data'!B149</f>
        <v>Firm Water Supply Agreements</v>
      </c>
      <c r="D305" s="794"/>
      <c r="E305" s="381">
        <f>'Concept-Level Data'!V149</f>
        <v>4</v>
      </c>
    </row>
    <row r="306" spans="2:5" hidden="1" x14ac:dyDescent="0.25">
      <c r="B306" s="251" t="str">
        <f>'Concept-Level Data'!A150</f>
        <v>Respondent 11</v>
      </c>
      <c r="C306" s="793" t="str">
        <f>'Concept-Level Data'!B150</f>
        <v>Gray Water Use</v>
      </c>
      <c r="D306" s="794"/>
      <c r="E306" s="381">
        <f>'Concept-Level Data'!V150</f>
        <v>2</v>
      </c>
    </row>
    <row r="307" spans="2:5" hidden="1" x14ac:dyDescent="0.25">
      <c r="B307" s="251" t="str">
        <f>'Concept-Level Data'!A151</f>
        <v>Respondent 11</v>
      </c>
      <c r="C307" s="793" t="str">
        <f>'Concept-Level Data'!B151</f>
        <v>Groundwater</v>
      </c>
      <c r="D307" s="794"/>
      <c r="E307" s="381">
        <f>'Concept-Level Data'!V151</f>
        <v>4</v>
      </c>
    </row>
    <row r="308" spans="2:5" hidden="1" x14ac:dyDescent="0.25">
      <c r="B308" s="251" t="str">
        <f>'Concept-Level Data'!A152</f>
        <v>Respondent 11</v>
      </c>
      <c r="C308" s="793" t="str">
        <f>'Concept-Level Data'!B152</f>
        <v>Imported Water Purchases</v>
      </c>
      <c r="D308" s="794"/>
      <c r="E308" s="381">
        <f>'Concept-Level Data'!V152</f>
        <v>3</v>
      </c>
    </row>
    <row r="309" spans="2:5" hidden="1" x14ac:dyDescent="0.25">
      <c r="B309" s="251" t="str">
        <f>'Concept-Level Data'!A153</f>
        <v>Respondent 11</v>
      </c>
      <c r="C309" s="793" t="str">
        <f>'Concept-Level Data'!B153</f>
        <v>Local Surface Water Reservoirs</v>
      </c>
      <c r="D309" s="794"/>
      <c r="E309" s="381">
        <f>'Concept-Level Data'!V153</f>
        <v>3</v>
      </c>
    </row>
    <row r="310" spans="2:5" hidden="1" x14ac:dyDescent="0.25">
      <c r="B310" s="251" t="str">
        <f>'Concept-Level Data'!A154</f>
        <v>Respondent 11</v>
      </c>
      <c r="C310" s="793" t="str">
        <f>'Concept-Level Data'!B154</f>
        <v>Potable Reuse</v>
      </c>
      <c r="D310" s="794"/>
      <c r="E310" s="381">
        <f>'Concept-Level Data'!V154</f>
        <v>4</v>
      </c>
    </row>
    <row r="311" spans="2:5" hidden="1" x14ac:dyDescent="0.25">
      <c r="B311" s="251" t="str">
        <f>'Concept-Level Data'!A155</f>
        <v>Respondent 11</v>
      </c>
      <c r="C311" s="793" t="str">
        <f>'Concept-Level Data'!B155</f>
        <v>Recycled Water</v>
      </c>
      <c r="D311" s="794"/>
      <c r="E311" s="381">
        <f>'Concept-Level Data'!V155</f>
        <v>4</v>
      </c>
    </row>
    <row r="312" spans="2:5" hidden="1" x14ac:dyDescent="0.25">
      <c r="B312" s="251" t="str">
        <f>'Concept-Level Data'!A156</f>
        <v>Respondent 11</v>
      </c>
      <c r="C312" s="793" t="str">
        <f>'Concept-Level Data'!B156</f>
        <v>Seawater Desalination</v>
      </c>
      <c r="D312" s="794"/>
      <c r="E312" s="381" t="str">
        <f>'Concept-Level Data'!V156</f>
        <v>MISSING</v>
      </c>
    </row>
    <row r="313" spans="2:5" hidden="1" x14ac:dyDescent="0.25">
      <c r="B313" s="251" t="str">
        <f>'Concept-Level Data'!A157</f>
        <v>Respondent 11</v>
      </c>
      <c r="C313" s="793" t="str">
        <f>'Concept-Level Data'!B157</f>
        <v>Stormwater BMPs</v>
      </c>
      <c r="D313" s="794"/>
      <c r="E313" s="381">
        <f>'Concept-Level Data'!V157</f>
        <v>1</v>
      </c>
    </row>
    <row r="314" spans="2:5" hidden="1" x14ac:dyDescent="0.25">
      <c r="B314" s="251" t="str">
        <f>'Concept-Level Data'!A158</f>
        <v>Respondent 11</v>
      </c>
      <c r="C314" s="793" t="str">
        <f>'Concept-Level Data'!B158</f>
        <v>Stormwater Capture</v>
      </c>
      <c r="D314" s="794"/>
      <c r="E314" s="381">
        <f>'Concept-Level Data'!V158</f>
        <v>4</v>
      </c>
    </row>
    <row r="315" spans="2:5" hidden="1" x14ac:dyDescent="0.25">
      <c r="B315" s="251" t="str">
        <f>'Concept-Level Data'!A159</f>
        <v>Respondent 11</v>
      </c>
      <c r="C315" s="793" t="str">
        <f>'Concept-Level Data'!B159</f>
        <v>Urban and Agricultural Water Use Efficiency</v>
      </c>
      <c r="D315" s="794"/>
      <c r="E315" s="381">
        <f>'Concept-Level Data'!V159</f>
        <v>4</v>
      </c>
    </row>
    <row r="316" spans="2:5" hidden="1" x14ac:dyDescent="0.25">
      <c r="B316" s="251" t="str">
        <f>'Concept-Level Data'!A160</f>
        <v>Respondent 11</v>
      </c>
      <c r="C316" s="793" t="str">
        <f>'Concept-Level Data'!B160</f>
        <v>Watershed and Ecosystem Management</v>
      </c>
      <c r="D316" s="794"/>
      <c r="E316" s="381">
        <f>'Concept-Level Data'!V160</f>
        <v>3</v>
      </c>
    </row>
    <row r="317" spans="2:5" hidden="1" x14ac:dyDescent="0.25">
      <c r="B317" s="251" t="str">
        <f>'Concept-Level Data'!A161</f>
        <v>Respondent 12</v>
      </c>
      <c r="C317" s="793" t="str">
        <f>'Concept-Level Data'!B161</f>
        <v>Conveyance Improvement</v>
      </c>
      <c r="D317" s="794"/>
      <c r="E317" s="381">
        <f>'Concept-Level Data'!V161</f>
        <v>4</v>
      </c>
    </row>
    <row r="318" spans="2:5" hidden="1" x14ac:dyDescent="0.25">
      <c r="B318" s="251" t="str">
        <f>'Concept-Level Data'!A162</f>
        <v>Respondent 12</v>
      </c>
      <c r="C318" s="793" t="str">
        <f>'Concept-Level Data'!B162</f>
        <v>Drought Restriction/Allocation</v>
      </c>
      <c r="D318" s="794"/>
      <c r="E318" s="381">
        <f>'Concept-Level Data'!V162</f>
        <v>4</v>
      </c>
    </row>
    <row r="319" spans="2:5" hidden="1" x14ac:dyDescent="0.25">
      <c r="B319" s="251" t="str">
        <f>'Concept-Level Data'!A163</f>
        <v>Respondent 12</v>
      </c>
      <c r="C319" s="793" t="str">
        <f>'Concept-Level Data'!B163</f>
        <v>Firm Water Supply Agreements</v>
      </c>
      <c r="D319" s="794"/>
      <c r="E319" s="381">
        <f>'Concept-Level Data'!V163</f>
        <v>4</v>
      </c>
    </row>
    <row r="320" spans="2:5" hidden="1" x14ac:dyDescent="0.25">
      <c r="B320" s="251" t="str">
        <f>'Concept-Level Data'!A164</f>
        <v>Respondent 12</v>
      </c>
      <c r="C320" s="793" t="str">
        <f>'Concept-Level Data'!B164</f>
        <v>Gray Water Use</v>
      </c>
      <c r="D320" s="794"/>
      <c r="E320" s="381">
        <f>'Concept-Level Data'!V164</f>
        <v>4</v>
      </c>
    </row>
    <row r="321" spans="2:5" hidden="1" x14ac:dyDescent="0.25">
      <c r="B321" s="251" t="str">
        <f>'Concept-Level Data'!A165</f>
        <v>Respondent 12</v>
      </c>
      <c r="C321" s="793" t="str">
        <f>'Concept-Level Data'!B165</f>
        <v>Groundwater</v>
      </c>
      <c r="D321" s="794"/>
      <c r="E321" s="381">
        <f>'Concept-Level Data'!V165</f>
        <v>4</v>
      </c>
    </row>
    <row r="322" spans="2:5" hidden="1" x14ac:dyDescent="0.25">
      <c r="B322" s="251" t="str">
        <f>'Concept-Level Data'!A166</f>
        <v>Respondent 12</v>
      </c>
      <c r="C322" s="793" t="str">
        <f>'Concept-Level Data'!B166</f>
        <v>Imported Water Purchases</v>
      </c>
      <c r="D322" s="794"/>
      <c r="E322" s="381">
        <f>'Concept-Level Data'!V166</f>
        <v>4</v>
      </c>
    </row>
    <row r="323" spans="2:5" hidden="1" x14ac:dyDescent="0.25">
      <c r="B323" s="251" t="str">
        <f>'Concept-Level Data'!A167</f>
        <v>Respondent 12</v>
      </c>
      <c r="C323" s="793" t="str">
        <f>'Concept-Level Data'!B167</f>
        <v>Local Surface Water Reservoirs</v>
      </c>
      <c r="D323" s="794"/>
      <c r="E323" s="381">
        <f>'Concept-Level Data'!V167</f>
        <v>4</v>
      </c>
    </row>
    <row r="324" spans="2:5" hidden="1" x14ac:dyDescent="0.25">
      <c r="B324" s="251" t="str">
        <f>'Concept-Level Data'!A168</f>
        <v>Respondent 12</v>
      </c>
      <c r="C324" s="793" t="str">
        <f>'Concept-Level Data'!B168</f>
        <v>Potable Reuse</v>
      </c>
      <c r="D324" s="794"/>
      <c r="E324" s="381">
        <f>'Concept-Level Data'!V168</f>
        <v>5</v>
      </c>
    </row>
    <row r="325" spans="2:5" hidden="1" x14ac:dyDescent="0.25">
      <c r="B325" s="251" t="str">
        <f>'Concept-Level Data'!A169</f>
        <v>Respondent 12</v>
      </c>
      <c r="C325" s="793" t="str">
        <f>'Concept-Level Data'!B169</f>
        <v>Recycled Water</v>
      </c>
      <c r="D325" s="794"/>
      <c r="E325" s="381">
        <f>'Concept-Level Data'!V169</f>
        <v>4</v>
      </c>
    </row>
    <row r="326" spans="2:5" hidden="1" x14ac:dyDescent="0.25">
      <c r="B326" s="251" t="str">
        <f>'Concept-Level Data'!A170</f>
        <v>Respondent 12</v>
      </c>
      <c r="C326" s="793" t="str">
        <f>'Concept-Level Data'!B170</f>
        <v>Seawater Desalination</v>
      </c>
      <c r="D326" s="794"/>
      <c r="E326" s="381">
        <f>'Concept-Level Data'!V170</f>
        <v>3</v>
      </c>
    </row>
    <row r="327" spans="2:5" hidden="1" x14ac:dyDescent="0.25">
      <c r="B327" s="251" t="str">
        <f>'Concept-Level Data'!A171</f>
        <v>Respondent 12</v>
      </c>
      <c r="C327" s="793" t="str">
        <f>'Concept-Level Data'!B171</f>
        <v>Stormwater BMPs</v>
      </c>
      <c r="D327" s="794"/>
      <c r="E327" s="381">
        <f>'Concept-Level Data'!V171</f>
        <v>4</v>
      </c>
    </row>
    <row r="328" spans="2:5" hidden="1" x14ac:dyDescent="0.25">
      <c r="B328" s="251" t="str">
        <f>'Concept-Level Data'!A172</f>
        <v>Respondent 12</v>
      </c>
      <c r="C328" s="793" t="str">
        <f>'Concept-Level Data'!B172</f>
        <v>Stormwater Capture</v>
      </c>
      <c r="D328" s="794"/>
      <c r="E328" s="381">
        <f>'Concept-Level Data'!V172</f>
        <v>4</v>
      </c>
    </row>
    <row r="329" spans="2:5" hidden="1" x14ac:dyDescent="0.25">
      <c r="B329" s="251" t="str">
        <f>'Concept-Level Data'!A173</f>
        <v>Respondent 12</v>
      </c>
      <c r="C329" s="793" t="str">
        <f>'Concept-Level Data'!B173</f>
        <v>Urban and Agricultural Water Use Efficiency</v>
      </c>
      <c r="D329" s="794"/>
      <c r="E329" s="381">
        <f>'Concept-Level Data'!V173</f>
        <v>4</v>
      </c>
    </row>
    <row r="330" spans="2:5" hidden="1" x14ac:dyDescent="0.25">
      <c r="B330" s="251" t="str">
        <f>'Concept-Level Data'!A174</f>
        <v>Respondent 12</v>
      </c>
      <c r="C330" s="793" t="str">
        <f>'Concept-Level Data'!B174</f>
        <v>Watershed and Ecosystem Management</v>
      </c>
      <c r="D330" s="794"/>
      <c r="E330" s="381">
        <f>'Concept-Level Data'!V174</f>
        <v>4</v>
      </c>
    </row>
    <row r="331" spans="2:5" hidden="1" x14ac:dyDescent="0.25">
      <c r="B331" s="251" t="str">
        <f>'Concept-Level Data'!A175</f>
        <v>Respondent 13</v>
      </c>
      <c r="C331" s="793" t="str">
        <f>'Concept-Level Data'!B175</f>
        <v>Conveyance Improvement</v>
      </c>
      <c r="D331" s="794"/>
      <c r="E331" s="381">
        <f>'Concept-Level Data'!V175</f>
        <v>2</v>
      </c>
    </row>
    <row r="332" spans="2:5" hidden="1" x14ac:dyDescent="0.25">
      <c r="B332" s="251" t="str">
        <f>'Concept-Level Data'!A176</f>
        <v>Respondent 13</v>
      </c>
      <c r="C332" s="793" t="str">
        <f>'Concept-Level Data'!B176</f>
        <v>Drought Restriction/Allocation</v>
      </c>
      <c r="D332" s="794"/>
      <c r="E332" s="381">
        <f>'Concept-Level Data'!V176</f>
        <v>3</v>
      </c>
    </row>
    <row r="333" spans="2:5" hidden="1" x14ac:dyDescent="0.25">
      <c r="B333" s="251" t="str">
        <f>'Concept-Level Data'!A177</f>
        <v>Respondent 13</v>
      </c>
      <c r="C333" s="793" t="str">
        <f>'Concept-Level Data'!B177</f>
        <v>Firm Water Supply Agreements</v>
      </c>
      <c r="D333" s="794"/>
      <c r="E333" s="381">
        <f>'Concept-Level Data'!V177</f>
        <v>2</v>
      </c>
    </row>
    <row r="334" spans="2:5" hidden="1" x14ac:dyDescent="0.25">
      <c r="B334" s="251" t="str">
        <f>'Concept-Level Data'!A178</f>
        <v>Respondent 13</v>
      </c>
      <c r="C334" s="793" t="str">
        <f>'Concept-Level Data'!B178</f>
        <v>Gray Water Use</v>
      </c>
      <c r="D334" s="794"/>
      <c r="E334" s="381">
        <f>'Concept-Level Data'!V178</f>
        <v>3</v>
      </c>
    </row>
    <row r="335" spans="2:5" hidden="1" x14ac:dyDescent="0.25">
      <c r="B335" s="251" t="str">
        <f>'Concept-Level Data'!A179</f>
        <v>Respondent 13</v>
      </c>
      <c r="C335" s="793" t="str">
        <f>'Concept-Level Data'!B179</f>
        <v>Groundwater</v>
      </c>
      <c r="D335" s="794"/>
      <c r="E335" s="381">
        <f>'Concept-Level Data'!V179</f>
        <v>4</v>
      </c>
    </row>
    <row r="336" spans="2:5" hidden="1" x14ac:dyDescent="0.25">
      <c r="B336" s="251" t="str">
        <f>'Concept-Level Data'!A180</f>
        <v>Respondent 13</v>
      </c>
      <c r="C336" s="793" t="str">
        <f>'Concept-Level Data'!B180</f>
        <v>Imported Water Purchases</v>
      </c>
      <c r="D336" s="794"/>
      <c r="E336" s="381">
        <f>'Concept-Level Data'!V180</f>
        <v>3</v>
      </c>
    </row>
    <row r="337" spans="2:5" hidden="1" x14ac:dyDescent="0.25">
      <c r="B337" s="251" t="str">
        <f>'Concept-Level Data'!A181</f>
        <v>Respondent 13</v>
      </c>
      <c r="C337" s="793" t="str">
        <f>'Concept-Level Data'!B181</f>
        <v>Local Surface Water Reservoirs</v>
      </c>
      <c r="D337" s="794"/>
      <c r="E337" s="381">
        <f>'Concept-Level Data'!V181</f>
        <v>2</v>
      </c>
    </row>
    <row r="338" spans="2:5" hidden="1" x14ac:dyDescent="0.25">
      <c r="B338" s="251" t="str">
        <f>'Concept-Level Data'!A182</f>
        <v>Respondent 13</v>
      </c>
      <c r="C338" s="793" t="str">
        <f>'Concept-Level Data'!B182</f>
        <v>Potable Reuse</v>
      </c>
      <c r="D338" s="794"/>
      <c r="E338" s="381">
        <f>'Concept-Level Data'!V182</f>
        <v>5</v>
      </c>
    </row>
    <row r="339" spans="2:5" hidden="1" x14ac:dyDescent="0.25">
      <c r="B339" s="251" t="str">
        <f>'Concept-Level Data'!A183</f>
        <v>Respondent 13</v>
      </c>
      <c r="C339" s="793" t="str">
        <f>'Concept-Level Data'!B183</f>
        <v>Recycled Water</v>
      </c>
      <c r="D339" s="794"/>
      <c r="E339" s="381">
        <f>'Concept-Level Data'!V183</f>
        <v>4</v>
      </c>
    </row>
    <row r="340" spans="2:5" hidden="1" x14ac:dyDescent="0.25">
      <c r="B340" s="251" t="str">
        <f>'Concept-Level Data'!A184</f>
        <v>Respondent 13</v>
      </c>
      <c r="C340" s="793" t="str">
        <f>'Concept-Level Data'!B184</f>
        <v>Seawater Desalination</v>
      </c>
      <c r="D340" s="794"/>
      <c r="E340" s="381">
        <f>'Concept-Level Data'!V184</f>
        <v>1</v>
      </c>
    </row>
    <row r="341" spans="2:5" hidden="1" x14ac:dyDescent="0.25">
      <c r="B341" s="251" t="str">
        <f>'Concept-Level Data'!A185</f>
        <v>Respondent 13</v>
      </c>
      <c r="C341" s="793" t="str">
        <f>'Concept-Level Data'!B185</f>
        <v>Stormwater BMPs</v>
      </c>
      <c r="D341" s="794"/>
      <c r="E341" s="381">
        <f>'Concept-Level Data'!V185</f>
        <v>2</v>
      </c>
    </row>
    <row r="342" spans="2:5" hidden="1" x14ac:dyDescent="0.25">
      <c r="B342" s="251" t="str">
        <f>'Concept-Level Data'!A186</f>
        <v>Respondent 13</v>
      </c>
      <c r="C342" s="793" t="str">
        <f>'Concept-Level Data'!B186</f>
        <v>Stormwater Capture</v>
      </c>
      <c r="D342" s="794"/>
      <c r="E342" s="381">
        <f>'Concept-Level Data'!V186</f>
        <v>1</v>
      </c>
    </row>
    <row r="343" spans="2:5" hidden="1" x14ac:dyDescent="0.25">
      <c r="B343" s="251" t="str">
        <f>'Concept-Level Data'!A187</f>
        <v>Respondent 13</v>
      </c>
      <c r="C343" s="793" t="str">
        <f>'Concept-Level Data'!B187</f>
        <v>Urban and Agricultural Water Use Efficiency</v>
      </c>
      <c r="D343" s="794"/>
      <c r="E343" s="381">
        <f>'Concept-Level Data'!V187</f>
        <v>4</v>
      </c>
    </row>
    <row r="344" spans="2:5" hidden="1" x14ac:dyDescent="0.25">
      <c r="B344" s="251" t="str">
        <f>'Concept-Level Data'!A188</f>
        <v>Respondent 13</v>
      </c>
      <c r="C344" s="793" t="str">
        <f>'Concept-Level Data'!B188</f>
        <v>Watershed and Ecosystem Management</v>
      </c>
      <c r="D344" s="794"/>
      <c r="E344" s="381">
        <f>'Concept-Level Data'!V188</f>
        <v>4</v>
      </c>
    </row>
    <row r="345" spans="2:5" hidden="1" x14ac:dyDescent="0.25">
      <c r="B345" s="251" t="str">
        <f>'Concept-Level Data'!A189</f>
        <v>Respondent 14</v>
      </c>
      <c r="C345" s="793" t="str">
        <f>'Concept-Level Data'!B189</f>
        <v>Conveyance Improvement</v>
      </c>
      <c r="D345" s="794"/>
      <c r="E345" s="381">
        <f>'Concept-Level Data'!V189</f>
        <v>4</v>
      </c>
    </row>
    <row r="346" spans="2:5" hidden="1" x14ac:dyDescent="0.25">
      <c r="B346" s="251" t="str">
        <f>'Concept-Level Data'!A190</f>
        <v>Respondent 14</v>
      </c>
      <c r="C346" s="793" t="str">
        <f>'Concept-Level Data'!B190</f>
        <v>Drought Restriction/Allocation</v>
      </c>
      <c r="D346" s="794"/>
      <c r="E346" s="381">
        <f>'Concept-Level Data'!V190</f>
        <v>4</v>
      </c>
    </row>
    <row r="347" spans="2:5" hidden="1" x14ac:dyDescent="0.25">
      <c r="B347" s="251" t="str">
        <f>'Concept-Level Data'!A191</f>
        <v>Respondent 14</v>
      </c>
      <c r="C347" s="793" t="str">
        <f>'Concept-Level Data'!B191</f>
        <v>Firm Water Supply Agreements</v>
      </c>
      <c r="D347" s="794"/>
      <c r="E347" s="381">
        <f>'Concept-Level Data'!V191</f>
        <v>4</v>
      </c>
    </row>
    <row r="348" spans="2:5" hidden="1" x14ac:dyDescent="0.25">
      <c r="B348" s="251" t="str">
        <f>'Concept-Level Data'!A192</f>
        <v>Respondent 14</v>
      </c>
      <c r="C348" s="793" t="str">
        <f>'Concept-Level Data'!B192</f>
        <v>Gray Water Use</v>
      </c>
      <c r="D348" s="794"/>
      <c r="E348" s="381">
        <f>'Concept-Level Data'!V192</f>
        <v>4</v>
      </c>
    </row>
    <row r="349" spans="2:5" hidden="1" x14ac:dyDescent="0.25">
      <c r="B349" s="251" t="str">
        <f>'Concept-Level Data'!A193</f>
        <v>Respondent 14</v>
      </c>
      <c r="C349" s="793" t="str">
        <f>'Concept-Level Data'!B193</f>
        <v>Groundwater</v>
      </c>
      <c r="D349" s="794"/>
      <c r="E349" s="381">
        <f>'Concept-Level Data'!V193</f>
        <v>5</v>
      </c>
    </row>
    <row r="350" spans="2:5" hidden="1" x14ac:dyDescent="0.25">
      <c r="B350" s="251" t="str">
        <f>'Concept-Level Data'!A194</f>
        <v>Respondent 14</v>
      </c>
      <c r="C350" s="793" t="str">
        <f>'Concept-Level Data'!B194</f>
        <v>Imported Water Purchases</v>
      </c>
      <c r="D350" s="794"/>
      <c r="E350" s="381">
        <f>'Concept-Level Data'!V194</f>
        <v>4</v>
      </c>
    </row>
    <row r="351" spans="2:5" hidden="1" x14ac:dyDescent="0.25">
      <c r="B351" s="251" t="str">
        <f>'Concept-Level Data'!A195</f>
        <v>Respondent 14</v>
      </c>
      <c r="C351" s="793" t="str">
        <f>'Concept-Level Data'!B195</f>
        <v>Local Surface Water Reservoirs</v>
      </c>
      <c r="D351" s="794"/>
      <c r="E351" s="381">
        <f>'Concept-Level Data'!V195</f>
        <v>3</v>
      </c>
    </row>
    <row r="352" spans="2:5" hidden="1" x14ac:dyDescent="0.25">
      <c r="B352" s="251" t="str">
        <f>'Concept-Level Data'!A196</f>
        <v>Respondent 14</v>
      </c>
      <c r="C352" s="793" t="str">
        <f>'Concept-Level Data'!B196</f>
        <v>Potable Reuse</v>
      </c>
      <c r="D352" s="794"/>
      <c r="E352" s="381">
        <f>'Concept-Level Data'!V196</f>
        <v>5</v>
      </c>
    </row>
    <row r="353" spans="2:5" hidden="1" x14ac:dyDescent="0.25">
      <c r="B353" s="251" t="str">
        <f>'Concept-Level Data'!A197</f>
        <v>Respondent 14</v>
      </c>
      <c r="C353" s="793" t="str">
        <f>'Concept-Level Data'!B197</f>
        <v>Recycled Water</v>
      </c>
      <c r="D353" s="794"/>
      <c r="E353" s="381">
        <f>'Concept-Level Data'!V197</f>
        <v>4</v>
      </c>
    </row>
    <row r="354" spans="2:5" hidden="1" x14ac:dyDescent="0.25">
      <c r="B354" s="251" t="str">
        <f>'Concept-Level Data'!A198</f>
        <v>Respondent 14</v>
      </c>
      <c r="C354" s="793" t="str">
        <f>'Concept-Level Data'!B198</f>
        <v>Seawater Desalination</v>
      </c>
      <c r="D354" s="794"/>
      <c r="E354" s="381">
        <f>'Concept-Level Data'!V198</f>
        <v>4</v>
      </c>
    </row>
    <row r="355" spans="2:5" hidden="1" x14ac:dyDescent="0.25">
      <c r="B355" s="251" t="str">
        <f>'Concept-Level Data'!A199</f>
        <v>Respondent 14</v>
      </c>
      <c r="C355" s="793" t="str">
        <f>'Concept-Level Data'!B199</f>
        <v>Stormwater BMPs</v>
      </c>
      <c r="D355" s="794"/>
      <c r="E355" s="381">
        <f>'Concept-Level Data'!V199</f>
        <v>4</v>
      </c>
    </row>
    <row r="356" spans="2:5" hidden="1" x14ac:dyDescent="0.25">
      <c r="B356" s="251" t="str">
        <f>'Concept-Level Data'!A200</f>
        <v>Respondent 14</v>
      </c>
      <c r="C356" s="793" t="str">
        <f>'Concept-Level Data'!B200</f>
        <v>Stormwater Capture</v>
      </c>
      <c r="D356" s="794"/>
      <c r="E356" s="381">
        <f>'Concept-Level Data'!V200</f>
        <v>4</v>
      </c>
    </row>
    <row r="357" spans="2:5" hidden="1" x14ac:dyDescent="0.25">
      <c r="B357" s="251" t="str">
        <f>'Concept-Level Data'!A201</f>
        <v>Respondent 14</v>
      </c>
      <c r="C357" s="793" t="str">
        <f>'Concept-Level Data'!B201</f>
        <v>Urban and Agricultural Water Use Efficiency</v>
      </c>
      <c r="D357" s="794"/>
      <c r="E357" s="381">
        <f>'Concept-Level Data'!V201</f>
        <v>4</v>
      </c>
    </row>
    <row r="358" spans="2:5" hidden="1" x14ac:dyDescent="0.25">
      <c r="B358" s="251" t="str">
        <f>'Concept-Level Data'!A202</f>
        <v>Respondent 14</v>
      </c>
      <c r="C358" s="793" t="str">
        <f>'Concept-Level Data'!B202</f>
        <v>Watershed and Ecosystem Management</v>
      </c>
      <c r="D358" s="794"/>
      <c r="E358" s="381">
        <f>'Concept-Level Data'!V202</f>
        <v>4</v>
      </c>
    </row>
    <row r="359" spans="2:5" hidden="1" x14ac:dyDescent="0.25">
      <c r="B359" s="251" t="str">
        <f>'Concept-Level Data'!A203</f>
        <v>Respondent 15</v>
      </c>
      <c r="C359" s="793" t="str">
        <f>'Concept-Level Data'!B203</f>
        <v>Conveyance Improvement</v>
      </c>
      <c r="D359" s="794"/>
      <c r="E359" s="381">
        <f>'Concept-Level Data'!V203</f>
        <v>3</v>
      </c>
    </row>
    <row r="360" spans="2:5" hidden="1" x14ac:dyDescent="0.25">
      <c r="B360" s="251" t="str">
        <f>'Concept-Level Data'!A204</f>
        <v>Respondent 15</v>
      </c>
      <c r="C360" s="793" t="str">
        <f>'Concept-Level Data'!B204</f>
        <v>Drought Restriction/Allocation</v>
      </c>
      <c r="D360" s="794"/>
      <c r="E360" s="381">
        <f>'Concept-Level Data'!V204</f>
        <v>3</v>
      </c>
    </row>
    <row r="361" spans="2:5" hidden="1" x14ac:dyDescent="0.25">
      <c r="B361" s="251" t="str">
        <f>'Concept-Level Data'!A205</f>
        <v>Respondent 15</v>
      </c>
      <c r="C361" s="793" t="str">
        <f>'Concept-Level Data'!B205</f>
        <v>Firm Water Supply Agreements</v>
      </c>
      <c r="D361" s="794"/>
      <c r="E361" s="381">
        <f>'Concept-Level Data'!V205</f>
        <v>2</v>
      </c>
    </row>
    <row r="362" spans="2:5" hidden="1" x14ac:dyDescent="0.25">
      <c r="B362" s="251" t="str">
        <f>'Concept-Level Data'!A206</f>
        <v>Respondent 15</v>
      </c>
      <c r="C362" s="793" t="str">
        <f>'Concept-Level Data'!B206</f>
        <v>Gray Water Use</v>
      </c>
      <c r="D362" s="794"/>
      <c r="E362" s="381">
        <f>'Concept-Level Data'!V206</f>
        <v>4</v>
      </c>
    </row>
    <row r="363" spans="2:5" hidden="1" x14ac:dyDescent="0.25">
      <c r="B363" s="251" t="str">
        <f>'Concept-Level Data'!A207</f>
        <v>Respondent 15</v>
      </c>
      <c r="C363" s="793" t="str">
        <f>'Concept-Level Data'!B207</f>
        <v>Groundwater</v>
      </c>
      <c r="D363" s="794"/>
      <c r="E363" s="381">
        <f>'Concept-Level Data'!V207</f>
        <v>3</v>
      </c>
    </row>
    <row r="364" spans="2:5" hidden="1" x14ac:dyDescent="0.25">
      <c r="B364" s="251" t="str">
        <f>'Concept-Level Data'!A208</f>
        <v>Respondent 15</v>
      </c>
      <c r="C364" s="793" t="str">
        <f>'Concept-Level Data'!B208</f>
        <v>Imported Water Purchases</v>
      </c>
      <c r="D364" s="794"/>
      <c r="E364" s="381">
        <f>'Concept-Level Data'!V208</f>
        <v>3</v>
      </c>
    </row>
    <row r="365" spans="2:5" hidden="1" x14ac:dyDescent="0.25">
      <c r="B365" s="251" t="str">
        <f>'Concept-Level Data'!A209</f>
        <v>Respondent 15</v>
      </c>
      <c r="C365" s="793" t="str">
        <f>'Concept-Level Data'!B209</f>
        <v>Local Surface Water Reservoirs</v>
      </c>
      <c r="D365" s="794"/>
      <c r="E365" s="381">
        <f>'Concept-Level Data'!V209</f>
        <v>2</v>
      </c>
    </row>
    <row r="366" spans="2:5" hidden="1" x14ac:dyDescent="0.25">
      <c r="B366" s="251" t="str">
        <f>'Concept-Level Data'!A210</f>
        <v>Respondent 15</v>
      </c>
      <c r="C366" s="793" t="str">
        <f>'Concept-Level Data'!B210</f>
        <v>Potable Reuse</v>
      </c>
      <c r="D366" s="794"/>
      <c r="E366" s="381">
        <f>'Concept-Level Data'!V210</f>
        <v>1</v>
      </c>
    </row>
    <row r="367" spans="2:5" hidden="1" x14ac:dyDescent="0.25">
      <c r="B367" s="251" t="str">
        <f>'Concept-Level Data'!A211</f>
        <v>Respondent 15</v>
      </c>
      <c r="C367" s="793" t="str">
        <f>'Concept-Level Data'!B211</f>
        <v>Recycled Water</v>
      </c>
      <c r="D367" s="794"/>
      <c r="E367" s="381">
        <f>'Concept-Level Data'!V211</f>
        <v>3</v>
      </c>
    </row>
    <row r="368" spans="2:5" hidden="1" x14ac:dyDescent="0.25">
      <c r="B368" s="251" t="str">
        <f>'Concept-Level Data'!A212</f>
        <v>Respondent 15</v>
      </c>
      <c r="C368" s="793" t="str">
        <f>'Concept-Level Data'!B212</f>
        <v>Seawater Desalination</v>
      </c>
      <c r="D368" s="794"/>
      <c r="E368" s="381">
        <f>'Concept-Level Data'!V212</f>
        <v>1</v>
      </c>
    </row>
    <row r="369" spans="2:5" hidden="1" x14ac:dyDescent="0.25">
      <c r="B369" s="251" t="str">
        <f>'Concept-Level Data'!A213</f>
        <v>Respondent 15</v>
      </c>
      <c r="C369" s="793" t="str">
        <f>'Concept-Level Data'!B213</f>
        <v>Stormwater BMPs</v>
      </c>
      <c r="D369" s="794"/>
      <c r="E369" s="381">
        <f>'Concept-Level Data'!V213</f>
        <v>3</v>
      </c>
    </row>
    <row r="370" spans="2:5" hidden="1" x14ac:dyDescent="0.25">
      <c r="B370" s="251" t="str">
        <f>'Concept-Level Data'!A214</f>
        <v>Respondent 15</v>
      </c>
      <c r="C370" s="793" t="str">
        <f>'Concept-Level Data'!B214</f>
        <v>Stormwater Capture</v>
      </c>
      <c r="D370" s="794"/>
      <c r="E370" s="381">
        <f>'Concept-Level Data'!V214</f>
        <v>2</v>
      </c>
    </row>
    <row r="371" spans="2:5" hidden="1" x14ac:dyDescent="0.25">
      <c r="B371" s="251" t="str">
        <f>'Concept-Level Data'!A215</f>
        <v>Respondent 15</v>
      </c>
      <c r="C371" s="793" t="str">
        <f>'Concept-Level Data'!B215</f>
        <v>Urban and Agricultural Water Use Efficiency</v>
      </c>
      <c r="D371" s="794"/>
      <c r="E371" s="381">
        <f>'Concept-Level Data'!V215</f>
        <v>5</v>
      </c>
    </row>
    <row r="372" spans="2:5" hidden="1" x14ac:dyDescent="0.25">
      <c r="B372" s="251" t="str">
        <f>'Concept-Level Data'!A216</f>
        <v>Respondent 15</v>
      </c>
      <c r="C372" s="793" t="str">
        <f>'Concept-Level Data'!B216</f>
        <v>Watershed and Ecosystem Management</v>
      </c>
      <c r="D372" s="794"/>
      <c r="E372" s="381">
        <f>'Concept-Level Data'!V216</f>
        <v>4</v>
      </c>
    </row>
    <row r="373" spans="2:5" hidden="1" x14ac:dyDescent="0.25">
      <c r="B373" s="251" t="str">
        <f>'Concept-Level Data'!A217</f>
        <v>Respondent 16</v>
      </c>
      <c r="C373" s="793" t="str">
        <f>'Concept-Level Data'!B217</f>
        <v>Conveyance Improvement</v>
      </c>
      <c r="D373" s="794"/>
      <c r="E373" s="381" t="str">
        <f>'Concept-Level Data'!V217</f>
        <v>MISSING</v>
      </c>
    </row>
    <row r="374" spans="2:5" hidden="1" x14ac:dyDescent="0.25">
      <c r="B374" s="251" t="str">
        <f>'Concept-Level Data'!A218</f>
        <v>Respondent 16</v>
      </c>
      <c r="C374" s="793" t="str">
        <f>'Concept-Level Data'!B218</f>
        <v>Drought Restriction/Allocation</v>
      </c>
      <c r="D374" s="794"/>
      <c r="E374" s="381" t="str">
        <f>'Concept-Level Data'!V218</f>
        <v>MISSING</v>
      </c>
    </row>
    <row r="375" spans="2:5" hidden="1" x14ac:dyDescent="0.25">
      <c r="B375" s="251" t="str">
        <f>'Concept-Level Data'!A219</f>
        <v>Respondent 16</v>
      </c>
      <c r="C375" s="793" t="str">
        <f>'Concept-Level Data'!B219</f>
        <v>Firm Water Supply Agreements</v>
      </c>
      <c r="D375" s="794"/>
      <c r="E375" s="381" t="str">
        <f>'Concept-Level Data'!V219</f>
        <v>MISSING</v>
      </c>
    </row>
    <row r="376" spans="2:5" hidden="1" x14ac:dyDescent="0.25">
      <c r="B376" s="251" t="str">
        <f>'Concept-Level Data'!A220</f>
        <v>Respondent 16</v>
      </c>
      <c r="C376" s="793" t="str">
        <f>'Concept-Level Data'!B220</f>
        <v>Gray Water Use</v>
      </c>
      <c r="D376" s="794"/>
      <c r="E376" s="381" t="str">
        <f>'Concept-Level Data'!V220</f>
        <v>MISSING</v>
      </c>
    </row>
    <row r="377" spans="2:5" hidden="1" x14ac:dyDescent="0.25">
      <c r="B377" s="251" t="str">
        <f>'Concept-Level Data'!A221</f>
        <v>Respondent 16</v>
      </c>
      <c r="C377" s="793" t="str">
        <f>'Concept-Level Data'!B221</f>
        <v>Groundwater</v>
      </c>
      <c r="D377" s="794"/>
      <c r="E377" s="381" t="str">
        <f>'Concept-Level Data'!V221</f>
        <v>MISSING</v>
      </c>
    </row>
    <row r="378" spans="2:5" hidden="1" x14ac:dyDescent="0.25">
      <c r="B378" s="251" t="str">
        <f>'Concept-Level Data'!A222</f>
        <v>Respondent 16</v>
      </c>
      <c r="C378" s="793" t="str">
        <f>'Concept-Level Data'!B222</f>
        <v>Imported Water Purchases</v>
      </c>
      <c r="D378" s="794"/>
      <c r="E378" s="381" t="str">
        <f>'Concept-Level Data'!V222</f>
        <v>MISSING</v>
      </c>
    </row>
    <row r="379" spans="2:5" hidden="1" x14ac:dyDescent="0.25">
      <c r="B379" s="251" t="str">
        <f>'Concept-Level Data'!A223</f>
        <v>Respondent 16</v>
      </c>
      <c r="C379" s="793" t="str">
        <f>'Concept-Level Data'!B223</f>
        <v>Local Surface Water Reservoirs</v>
      </c>
      <c r="D379" s="794"/>
      <c r="E379" s="381" t="str">
        <f>'Concept-Level Data'!V223</f>
        <v>MISSING</v>
      </c>
    </row>
    <row r="380" spans="2:5" hidden="1" x14ac:dyDescent="0.25">
      <c r="B380" s="251" t="str">
        <f>'Concept-Level Data'!A224</f>
        <v>Respondent 16</v>
      </c>
      <c r="C380" s="793" t="str">
        <f>'Concept-Level Data'!B224</f>
        <v>Potable Reuse</v>
      </c>
      <c r="D380" s="794"/>
      <c r="E380" s="381" t="str">
        <f>'Concept-Level Data'!V224</f>
        <v>MISSING</v>
      </c>
    </row>
    <row r="381" spans="2:5" hidden="1" x14ac:dyDescent="0.25">
      <c r="B381" s="251" t="str">
        <f>'Concept-Level Data'!A225</f>
        <v>Respondent 16</v>
      </c>
      <c r="C381" s="793" t="str">
        <f>'Concept-Level Data'!B225</f>
        <v>Recycled Water</v>
      </c>
      <c r="D381" s="794"/>
      <c r="E381" s="381" t="str">
        <f>'Concept-Level Data'!V225</f>
        <v>MISSING</v>
      </c>
    </row>
    <row r="382" spans="2:5" hidden="1" x14ac:dyDescent="0.25">
      <c r="B382" s="251" t="str">
        <f>'Concept-Level Data'!A226</f>
        <v>Respondent 16</v>
      </c>
      <c r="C382" s="793" t="str">
        <f>'Concept-Level Data'!B226</f>
        <v>Seawater Desalination</v>
      </c>
      <c r="D382" s="794"/>
      <c r="E382" s="381" t="str">
        <f>'Concept-Level Data'!V226</f>
        <v>MISSING</v>
      </c>
    </row>
    <row r="383" spans="2:5" hidden="1" x14ac:dyDescent="0.25">
      <c r="B383" s="251" t="str">
        <f>'Concept-Level Data'!A227</f>
        <v>Respondent 16</v>
      </c>
      <c r="C383" s="793" t="str">
        <f>'Concept-Level Data'!B227</f>
        <v>Stormwater BMPs</v>
      </c>
      <c r="D383" s="794"/>
      <c r="E383" s="381" t="str">
        <f>'Concept-Level Data'!V227</f>
        <v>MISSING</v>
      </c>
    </row>
    <row r="384" spans="2:5" hidden="1" x14ac:dyDescent="0.25">
      <c r="B384" s="251" t="str">
        <f>'Concept-Level Data'!A228</f>
        <v>Respondent 16</v>
      </c>
      <c r="C384" s="793" t="str">
        <f>'Concept-Level Data'!B228</f>
        <v>Stormwater Capture</v>
      </c>
      <c r="D384" s="794"/>
      <c r="E384" s="381" t="str">
        <f>'Concept-Level Data'!V228</f>
        <v>MISSING</v>
      </c>
    </row>
    <row r="385" spans="2:5" hidden="1" x14ac:dyDescent="0.25">
      <c r="B385" s="251" t="str">
        <f>'Concept-Level Data'!A229</f>
        <v>Respondent 16</v>
      </c>
      <c r="C385" s="793" t="str">
        <f>'Concept-Level Data'!B229</f>
        <v>Urban and Agricultural Water Use Efficiency</v>
      </c>
      <c r="D385" s="794"/>
      <c r="E385" s="381" t="str">
        <f>'Concept-Level Data'!V229</f>
        <v>MISSING</v>
      </c>
    </row>
    <row r="386" spans="2:5" ht="15.75" hidden="1" thickBot="1" x14ac:dyDescent="0.3">
      <c r="B386" s="252" t="str">
        <f>'Concept-Level Data'!A230</f>
        <v>Respondent 16</v>
      </c>
      <c r="C386" s="791" t="str">
        <f>'Concept-Level Data'!B230</f>
        <v>Watershed and Ecosystem Management</v>
      </c>
      <c r="D386" s="792"/>
      <c r="E386" s="385" t="str">
        <f>'Concept-Level Data'!V230</f>
        <v>MISSING</v>
      </c>
    </row>
    <row r="387" spans="2:5" hidden="1" x14ac:dyDescent="0.25">
      <c r="B387" s="548"/>
      <c r="C387" s="515" t="s">
        <v>855</v>
      </c>
      <c r="D387" s="515"/>
      <c r="E387" s="398">
        <f>COUNTIFS(E163:E386, "=MISSING")</f>
        <v>28</v>
      </c>
    </row>
    <row r="388" spans="2:5" hidden="1" x14ac:dyDescent="0.25">
      <c r="B388" s="549"/>
      <c r="C388" s="516" t="s">
        <v>856</v>
      </c>
      <c r="D388" s="516"/>
      <c r="E388" s="381">
        <f>COUNTIFS(E163:E386, "=No Response")</f>
        <v>0</v>
      </c>
    </row>
    <row r="389" spans="2:5" hidden="1" x14ac:dyDescent="0.25">
      <c r="B389" s="549"/>
      <c r="C389" s="516" t="s">
        <v>858</v>
      </c>
      <c r="D389" s="516"/>
      <c r="E389" s="381">
        <f>COUNTIFS(E163:E386, "=REMOVED")</f>
        <v>0</v>
      </c>
    </row>
    <row r="390" spans="2:5" ht="15.75" hidden="1" thickBot="1" x14ac:dyDescent="0.3">
      <c r="B390" s="550"/>
      <c r="C390" s="517" t="s">
        <v>859</v>
      </c>
      <c r="D390" s="517"/>
      <c r="E390" s="385">
        <f>COUNTIFS(E163:E386, "&gt;0")</f>
        <v>196</v>
      </c>
    </row>
    <row r="391" spans="2:5" x14ac:dyDescent="0.25">
      <c r="B391" s="256"/>
      <c r="C391" s="256"/>
      <c r="D391" s="257"/>
      <c r="E391" s="240"/>
    </row>
    <row r="392" spans="2:5" x14ac:dyDescent="0.25">
      <c r="B392" s="256"/>
      <c r="C392" s="256"/>
      <c r="D392" s="257"/>
      <c r="E392" s="240"/>
    </row>
    <row r="393" spans="2:5" x14ac:dyDescent="0.25">
      <c r="B393" s="256"/>
      <c r="C393" s="256"/>
      <c r="D393" s="257"/>
      <c r="E393" s="240"/>
    </row>
    <row r="394" spans="2:5" x14ac:dyDescent="0.25">
      <c r="B394" s="256"/>
      <c r="C394" s="256"/>
      <c r="D394" s="257"/>
      <c r="E394" s="240"/>
    </row>
    <row r="395" spans="2:5" x14ac:dyDescent="0.25">
      <c r="B395" s="256"/>
      <c r="C395" s="256"/>
      <c r="D395" s="257"/>
      <c r="E395" s="240"/>
    </row>
    <row r="396" spans="2:5" x14ac:dyDescent="0.25">
      <c r="B396" s="256"/>
      <c r="C396" s="256"/>
      <c r="D396" s="257"/>
      <c r="E396" s="240"/>
    </row>
    <row r="397" spans="2:5" x14ac:dyDescent="0.25">
      <c r="B397" s="256"/>
      <c r="C397" s="256"/>
      <c r="D397" s="257"/>
      <c r="E397" s="240"/>
    </row>
    <row r="398" spans="2:5" x14ac:dyDescent="0.25">
      <c r="B398" s="256"/>
      <c r="C398" s="256"/>
      <c r="D398" s="257"/>
      <c r="E398" s="240"/>
    </row>
    <row r="399" spans="2:5" x14ac:dyDescent="0.25">
      <c r="B399" s="256"/>
      <c r="C399" s="256"/>
      <c r="D399" s="257"/>
      <c r="E399" s="240"/>
    </row>
    <row r="400" spans="2:5" x14ac:dyDescent="0.25">
      <c r="B400" s="256"/>
      <c r="C400" s="256"/>
      <c r="D400" s="257"/>
      <c r="E400" s="240"/>
    </row>
    <row r="401" spans="2:5" x14ac:dyDescent="0.25">
      <c r="B401" s="256"/>
      <c r="C401" s="256"/>
      <c r="D401" s="257"/>
      <c r="E401" s="240"/>
    </row>
    <row r="402" spans="2:5" x14ac:dyDescent="0.25">
      <c r="B402" s="256"/>
      <c r="C402" s="256"/>
      <c r="D402" s="257"/>
      <c r="E402" s="240"/>
    </row>
    <row r="403" spans="2:5" x14ac:dyDescent="0.25">
      <c r="B403" s="256"/>
      <c r="C403" s="256"/>
      <c r="D403" s="257"/>
      <c r="E403" s="240"/>
    </row>
    <row r="404" spans="2:5" x14ac:dyDescent="0.25">
      <c r="B404" s="256"/>
      <c r="C404" s="256"/>
      <c r="D404" s="257"/>
      <c r="E404" s="240"/>
    </row>
    <row r="405" spans="2:5" x14ac:dyDescent="0.25">
      <c r="B405" s="256"/>
      <c r="C405" s="256"/>
      <c r="D405" s="257"/>
      <c r="E405" s="240"/>
    </row>
    <row r="406" spans="2:5" x14ac:dyDescent="0.25">
      <c r="B406" s="256"/>
      <c r="C406" s="256"/>
      <c r="D406" s="257"/>
      <c r="E406" s="240"/>
    </row>
    <row r="407" spans="2:5" x14ac:dyDescent="0.25">
      <c r="B407" s="256"/>
      <c r="C407" s="256"/>
      <c r="D407" s="257"/>
      <c r="E407" s="240"/>
    </row>
    <row r="408" spans="2:5" x14ac:dyDescent="0.25">
      <c r="B408" s="256"/>
      <c r="C408" s="256"/>
      <c r="D408" s="257"/>
      <c r="E408" s="240"/>
    </row>
    <row r="409" spans="2:5" x14ac:dyDescent="0.25">
      <c r="B409" s="256"/>
      <c r="C409" s="256"/>
      <c r="D409" s="257"/>
      <c r="E409" s="240"/>
    </row>
    <row r="410" spans="2:5" x14ac:dyDescent="0.25">
      <c r="B410" s="256"/>
      <c r="C410" s="256"/>
      <c r="D410" s="257"/>
      <c r="E410" s="240"/>
    </row>
    <row r="411" spans="2:5" x14ac:dyDescent="0.25">
      <c r="B411" s="256"/>
      <c r="C411" s="256"/>
      <c r="D411" s="257"/>
      <c r="E411" s="240"/>
    </row>
    <row r="412" spans="2:5" x14ac:dyDescent="0.25">
      <c r="B412" s="256"/>
      <c r="C412" s="256"/>
      <c r="D412" s="257"/>
      <c r="E412" s="240"/>
    </row>
    <row r="413" spans="2:5" x14ac:dyDescent="0.25">
      <c r="B413" s="256"/>
      <c r="C413" s="256"/>
      <c r="D413" s="257"/>
      <c r="E413" s="240"/>
    </row>
    <row r="414" spans="2:5" x14ac:dyDescent="0.25">
      <c r="B414" s="256"/>
      <c r="C414" s="256"/>
      <c r="D414" s="257"/>
      <c r="E414" s="240"/>
    </row>
    <row r="415" spans="2:5" x14ac:dyDescent="0.25">
      <c r="B415" s="256"/>
      <c r="C415" s="256"/>
      <c r="D415" s="257"/>
      <c r="E415" s="240"/>
    </row>
    <row r="416" spans="2:5" x14ac:dyDescent="0.25">
      <c r="B416" s="256"/>
      <c r="C416" s="256"/>
      <c r="D416" s="257"/>
      <c r="E416" s="240"/>
    </row>
    <row r="417" spans="2:5" x14ac:dyDescent="0.25">
      <c r="B417" s="256"/>
      <c r="C417" s="256"/>
      <c r="D417" s="257"/>
      <c r="E417" s="240"/>
    </row>
    <row r="418" spans="2:5" x14ac:dyDescent="0.25">
      <c r="B418" s="256"/>
      <c r="C418" s="256"/>
      <c r="D418" s="257"/>
      <c r="E418" s="240"/>
    </row>
    <row r="419" spans="2:5" x14ac:dyDescent="0.25">
      <c r="B419" s="256"/>
      <c r="C419" s="256"/>
      <c r="D419" s="257"/>
      <c r="E419" s="240"/>
    </row>
    <row r="420" spans="2:5" x14ac:dyDescent="0.25">
      <c r="B420" s="256"/>
      <c r="C420" s="256"/>
      <c r="D420" s="257"/>
      <c r="E420" s="240"/>
    </row>
    <row r="421" spans="2:5" x14ac:dyDescent="0.25">
      <c r="B421" s="256"/>
      <c r="C421" s="256"/>
      <c r="D421" s="257"/>
      <c r="E421" s="240"/>
    </row>
    <row r="422" spans="2:5" x14ac:dyDescent="0.25">
      <c r="B422" s="256"/>
      <c r="C422" s="256"/>
      <c r="D422" s="257"/>
      <c r="E422" s="240"/>
    </row>
    <row r="423" spans="2:5" x14ac:dyDescent="0.25">
      <c r="B423" s="256"/>
      <c r="C423" s="256"/>
      <c r="D423" s="257"/>
      <c r="E423" s="240"/>
    </row>
    <row r="424" spans="2:5" x14ac:dyDescent="0.25">
      <c r="B424" s="256"/>
      <c r="C424" s="256"/>
      <c r="D424" s="257"/>
      <c r="E424" s="240"/>
    </row>
    <row r="425" spans="2:5" x14ac:dyDescent="0.25">
      <c r="B425" s="256"/>
      <c r="C425" s="256"/>
      <c r="D425" s="257"/>
      <c r="E425" s="240"/>
    </row>
    <row r="426" spans="2:5" x14ac:dyDescent="0.25">
      <c r="B426" s="256"/>
      <c r="C426" s="256"/>
      <c r="D426" s="257"/>
      <c r="E426" s="240"/>
    </row>
    <row r="427" spans="2:5" x14ac:dyDescent="0.25">
      <c r="B427" s="256"/>
      <c r="C427" s="256"/>
      <c r="D427" s="257"/>
      <c r="E427" s="240"/>
    </row>
    <row r="428" spans="2:5" x14ac:dyDescent="0.25">
      <c r="B428" s="256"/>
      <c r="C428" s="256"/>
      <c r="D428" s="257"/>
      <c r="E428" s="240"/>
    </row>
    <row r="429" spans="2:5" x14ac:dyDescent="0.25">
      <c r="B429" s="256"/>
      <c r="C429" s="256"/>
      <c r="D429" s="257"/>
      <c r="E429" s="240"/>
    </row>
    <row r="430" spans="2:5" x14ac:dyDescent="0.25">
      <c r="B430" s="256"/>
      <c r="C430" s="256"/>
      <c r="D430" s="257"/>
      <c r="E430" s="240"/>
    </row>
    <row r="431" spans="2:5" x14ac:dyDescent="0.25">
      <c r="B431" s="256"/>
      <c r="C431" s="256"/>
      <c r="D431" s="257"/>
      <c r="E431" s="240"/>
    </row>
    <row r="432" spans="2:5" x14ac:dyDescent="0.25">
      <c r="B432" s="256"/>
      <c r="C432" s="256"/>
      <c r="D432" s="257"/>
      <c r="E432" s="240"/>
    </row>
    <row r="433" spans="2:5" x14ac:dyDescent="0.25">
      <c r="B433" s="256"/>
      <c r="C433" s="256"/>
      <c r="D433" s="257"/>
      <c r="E433" s="240"/>
    </row>
    <row r="434" spans="2:5" x14ac:dyDescent="0.25">
      <c r="B434" s="256"/>
      <c r="C434" s="256"/>
      <c r="D434" s="257"/>
      <c r="E434" s="240"/>
    </row>
    <row r="435" spans="2:5" x14ac:dyDescent="0.25">
      <c r="B435" s="256"/>
      <c r="C435" s="256"/>
      <c r="D435" s="257"/>
      <c r="E435" s="240"/>
    </row>
    <row r="436" spans="2:5" x14ac:dyDescent="0.25">
      <c r="B436" s="256"/>
      <c r="C436" s="256"/>
      <c r="D436" s="257"/>
      <c r="E436" s="240"/>
    </row>
    <row r="437" spans="2:5" x14ac:dyDescent="0.25">
      <c r="B437" s="256"/>
      <c r="C437" s="256"/>
      <c r="D437" s="257"/>
      <c r="E437" s="240"/>
    </row>
    <row r="438" spans="2:5" x14ac:dyDescent="0.25">
      <c r="B438" s="256"/>
      <c r="C438" s="256"/>
      <c r="D438" s="257"/>
      <c r="E438" s="240"/>
    </row>
    <row r="439" spans="2:5" x14ac:dyDescent="0.25">
      <c r="B439" s="256"/>
      <c r="C439" s="256"/>
      <c r="D439" s="257"/>
      <c r="E439" s="240"/>
    </row>
    <row r="440" spans="2:5" x14ac:dyDescent="0.25">
      <c r="B440" s="256"/>
      <c r="C440" s="256"/>
      <c r="D440" s="257"/>
      <c r="E440" s="240"/>
    </row>
    <row r="441" spans="2:5" x14ac:dyDescent="0.25">
      <c r="B441" s="256"/>
      <c r="C441" s="256"/>
      <c r="D441" s="257"/>
      <c r="E441" s="240"/>
    </row>
    <row r="442" spans="2:5" x14ac:dyDescent="0.25">
      <c r="B442" s="256"/>
      <c r="C442" s="256"/>
      <c r="D442" s="257"/>
      <c r="E442" s="240"/>
    </row>
    <row r="443" spans="2:5" x14ac:dyDescent="0.25">
      <c r="B443" s="256"/>
      <c r="C443" s="256"/>
      <c r="D443" s="257"/>
      <c r="E443" s="240"/>
    </row>
    <row r="444" spans="2:5" x14ac:dyDescent="0.25">
      <c r="B444" s="256"/>
      <c r="C444" s="256"/>
      <c r="D444" s="257"/>
      <c r="E444" s="240"/>
    </row>
    <row r="445" spans="2:5" x14ac:dyDescent="0.25">
      <c r="B445" s="256"/>
      <c r="C445" s="256"/>
      <c r="D445" s="257"/>
      <c r="E445" s="240"/>
    </row>
    <row r="446" spans="2:5" x14ac:dyDescent="0.25">
      <c r="B446" s="256"/>
      <c r="C446" s="256"/>
      <c r="D446" s="257"/>
      <c r="E446" s="240"/>
    </row>
    <row r="447" spans="2:5" x14ac:dyDescent="0.25">
      <c r="B447" s="256"/>
      <c r="C447" s="256"/>
      <c r="D447" s="257"/>
      <c r="E447" s="240"/>
    </row>
    <row r="448" spans="2:5" x14ac:dyDescent="0.25">
      <c r="B448" s="256"/>
      <c r="C448" s="256"/>
      <c r="D448" s="257"/>
      <c r="E448" s="240"/>
    </row>
    <row r="449" spans="2:5" x14ac:dyDescent="0.25">
      <c r="B449" s="256"/>
      <c r="C449" s="256"/>
      <c r="D449" s="257"/>
      <c r="E449" s="240"/>
    </row>
    <row r="450" spans="2:5" x14ac:dyDescent="0.25">
      <c r="B450" s="256"/>
      <c r="C450" s="256"/>
      <c r="D450" s="257"/>
      <c r="E450" s="240"/>
    </row>
    <row r="451" spans="2:5" x14ac:dyDescent="0.25">
      <c r="B451" s="256"/>
      <c r="C451" s="256"/>
      <c r="D451" s="257"/>
      <c r="E451" s="240"/>
    </row>
    <row r="452" spans="2:5" x14ac:dyDescent="0.25">
      <c r="B452" s="256"/>
      <c r="C452" s="256"/>
      <c r="D452" s="257"/>
      <c r="E452" s="240"/>
    </row>
    <row r="453" spans="2:5" x14ac:dyDescent="0.25">
      <c r="B453" s="256"/>
      <c r="C453" s="256"/>
      <c r="D453" s="257"/>
      <c r="E453" s="240"/>
    </row>
    <row r="454" spans="2:5" x14ac:dyDescent="0.25">
      <c r="B454" s="256"/>
      <c r="C454" s="256"/>
      <c r="D454" s="257"/>
      <c r="E454" s="240"/>
    </row>
    <row r="455" spans="2:5" x14ac:dyDescent="0.25">
      <c r="B455" s="256"/>
      <c r="C455" s="256"/>
      <c r="D455" s="257"/>
      <c r="E455" s="240"/>
    </row>
    <row r="456" spans="2:5" x14ac:dyDescent="0.25">
      <c r="B456" s="256"/>
      <c r="C456" s="256"/>
      <c r="D456" s="257"/>
      <c r="E456" s="240"/>
    </row>
    <row r="457" spans="2:5" x14ac:dyDescent="0.25">
      <c r="B457" s="256"/>
      <c r="C457" s="256"/>
      <c r="D457" s="257"/>
      <c r="E457" s="240"/>
    </row>
    <row r="458" spans="2:5" x14ac:dyDescent="0.25">
      <c r="B458" s="256"/>
      <c r="C458" s="256"/>
      <c r="D458" s="257"/>
      <c r="E458" s="240"/>
    </row>
    <row r="459" spans="2:5" x14ac:dyDescent="0.25">
      <c r="B459" s="256"/>
      <c r="C459" s="256"/>
      <c r="D459" s="257"/>
      <c r="E459" s="240"/>
    </row>
    <row r="460" spans="2:5" x14ac:dyDescent="0.25">
      <c r="B460" s="256"/>
      <c r="C460" s="256"/>
      <c r="D460" s="257"/>
      <c r="E460" s="240"/>
    </row>
    <row r="461" spans="2:5" x14ac:dyDescent="0.25">
      <c r="B461" s="256"/>
      <c r="C461" s="256"/>
      <c r="D461" s="257"/>
      <c r="E461" s="240"/>
    </row>
    <row r="462" spans="2:5" x14ac:dyDescent="0.25">
      <c r="B462" s="256"/>
      <c r="C462" s="256"/>
      <c r="D462" s="257"/>
      <c r="E462" s="240"/>
    </row>
    <row r="463" spans="2:5" x14ac:dyDescent="0.25">
      <c r="B463" s="256"/>
      <c r="C463" s="256"/>
      <c r="D463" s="257"/>
      <c r="E463" s="240"/>
    </row>
    <row r="464" spans="2:5" x14ac:dyDescent="0.25">
      <c r="B464" s="256"/>
      <c r="C464" s="256"/>
      <c r="D464" s="257"/>
      <c r="E464" s="240"/>
    </row>
    <row r="465" spans="2:5" x14ac:dyDescent="0.25">
      <c r="B465" s="256"/>
      <c r="C465" s="256"/>
      <c r="D465" s="257"/>
      <c r="E465" s="240"/>
    </row>
    <row r="466" spans="2:5" x14ac:dyDescent="0.25">
      <c r="B466" s="256"/>
      <c r="C466" s="256"/>
      <c r="D466" s="257"/>
      <c r="E466" s="240"/>
    </row>
    <row r="467" spans="2:5" x14ac:dyDescent="0.25">
      <c r="B467" s="256"/>
      <c r="C467" s="256"/>
      <c r="D467" s="257"/>
      <c r="E467" s="240"/>
    </row>
    <row r="468" spans="2:5" x14ac:dyDescent="0.25">
      <c r="B468" s="256"/>
      <c r="C468" s="256"/>
      <c r="D468" s="257"/>
      <c r="E468" s="240"/>
    </row>
    <row r="469" spans="2:5" x14ac:dyDescent="0.25">
      <c r="B469" s="256"/>
      <c r="C469" s="256"/>
      <c r="D469" s="257"/>
      <c r="E469" s="240"/>
    </row>
    <row r="470" spans="2:5" x14ac:dyDescent="0.25">
      <c r="B470" s="256"/>
      <c r="C470" s="256"/>
      <c r="D470" s="257"/>
      <c r="E470" s="240"/>
    </row>
    <row r="471" spans="2:5" x14ac:dyDescent="0.25">
      <c r="B471" s="256"/>
      <c r="C471" s="256"/>
      <c r="D471" s="257"/>
      <c r="E471" s="240"/>
    </row>
    <row r="472" spans="2:5" x14ac:dyDescent="0.25">
      <c r="B472" s="256"/>
      <c r="C472" s="256"/>
      <c r="D472" s="257"/>
      <c r="E472" s="240"/>
    </row>
    <row r="473" spans="2:5" x14ac:dyDescent="0.25">
      <c r="B473" s="256"/>
      <c r="C473" s="256"/>
      <c r="D473" s="257"/>
      <c r="E473" s="240"/>
    </row>
    <row r="474" spans="2:5" x14ac:dyDescent="0.25">
      <c r="B474" s="256"/>
      <c r="C474" s="256"/>
      <c r="D474" s="257"/>
      <c r="E474" s="240"/>
    </row>
    <row r="475" spans="2:5" x14ac:dyDescent="0.25">
      <c r="B475" s="256"/>
      <c r="C475" s="256"/>
      <c r="D475" s="257"/>
      <c r="E475" s="240"/>
    </row>
    <row r="476" spans="2:5" x14ac:dyDescent="0.25">
      <c r="B476" s="256"/>
      <c r="C476" s="256"/>
      <c r="D476" s="257"/>
      <c r="E476" s="240"/>
    </row>
    <row r="477" spans="2:5" x14ac:dyDescent="0.25">
      <c r="B477" s="256"/>
      <c r="C477" s="256"/>
      <c r="D477" s="257"/>
      <c r="E477" s="240"/>
    </row>
    <row r="478" spans="2:5" x14ac:dyDescent="0.25">
      <c r="B478" s="256"/>
      <c r="C478" s="256"/>
      <c r="D478" s="257"/>
      <c r="E478" s="240"/>
    </row>
    <row r="479" spans="2:5" x14ac:dyDescent="0.25">
      <c r="B479" s="256"/>
      <c r="C479" s="256"/>
      <c r="D479" s="257"/>
      <c r="E479" s="240"/>
    </row>
    <row r="480" spans="2:5" x14ac:dyDescent="0.25">
      <c r="B480" s="256"/>
      <c r="C480" s="256"/>
      <c r="D480" s="257"/>
      <c r="E480" s="240"/>
    </row>
    <row r="481" spans="2:5" x14ac:dyDescent="0.25">
      <c r="B481" s="256"/>
      <c r="C481" s="256"/>
      <c r="D481" s="257"/>
      <c r="E481" s="240"/>
    </row>
    <row r="482" spans="2:5" x14ac:dyDescent="0.25">
      <c r="B482" s="256"/>
      <c r="C482" s="256"/>
      <c r="D482" s="257"/>
      <c r="E482" s="240"/>
    </row>
    <row r="483" spans="2:5" x14ac:dyDescent="0.25">
      <c r="B483" s="256"/>
      <c r="C483" s="256"/>
      <c r="D483" s="257"/>
      <c r="E483" s="240"/>
    </row>
    <row r="484" spans="2:5" x14ac:dyDescent="0.25">
      <c r="B484" s="256"/>
      <c r="C484" s="256"/>
      <c r="D484" s="257"/>
      <c r="E484" s="240"/>
    </row>
    <row r="485" spans="2:5" x14ac:dyDescent="0.25">
      <c r="B485" s="256"/>
      <c r="C485" s="256"/>
      <c r="D485" s="257"/>
      <c r="E485" s="240"/>
    </row>
    <row r="486" spans="2:5" x14ac:dyDescent="0.25">
      <c r="B486" s="256"/>
      <c r="C486" s="256"/>
      <c r="D486" s="257"/>
      <c r="E486" s="240"/>
    </row>
    <row r="487" spans="2:5" x14ac:dyDescent="0.25">
      <c r="B487" s="256"/>
      <c r="C487" s="256"/>
      <c r="D487" s="257"/>
      <c r="E487" s="240"/>
    </row>
    <row r="488" spans="2:5" x14ac:dyDescent="0.25">
      <c r="B488" s="256"/>
      <c r="C488" s="256"/>
      <c r="D488" s="257"/>
      <c r="E488" s="240"/>
    </row>
    <row r="489" spans="2:5" x14ac:dyDescent="0.25">
      <c r="B489" s="256"/>
      <c r="C489" s="256"/>
      <c r="D489" s="257"/>
      <c r="E489" s="240"/>
    </row>
    <row r="490" spans="2:5" x14ac:dyDescent="0.25">
      <c r="B490" s="256"/>
      <c r="C490" s="256"/>
      <c r="D490" s="257"/>
      <c r="E490" s="240"/>
    </row>
    <row r="491" spans="2:5" x14ac:dyDescent="0.25">
      <c r="B491" s="256"/>
      <c r="C491" s="256"/>
      <c r="D491" s="257"/>
      <c r="E491" s="240"/>
    </row>
    <row r="492" spans="2:5" x14ac:dyDescent="0.25">
      <c r="B492" s="256"/>
      <c r="C492" s="256"/>
      <c r="D492" s="257"/>
      <c r="E492" s="240"/>
    </row>
    <row r="493" spans="2:5" x14ac:dyDescent="0.25">
      <c r="B493" s="256"/>
      <c r="C493" s="256"/>
      <c r="D493" s="257"/>
      <c r="E493" s="240"/>
    </row>
    <row r="494" spans="2:5" x14ac:dyDescent="0.25">
      <c r="B494" s="256"/>
      <c r="C494" s="256"/>
      <c r="D494" s="257"/>
      <c r="E494" s="240"/>
    </row>
    <row r="495" spans="2:5" x14ac:dyDescent="0.25">
      <c r="B495" s="256"/>
      <c r="C495" s="256"/>
      <c r="D495" s="257"/>
      <c r="E495" s="240"/>
    </row>
    <row r="496" spans="2:5" x14ac:dyDescent="0.25">
      <c r="B496" s="256"/>
      <c r="C496" s="256"/>
      <c r="D496" s="257"/>
      <c r="E496" s="240"/>
    </row>
    <row r="497" spans="2:5" x14ac:dyDescent="0.25">
      <c r="B497" s="256"/>
      <c r="C497" s="256"/>
      <c r="D497" s="257"/>
      <c r="E497" s="240"/>
    </row>
    <row r="498" spans="2:5" x14ac:dyDescent="0.25">
      <c r="B498" s="256"/>
      <c r="C498" s="256"/>
      <c r="D498" s="257"/>
      <c r="E498" s="240"/>
    </row>
    <row r="499" spans="2:5" x14ac:dyDescent="0.25">
      <c r="B499" s="256"/>
      <c r="C499" s="256"/>
      <c r="D499" s="257"/>
      <c r="E499" s="240"/>
    </row>
    <row r="500" spans="2:5" x14ac:dyDescent="0.25">
      <c r="B500" s="256"/>
      <c r="C500" s="256"/>
      <c r="D500" s="257"/>
      <c r="E500" s="240"/>
    </row>
    <row r="501" spans="2:5" x14ac:dyDescent="0.25">
      <c r="B501" s="256"/>
      <c r="C501" s="256"/>
      <c r="D501" s="257"/>
      <c r="E501" s="240"/>
    </row>
    <row r="502" spans="2:5" x14ac:dyDescent="0.25">
      <c r="B502" s="256"/>
      <c r="C502" s="256"/>
      <c r="D502" s="257"/>
      <c r="E502" s="240"/>
    </row>
    <row r="503" spans="2:5" x14ac:dyDescent="0.25">
      <c r="B503" s="256"/>
      <c r="C503" s="256"/>
      <c r="D503" s="257"/>
      <c r="E503" s="240"/>
    </row>
  </sheetData>
  <sheetProtection algorithmName="SHA-512" hashValue="vl9XXo2qBQ4t9k1FFKhNnhqnmJoRKq6DnEVX5Qcl0H4inVV4J5iw0JUfvogBA6z6I53VG6ZtBZjbzOBNqBwnsA==" saltValue="rdYQ7QLjTS9BGEBOQn/T+g==" spinCount="100000" sheet="1" objects="1" scenarios="1"/>
  <autoFilter ref="B35:E155" xr:uid="{E08833AE-23C3-4E5F-BD71-768157F3EC45}">
    <sortState ref="B36:E155">
      <sortCondition ref="C35:C155"/>
    </sortState>
  </autoFilter>
  <mergeCells count="225">
    <mergeCell ref="C163:D163"/>
    <mergeCell ref="C164:D164"/>
    <mergeCell ref="C165:D165"/>
    <mergeCell ref="C166:D166"/>
    <mergeCell ref="C162:D162"/>
    <mergeCell ref="C172:D172"/>
    <mergeCell ref="C173:D173"/>
    <mergeCell ref="C174:D174"/>
    <mergeCell ref="C175:D175"/>
    <mergeCell ref="C176:D176"/>
    <mergeCell ref="C167:D167"/>
    <mergeCell ref="C168:D168"/>
    <mergeCell ref="C169:D169"/>
    <mergeCell ref="C170:D170"/>
    <mergeCell ref="C171:D171"/>
    <mergeCell ref="C182:D182"/>
    <mergeCell ref="C183:D183"/>
    <mergeCell ref="C184:D184"/>
    <mergeCell ref="C185:D185"/>
    <mergeCell ref="C186:D186"/>
    <mergeCell ref="C177:D177"/>
    <mergeCell ref="C178:D178"/>
    <mergeCell ref="C179:D179"/>
    <mergeCell ref="C180:D180"/>
    <mergeCell ref="C181:D181"/>
    <mergeCell ref="C192:D192"/>
    <mergeCell ref="C193:D193"/>
    <mergeCell ref="C194:D194"/>
    <mergeCell ref="C195:D195"/>
    <mergeCell ref="C196:D196"/>
    <mergeCell ref="C187:D187"/>
    <mergeCell ref="C188:D188"/>
    <mergeCell ref="C189:D189"/>
    <mergeCell ref="C190:D190"/>
    <mergeCell ref="C191:D191"/>
    <mergeCell ref="C202:D202"/>
    <mergeCell ref="C203:D203"/>
    <mergeCell ref="C204:D204"/>
    <mergeCell ref="C205:D205"/>
    <mergeCell ref="C206:D206"/>
    <mergeCell ref="C197:D197"/>
    <mergeCell ref="C198:D198"/>
    <mergeCell ref="C199:D199"/>
    <mergeCell ref="C200:D200"/>
    <mergeCell ref="C201:D201"/>
    <mergeCell ref="C212:D212"/>
    <mergeCell ref="C213:D213"/>
    <mergeCell ref="C214:D214"/>
    <mergeCell ref="C215:D215"/>
    <mergeCell ref="C216:D216"/>
    <mergeCell ref="C207:D207"/>
    <mergeCell ref="C208:D208"/>
    <mergeCell ref="C209:D209"/>
    <mergeCell ref="C210:D210"/>
    <mergeCell ref="C211:D211"/>
    <mergeCell ref="C222:D222"/>
    <mergeCell ref="C223:D223"/>
    <mergeCell ref="C224:D224"/>
    <mergeCell ref="C225:D225"/>
    <mergeCell ref="C226:D226"/>
    <mergeCell ref="C217:D217"/>
    <mergeCell ref="C218:D218"/>
    <mergeCell ref="C219:D219"/>
    <mergeCell ref="C220:D220"/>
    <mergeCell ref="C221:D221"/>
    <mergeCell ref="C232:D232"/>
    <mergeCell ref="C233:D233"/>
    <mergeCell ref="C234:D234"/>
    <mergeCell ref="C235:D235"/>
    <mergeCell ref="C236:D236"/>
    <mergeCell ref="C227:D227"/>
    <mergeCell ref="C228:D228"/>
    <mergeCell ref="C229:D229"/>
    <mergeCell ref="C230:D230"/>
    <mergeCell ref="C231:D231"/>
    <mergeCell ref="C242:D242"/>
    <mergeCell ref="C243:D243"/>
    <mergeCell ref="C244:D244"/>
    <mergeCell ref="C245:D245"/>
    <mergeCell ref="C246:D246"/>
    <mergeCell ref="C237:D237"/>
    <mergeCell ref="C238:D238"/>
    <mergeCell ref="C239:D239"/>
    <mergeCell ref="C240:D240"/>
    <mergeCell ref="C241:D241"/>
    <mergeCell ref="C252:D252"/>
    <mergeCell ref="C253:D253"/>
    <mergeCell ref="C254:D254"/>
    <mergeCell ref="C255:D255"/>
    <mergeCell ref="C256:D256"/>
    <mergeCell ref="C247:D247"/>
    <mergeCell ref="C248:D248"/>
    <mergeCell ref="C249:D249"/>
    <mergeCell ref="C250:D250"/>
    <mergeCell ref="C251:D251"/>
    <mergeCell ref="C262:D262"/>
    <mergeCell ref="C263:D263"/>
    <mergeCell ref="C264:D264"/>
    <mergeCell ref="C265:D265"/>
    <mergeCell ref="C266:D266"/>
    <mergeCell ref="C257:D257"/>
    <mergeCell ref="C258:D258"/>
    <mergeCell ref="C259:D259"/>
    <mergeCell ref="C260:D260"/>
    <mergeCell ref="C261:D261"/>
    <mergeCell ref="C272:D272"/>
    <mergeCell ref="C273:D273"/>
    <mergeCell ref="C274:D274"/>
    <mergeCell ref="C275:D275"/>
    <mergeCell ref="C276:D276"/>
    <mergeCell ref="C267:D267"/>
    <mergeCell ref="C268:D268"/>
    <mergeCell ref="C269:D269"/>
    <mergeCell ref="C270:D270"/>
    <mergeCell ref="C271:D271"/>
    <mergeCell ref="C282:D282"/>
    <mergeCell ref="C283:D283"/>
    <mergeCell ref="C284:D284"/>
    <mergeCell ref="C285:D285"/>
    <mergeCell ref="C286:D286"/>
    <mergeCell ref="C277:D277"/>
    <mergeCell ref="C278:D278"/>
    <mergeCell ref="C279:D279"/>
    <mergeCell ref="C280:D280"/>
    <mergeCell ref="C281:D281"/>
    <mergeCell ref="C292:D292"/>
    <mergeCell ref="C293:D293"/>
    <mergeCell ref="C294:D294"/>
    <mergeCell ref="C295:D295"/>
    <mergeCell ref="C296:D296"/>
    <mergeCell ref="C287:D287"/>
    <mergeCell ref="C288:D288"/>
    <mergeCell ref="C289:D289"/>
    <mergeCell ref="C290:D290"/>
    <mergeCell ref="C291:D291"/>
    <mergeCell ref="C302:D302"/>
    <mergeCell ref="C303:D303"/>
    <mergeCell ref="C304:D304"/>
    <mergeCell ref="C305:D305"/>
    <mergeCell ref="C306:D306"/>
    <mergeCell ref="C297:D297"/>
    <mergeCell ref="C298:D298"/>
    <mergeCell ref="C299:D299"/>
    <mergeCell ref="C300:D300"/>
    <mergeCell ref="C301:D301"/>
    <mergeCell ref="C312:D312"/>
    <mergeCell ref="C313:D313"/>
    <mergeCell ref="C314:D314"/>
    <mergeCell ref="C315:D315"/>
    <mergeCell ref="C316:D316"/>
    <mergeCell ref="C307:D307"/>
    <mergeCell ref="C308:D308"/>
    <mergeCell ref="C309:D309"/>
    <mergeCell ref="C310:D310"/>
    <mergeCell ref="C311:D311"/>
    <mergeCell ref="C322:D322"/>
    <mergeCell ref="C323:D323"/>
    <mergeCell ref="C324:D324"/>
    <mergeCell ref="C325:D325"/>
    <mergeCell ref="C326:D326"/>
    <mergeCell ref="C317:D317"/>
    <mergeCell ref="C318:D318"/>
    <mergeCell ref="C319:D319"/>
    <mergeCell ref="C320:D320"/>
    <mergeCell ref="C321:D321"/>
    <mergeCell ref="C332:D332"/>
    <mergeCell ref="C333:D333"/>
    <mergeCell ref="C334:D334"/>
    <mergeCell ref="C335:D335"/>
    <mergeCell ref="C336:D336"/>
    <mergeCell ref="C327:D327"/>
    <mergeCell ref="C328:D328"/>
    <mergeCell ref="C329:D329"/>
    <mergeCell ref="C330:D330"/>
    <mergeCell ref="C331:D331"/>
    <mergeCell ref="C342:D342"/>
    <mergeCell ref="C343:D343"/>
    <mergeCell ref="C344:D344"/>
    <mergeCell ref="C345:D345"/>
    <mergeCell ref="C346:D346"/>
    <mergeCell ref="C337:D337"/>
    <mergeCell ref="C338:D338"/>
    <mergeCell ref="C339:D339"/>
    <mergeCell ref="C340:D340"/>
    <mergeCell ref="C341:D341"/>
    <mergeCell ref="C352:D352"/>
    <mergeCell ref="C353:D353"/>
    <mergeCell ref="C354:D354"/>
    <mergeCell ref="C355:D355"/>
    <mergeCell ref="C356:D356"/>
    <mergeCell ref="C347:D347"/>
    <mergeCell ref="C348:D348"/>
    <mergeCell ref="C349:D349"/>
    <mergeCell ref="C350:D350"/>
    <mergeCell ref="C351:D351"/>
    <mergeCell ref="C362:D362"/>
    <mergeCell ref="C363:D363"/>
    <mergeCell ref="C364:D364"/>
    <mergeCell ref="C365:D365"/>
    <mergeCell ref="C366:D366"/>
    <mergeCell ref="C357:D357"/>
    <mergeCell ref="C358:D358"/>
    <mergeCell ref="C359:D359"/>
    <mergeCell ref="C360:D360"/>
    <mergeCell ref="C361:D361"/>
    <mergeCell ref="C372:D372"/>
    <mergeCell ref="C373:D373"/>
    <mergeCell ref="C374:D374"/>
    <mergeCell ref="C375:D375"/>
    <mergeCell ref="C376:D376"/>
    <mergeCell ref="C367:D367"/>
    <mergeCell ref="C368:D368"/>
    <mergeCell ref="C369:D369"/>
    <mergeCell ref="C370:D370"/>
    <mergeCell ref="C371:D371"/>
    <mergeCell ref="C382:D382"/>
    <mergeCell ref="C383:D383"/>
    <mergeCell ref="C384:D384"/>
    <mergeCell ref="C385:D385"/>
    <mergeCell ref="C386:D386"/>
    <mergeCell ref="C377:D377"/>
    <mergeCell ref="C378:D378"/>
    <mergeCell ref="C379:D379"/>
    <mergeCell ref="C380:D380"/>
    <mergeCell ref="C381:D381"/>
  </mergeCells>
  <pageMargins left="0.7" right="0.7" top="0.75" bottom="0.75" header="0.3" footer="0.3"/>
  <pageSetup paperSize="3" scale="61"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'Data Validation Sheet'!$B$3:$B$4</xm:f>
          </x14:formula1>
          <xm:sqref>H8:H19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8"/>
    <pageSetUpPr fitToPage="1"/>
  </sheetPr>
  <dimension ref="A1:L482"/>
  <sheetViews>
    <sheetView showGridLines="0" topLeftCell="A61" zoomScale="70" zoomScaleNormal="70" workbookViewId="0">
      <selection activeCell="F25" sqref="F1:P1048576"/>
    </sheetView>
  </sheetViews>
  <sheetFormatPr defaultRowHeight="15" x14ac:dyDescent="0.25"/>
  <cols>
    <col min="1" max="1" width="5.7109375" customWidth="1"/>
    <col min="2" max="2" width="45.85546875" customWidth="1"/>
    <col min="3" max="7" width="20.7109375" customWidth="1"/>
    <col min="8" max="8" width="20.7109375" hidden="1" customWidth="1"/>
    <col min="9" max="9" width="20.7109375" customWidth="1"/>
    <col min="10" max="10" width="3.42578125" customWidth="1"/>
    <col min="11" max="11" width="2.5703125" style="49" customWidth="1"/>
    <col min="12" max="12" width="5.7109375" customWidth="1"/>
  </cols>
  <sheetData>
    <row r="1" spans="1:12" s="96" customFormat="1" ht="15.75" x14ac:dyDescent="0.25">
      <c r="A1" s="56" t="s">
        <v>243</v>
      </c>
    </row>
    <row r="2" spans="1:12" s="96" customFormat="1" ht="26.25" x14ac:dyDescent="0.4">
      <c r="A2" s="112" t="s">
        <v>114</v>
      </c>
    </row>
    <row r="3" spans="1:12" s="49" customFormat="1" ht="14.25" customHeight="1" x14ac:dyDescent="0.5">
      <c r="B3" s="797"/>
      <c r="C3" s="797"/>
      <c r="D3" s="797"/>
      <c r="E3" s="797"/>
      <c r="F3" s="797"/>
      <c r="G3" s="797"/>
      <c r="H3" s="797"/>
      <c r="I3" s="797"/>
      <c r="J3" s="797"/>
    </row>
    <row r="4" spans="1:12" s="10" customFormat="1" ht="18" customHeight="1" x14ac:dyDescent="0.3">
      <c r="A4" s="47" t="s">
        <v>961</v>
      </c>
      <c r="C4" s="4"/>
      <c r="D4" s="46"/>
      <c r="E4" s="46"/>
      <c r="F4" s="46"/>
      <c r="G4" s="46"/>
      <c r="H4" s="46"/>
      <c r="K4" s="50"/>
      <c r="L4" s="45" t="s">
        <v>120</v>
      </c>
    </row>
    <row r="5" spans="1:12" s="10" customFormat="1" ht="18.75" x14ac:dyDescent="0.3">
      <c r="B5" s="47"/>
      <c r="C5" s="4"/>
      <c r="D5" s="46"/>
      <c r="E5" s="46"/>
      <c r="F5" s="46"/>
      <c r="G5" s="46"/>
      <c r="H5" s="46"/>
      <c r="K5" s="50"/>
    </row>
    <row r="6" spans="1:12" s="10" customFormat="1" ht="15.75" thickBot="1" x14ac:dyDescent="0.3">
      <c r="B6" s="46" t="s">
        <v>983</v>
      </c>
      <c r="C6" s="4"/>
      <c r="D6" s="46"/>
      <c r="E6" s="46"/>
      <c r="F6" s="46"/>
      <c r="G6" s="46"/>
      <c r="H6" s="46"/>
      <c r="K6" s="50"/>
    </row>
    <row r="7" spans="1:12" s="10" customFormat="1" ht="60" x14ac:dyDescent="0.25">
      <c r="A7"/>
      <c r="B7" s="25" t="s">
        <v>6</v>
      </c>
      <c r="C7" s="298" t="s">
        <v>170</v>
      </c>
      <c r="D7" s="412" t="s">
        <v>171</v>
      </c>
      <c r="E7" s="412" t="s">
        <v>811</v>
      </c>
      <c r="F7" s="413" t="s">
        <v>182</v>
      </c>
      <c r="G7" s="412" t="s">
        <v>183</v>
      </c>
      <c r="H7" s="230" t="s">
        <v>128</v>
      </c>
      <c r="I7" s="297" t="s">
        <v>172</v>
      </c>
      <c r="J7" s="14"/>
      <c r="K7" s="50"/>
    </row>
    <row r="8" spans="1:12" s="10" customFormat="1" ht="15" customHeight="1" x14ac:dyDescent="0.25">
      <c r="B8" s="19" t="s">
        <v>7</v>
      </c>
      <c r="C8" s="63">
        <f>IFERROR(AVERAGEIFS($E$127:$E$246,$C$127:$C$246,"="&amp;B8), "NA")</f>
        <v>2.8333333333333335</v>
      </c>
      <c r="D8" s="63">
        <f t="shared" ref="D8:D19" si="0">IFERROR(AVERAGEIFS($E$255:$E$478,$C$255:$C$478,"="&amp;B8), "NA")</f>
        <v>2.8666666666666667</v>
      </c>
      <c r="E8" s="38">
        <f>IFERROR(ABS(D8-C8), "NA")</f>
        <v>3.3333333333333215E-2</v>
      </c>
      <c r="F8" s="35">
        <f t="shared" ref="F8:F19" si="1">COUNTIFS($C$127:$C$250, "="&amp;B8,$E$127:$E$250,"&gt;=0")</f>
        <v>6</v>
      </c>
      <c r="G8" s="35">
        <f t="shared" ref="G8:G19" si="2">COUNTIFS($E$255:$E$478, "&gt;=0", $C$255:$C$478, "="&amp;B8)</f>
        <v>15</v>
      </c>
      <c r="H8" s="116" t="s">
        <v>126</v>
      </c>
      <c r="I8" s="39">
        <f t="shared" ref="I8:I19" si="3">IF(AND(ISNUMBER(C8),ISNUMBER(D8)),IF(H8="Average All",((F8*C8)+(G8*D8))/(F8+G8),AVERAGE(C8:D8)), IF(AND(C8="NA", ISNUMBER(D8)), D8, "NA"))</f>
        <v>2.85</v>
      </c>
      <c r="J8"/>
      <c r="K8" s="50"/>
    </row>
    <row r="9" spans="1:12" s="10" customFormat="1" ht="18" customHeight="1" x14ac:dyDescent="0.25">
      <c r="B9" s="19" t="s">
        <v>34</v>
      </c>
      <c r="C9" s="63" t="str">
        <f t="shared" ref="C9:C19" si="4">IFERROR(AVERAGEIFS($E$127:$E$246,$C$127:$C$246,"="&amp;B9), "NA")</f>
        <v>NA</v>
      </c>
      <c r="D9" s="63" t="str">
        <f t="shared" si="0"/>
        <v>NA</v>
      </c>
      <c r="E9" s="38" t="str">
        <f t="shared" ref="E9:E19" si="5">IFERROR(ABS(D9-C9), "NA")</f>
        <v>NA</v>
      </c>
      <c r="F9" s="35">
        <f t="shared" si="1"/>
        <v>0</v>
      </c>
      <c r="G9" s="35">
        <f t="shared" si="2"/>
        <v>0</v>
      </c>
      <c r="H9" s="116" t="s">
        <v>125</v>
      </c>
      <c r="I9" s="39" t="str">
        <f t="shared" si="3"/>
        <v>NA</v>
      </c>
      <c r="J9"/>
      <c r="K9" s="50"/>
    </row>
    <row r="10" spans="1:12" s="10" customFormat="1" ht="18" customHeight="1" x14ac:dyDescent="0.25">
      <c r="B10" s="19" t="s">
        <v>8</v>
      </c>
      <c r="C10" s="63">
        <f t="shared" si="4"/>
        <v>4</v>
      </c>
      <c r="D10" s="63">
        <f t="shared" si="0"/>
        <v>3.2666666666666666</v>
      </c>
      <c r="E10" s="38">
        <f t="shared" si="5"/>
        <v>0.73333333333333339</v>
      </c>
      <c r="F10" s="35">
        <f t="shared" si="1"/>
        <v>1</v>
      </c>
      <c r="G10" s="35">
        <f t="shared" si="2"/>
        <v>15</v>
      </c>
      <c r="H10" s="116" t="s">
        <v>125</v>
      </c>
      <c r="I10" s="39">
        <f t="shared" si="3"/>
        <v>3.3125</v>
      </c>
      <c r="J10"/>
      <c r="K10" s="50"/>
    </row>
    <row r="11" spans="1:12" s="10" customFormat="1" ht="18" customHeight="1" x14ac:dyDescent="0.25">
      <c r="B11" s="19" t="s">
        <v>9</v>
      </c>
      <c r="C11" s="63">
        <f t="shared" si="4"/>
        <v>3.1111111111111112</v>
      </c>
      <c r="D11" s="63">
        <f t="shared" si="0"/>
        <v>3.0666666666666669</v>
      </c>
      <c r="E11" s="38">
        <f t="shared" si="5"/>
        <v>4.4444444444444287E-2</v>
      </c>
      <c r="F11" s="35">
        <f t="shared" si="1"/>
        <v>9</v>
      </c>
      <c r="G11" s="35">
        <f t="shared" si="2"/>
        <v>15</v>
      </c>
      <c r="H11" s="116" t="s">
        <v>126</v>
      </c>
      <c r="I11" s="39">
        <f t="shared" si="3"/>
        <v>3.088888888888889</v>
      </c>
      <c r="J11"/>
      <c r="K11" s="50"/>
    </row>
    <row r="12" spans="1:12" s="10" customFormat="1" ht="18" customHeight="1" x14ac:dyDescent="0.25">
      <c r="B12" s="19" t="s">
        <v>10</v>
      </c>
      <c r="C12" s="63">
        <f t="shared" si="4"/>
        <v>3</v>
      </c>
      <c r="D12" s="63">
        <f t="shared" si="0"/>
        <v>3.0666666666666669</v>
      </c>
      <c r="E12" s="38">
        <f t="shared" si="5"/>
        <v>6.6666666666666874E-2</v>
      </c>
      <c r="F12" s="35">
        <f t="shared" si="1"/>
        <v>1</v>
      </c>
      <c r="G12" s="35">
        <f t="shared" si="2"/>
        <v>15</v>
      </c>
      <c r="H12" s="116" t="s">
        <v>125</v>
      </c>
      <c r="I12" s="39">
        <f t="shared" si="3"/>
        <v>3.0625</v>
      </c>
      <c r="J12"/>
      <c r="K12" s="50"/>
    </row>
    <row r="13" spans="1:12" s="14" customFormat="1" x14ac:dyDescent="0.25">
      <c r="A13" s="10"/>
      <c r="B13" s="19" t="s">
        <v>11</v>
      </c>
      <c r="C13" s="63">
        <f t="shared" si="4"/>
        <v>3</v>
      </c>
      <c r="D13" s="63">
        <f t="shared" si="0"/>
        <v>3.1333333333333333</v>
      </c>
      <c r="E13" s="38">
        <f t="shared" si="5"/>
        <v>0.1333333333333333</v>
      </c>
      <c r="F13" s="35">
        <f t="shared" si="1"/>
        <v>10</v>
      </c>
      <c r="G13" s="35">
        <f t="shared" si="2"/>
        <v>15</v>
      </c>
      <c r="H13" s="116" t="s">
        <v>126</v>
      </c>
      <c r="I13" s="39">
        <f t="shared" si="3"/>
        <v>3.0666666666666664</v>
      </c>
      <c r="J13"/>
      <c r="K13" s="50"/>
    </row>
    <row r="14" spans="1:12" x14ac:dyDescent="0.25">
      <c r="A14" s="10"/>
      <c r="B14" s="19" t="s">
        <v>12</v>
      </c>
      <c r="C14" s="63">
        <f t="shared" si="4"/>
        <v>4.375</v>
      </c>
      <c r="D14" s="63">
        <f t="shared" si="0"/>
        <v>3.8</v>
      </c>
      <c r="E14" s="38">
        <f t="shared" si="5"/>
        <v>0.57500000000000018</v>
      </c>
      <c r="F14" s="35">
        <f t="shared" si="1"/>
        <v>16</v>
      </c>
      <c r="G14" s="35">
        <f t="shared" si="2"/>
        <v>15</v>
      </c>
      <c r="H14" s="116" t="s">
        <v>126</v>
      </c>
      <c r="I14" s="39">
        <f t="shared" si="3"/>
        <v>4.0875000000000004</v>
      </c>
      <c r="K14" s="50"/>
    </row>
    <row r="15" spans="1:12" x14ac:dyDescent="0.25">
      <c r="A15" s="10"/>
      <c r="B15" s="19" t="s">
        <v>13</v>
      </c>
      <c r="C15" s="63">
        <f t="shared" si="4"/>
        <v>3</v>
      </c>
      <c r="D15" s="63">
        <f t="shared" si="0"/>
        <v>2.9333333333333331</v>
      </c>
      <c r="E15" s="38">
        <f t="shared" si="5"/>
        <v>6.6666666666666874E-2</v>
      </c>
      <c r="F15" s="35">
        <f t="shared" si="1"/>
        <v>2</v>
      </c>
      <c r="G15" s="35">
        <f t="shared" si="2"/>
        <v>15</v>
      </c>
      <c r="H15" s="116" t="s">
        <v>125</v>
      </c>
      <c r="I15" s="39">
        <f t="shared" si="3"/>
        <v>2.9411764705882355</v>
      </c>
      <c r="K15" s="50"/>
    </row>
    <row r="16" spans="1:12" x14ac:dyDescent="0.25">
      <c r="A16" s="10"/>
      <c r="B16" s="19" t="s">
        <v>14</v>
      </c>
      <c r="C16" s="63">
        <f t="shared" si="4"/>
        <v>4.45</v>
      </c>
      <c r="D16" s="63">
        <f t="shared" si="0"/>
        <v>4.1333333333333337</v>
      </c>
      <c r="E16" s="38">
        <f t="shared" si="5"/>
        <v>0.31666666666666643</v>
      </c>
      <c r="F16" s="35">
        <f t="shared" si="1"/>
        <v>20</v>
      </c>
      <c r="G16" s="35">
        <f t="shared" si="2"/>
        <v>15</v>
      </c>
      <c r="H16" s="116" t="s">
        <v>126</v>
      </c>
      <c r="I16" s="39">
        <f t="shared" si="3"/>
        <v>4.291666666666667</v>
      </c>
      <c r="K16" s="51"/>
    </row>
    <row r="17" spans="1:11" x14ac:dyDescent="0.25">
      <c r="A17" s="10"/>
      <c r="B17" s="19" t="s">
        <v>15</v>
      </c>
      <c r="C17" s="63">
        <f t="shared" si="4"/>
        <v>3.5</v>
      </c>
      <c r="D17" s="63">
        <f t="shared" si="0"/>
        <v>3.2666666666666666</v>
      </c>
      <c r="E17" s="38">
        <f t="shared" si="5"/>
        <v>0.23333333333333339</v>
      </c>
      <c r="F17" s="35">
        <f t="shared" si="1"/>
        <v>2</v>
      </c>
      <c r="G17" s="35">
        <f t="shared" si="2"/>
        <v>15</v>
      </c>
      <c r="H17" s="116" t="s">
        <v>125</v>
      </c>
      <c r="I17" s="39">
        <f t="shared" si="3"/>
        <v>3.2941176470588234</v>
      </c>
    </row>
    <row r="18" spans="1:11" x14ac:dyDescent="0.25">
      <c r="A18" s="10"/>
      <c r="B18" s="19" t="s">
        <v>16</v>
      </c>
      <c r="C18" s="63">
        <f t="shared" si="4"/>
        <v>4.5999999999999996</v>
      </c>
      <c r="D18" s="63">
        <f t="shared" si="0"/>
        <v>3.4666666666666668</v>
      </c>
      <c r="E18" s="38">
        <f t="shared" si="5"/>
        <v>1.1333333333333329</v>
      </c>
      <c r="F18" s="35">
        <f t="shared" si="1"/>
        <v>5</v>
      </c>
      <c r="G18" s="35">
        <f t="shared" si="2"/>
        <v>15</v>
      </c>
      <c r="H18" s="116" t="s">
        <v>126</v>
      </c>
      <c r="I18" s="39">
        <f t="shared" si="3"/>
        <v>4.0333333333333332</v>
      </c>
      <c r="K18" s="52"/>
    </row>
    <row r="19" spans="1:11" ht="15.75" thickBot="1" x14ac:dyDescent="0.3">
      <c r="A19" s="10"/>
      <c r="B19" s="20" t="s">
        <v>17</v>
      </c>
      <c r="C19" s="64">
        <f t="shared" si="4"/>
        <v>4.8571428571428568</v>
      </c>
      <c r="D19" s="64">
        <f t="shared" si="0"/>
        <v>4.5999999999999996</v>
      </c>
      <c r="E19" s="41">
        <f t="shared" si="5"/>
        <v>0.25714285714285712</v>
      </c>
      <c r="F19" s="36">
        <f t="shared" si="1"/>
        <v>14</v>
      </c>
      <c r="G19" s="36">
        <f t="shared" si="2"/>
        <v>15</v>
      </c>
      <c r="H19" s="117" t="s">
        <v>126</v>
      </c>
      <c r="I19" s="42">
        <f t="shared" si="3"/>
        <v>4.7285714285714278</v>
      </c>
    </row>
    <row r="20" spans="1:11" s="26" customFormat="1" x14ac:dyDescent="0.25">
      <c r="A20" s="9"/>
      <c r="B20" s="54"/>
      <c r="C20" s="68"/>
      <c r="D20" s="68"/>
      <c r="F20" s="102"/>
      <c r="G20" s="68"/>
      <c r="H20" s="68"/>
      <c r="I20" s="102"/>
      <c r="K20" s="49"/>
    </row>
    <row r="21" spans="1:11" s="26" customFormat="1" ht="15.75" thickBot="1" x14ac:dyDescent="0.3">
      <c r="A21" s="9"/>
      <c r="B21" s="110" t="s">
        <v>984</v>
      </c>
      <c r="C21" s="68"/>
      <c r="D21" s="68"/>
      <c r="F21" s="102"/>
      <c r="G21" s="68"/>
      <c r="H21" s="68"/>
      <c r="I21" s="102"/>
      <c r="K21" s="49"/>
    </row>
    <row r="22" spans="1:11" ht="60" x14ac:dyDescent="0.25">
      <c r="A22" s="10"/>
      <c r="B22" s="25" t="s">
        <v>6</v>
      </c>
      <c r="C22" s="298" t="s">
        <v>173</v>
      </c>
      <c r="D22" s="413" t="s">
        <v>174</v>
      </c>
      <c r="E22" s="413" t="s">
        <v>811</v>
      </c>
      <c r="F22" s="413" t="s">
        <v>182</v>
      </c>
      <c r="G22" s="413" t="s">
        <v>183</v>
      </c>
      <c r="H22" s="230" t="s">
        <v>128</v>
      </c>
      <c r="I22" s="297" t="s">
        <v>175</v>
      </c>
    </row>
    <row r="23" spans="1:11" x14ac:dyDescent="0.25">
      <c r="A23" s="10"/>
      <c r="B23" s="19" t="s">
        <v>7</v>
      </c>
      <c r="C23" s="63">
        <f>IFERROR(AVERAGEIFS($F$127:$F$246,$C$127:$C$246,"="&amp;B23), "NA")</f>
        <v>4</v>
      </c>
      <c r="D23" s="63">
        <f t="shared" ref="D23:D34" si="6">IFERROR(AVERAGEIFS($F$255:$F$478,$C$255:$C$478,"="&amp;B23), "NA")</f>
        <v>3.4666666666666668</v>
      </c>
      <c r="E23" s="38">
        <f>IFERROR(ABS(D23-C23), "NA")</f>
        <v>0.53333333333333321</v>
      </c>
      <c r="F23" s="35">
        <f t="shared" ref="F23:F34" si="7">COUNTIFS($C$127:$C$250, "="&amp;B23,$F$127:$F$250,"&gt;=0")</f>
        <v>6</v>
      </c>
      <c r="G23" s="35">
        <f t="shared" ref="G23:G34" si="8">COUNTIFS($F$255:$F$478, "&gt;=0", $C$255:$C$478, "="&amp;B23)</f>
        <v>15</v>
      </c>
      <c r="H23" s="116" t="s">
        <v>126</v>
      </c>
      <c r="I23" s="39">
        <f t="shared" ref="I23:I34" si="9">IF(AND(ISNUMBER(C23),ISNUMBER(D23)),IF(H23="Average All",((F23*C23)+(G23*D23))/(F23+G23),AVERAGE(C23:D23)), IF(AND(C23="NA", ISNUMBER(D23)), D23, "NA"))</f>
        <v>3.7333333333333334</v>
      </c>
    </row>
    <row r="24" spans="1:11" x14ac:dyDescent="0.25">
      <c r="A24" s="10"/>
      <c r="B24" s="19" t="s">
        <v>34</v>
      </c>
      <c r="C24" s="63" t="str">
        <f t="shared" ref="C24:C34" si="10">IFERROR(AVERAGEIFS($F$127:$F$246,$C$127:$C$246,"="&amp;B24), "NA")</f>
        <v>NA</v>
      </c>
      <c r="D24" s="63" t="str">
        <f t="shared" si="6"/>
        <v>NA</v>
      </c>
      <c r="E24" s="38" t="str">
        <f t="shared" ref="E24:E34" si="11">IFERROR(ABS(D24-C24), "NA")</f>
        <v>NA</v>
      </c>
      <c r="F24" s="35">
        <f t="shared" si="7"/>
        <v>0</v>
      </c>
      <c r="G24" s="35">
        <f t="shared" si="8"/>
        <v>0</v>
      </c>
      <c r="H24" s="116" t="s">
        <v>125</v>
      </c>
      <c r="I24" s="39" t="str">
        <f t="shared" si="9"/>
        <v>NA</v>
      </c>
    </row>
    <row r="25" spans="1:11" x14ac:dyDescent="0.25">
      <c r="A25" s="10"/>
      <c r="B25" s="19" t="s">
        <v>8</v>
      </c>
      <c r="C25" s="63">
        <f t="shared" si="10"/>
        <v>5</v>
      </c>
      <c r="D25" s="63">
        <f t="shared" si="6"/>
        <v>3.2666666666666666</v>
      </c>
      <c r="E25" s="38">
        <f t="shared" si="11"/>
        <v>1.7333333333333334</v>
      </c>
      <c r="F25" s="35">
        <f t="shared" si="7"/>
        <v>1</v>
      </c>
      <c r="G25" s="35">
        <f t="shared" si="8"/>
        <v>15</v>
      </c>
      <c r="H25" s="116" t="s">
        <v>125</v>
      </c>
      <c r="I25" s="39">
        <f t="shared" si="9"/>
        <v>3.375</v>
      </c>
    </row>
    <row r="26" spans="1:11" x14ac:dyDescent="0.25">
      <c r="A26" s="10"/>
      <c r="B26" s="19" t="s">
        <v>9</v>
      </c>
      <c r="C26" s="63">
        <f t="shared" si="10"/>
        <v>3.2222222222222223</v>
      </c>
      <c r="D26" s="63">
        <f t="shared" si="6"/>
        <v>3</v>
      </c>
      <c r="E26" s="38">
        <f t="shared" si="11"/>
        <v>0.22222222222222232</v>
      </c>
      <c r="F26" s="35">
        <f t="shared" si="7"/>
        <v>9</v>
      </c>
      <c r="G26" s="35">
        <f t="shared" si="8"/>
        <v>15</v>
      </c>
      <c r="H26" s="116" t="s">
        <v>126</v>
      </c>
      <c r="I26" s="39">
        <f t="shared" si="9"/>
        <v>3.1111111111111112</v>
      </c>
    </row>
    <row r="27" spans="1:11" x14ac:dyDescent="0.25">
      <c r="A27" s="10"/>
      <c r="B27" s="19" t="s">
        <v>10</v>
      </c>
      <c r="C27" s="63">
        <f t="shared" si="10"/>
        <v>3</v>
      </c>
      <c r="D27" s="63">
        <f t="shared" si="6"/>
        <v>3.0666666666666669</v>
      </c>
      <c r="E27" s="38">
        <f t="shared" si="11"/>
        <v>6.6666666666666874E-2</v>
      </c>
      <c r="F27" s="35">
        <f t="shared" si="7"/>
        <v>1</v>
      </c>
      <c r="G27" s="35">
        <f t="shared" si="8"/>
        <v>15</v>
      </c>
      <c r="H27" s="116" t="s">
        <v>125</v>
      </c>
      <c r="I27" s="39">
        <f t="shared" si="9"/>
        <v>3.0625</v>
      </c>
    </row>
    <row r="28" spans="1:11" x14ac:dyDescent="0.25">
      <c r="A28" s="10"/>
      <c r="B28" s="19" t="s">
        <v>11</v>
      </c>
      <c r="C28" s="63">
        <f t="shared" si="10"/>
        <v>3.8</v>
      </c>
      <c r="D28" s="63">
        <f t="shared" si="6"/>
        <v>3.6</v>
      </c>
      <c r="E28" s="38">
        <f t="shared" si="11"/>
        <v>0.19999999999999973</v>
      </c>
      <c r="F28" s="35">
        <f t="shared" si="7"/>
        <v>10</v>
      </c>
      <c r="G28" s="35">
        <f t="shared" si="8"/>
        <v>15</v>
      </c>
      <c r="H28" s="116" t="s">
        <v>126</v>
      </c>
      <c r="I28" s="39">
        <f t="shared" si="9"/>
        <v>3.7</v>
      </c>
    </row>
    <row r="29" spans="1:11" x14ac:dyDescent="0.25">
      <c r="A29" s="10"/>
      <c r="B29" s="19" t="s">
        <v>12</v>
      </c>
      <c r="C29" s="63">
        <f t="shared" si="10"/>
        <v>4.375</v>
      </c>
      <c r="D29" s="63">
        <f t="shared" si="6"/>
        <v>3.7333333333333334</v>
      </c>
      <c r="E29" s="38">
        <f t="shared" si="11"/>
        <v>0.64166666666666661</v>
      </c>
      <c r="F29" s="35">
        <f t="shared" si="7"/>
        <v>16</v>
      </c>
      <c r="G29" s="35">
        <f t="shared" si="8"/>
        <v>15</v>
      </c>
      <c r="H29" s="116" t="s">
        <v>126</v>
      </c>
      <c r="I29" s="39">
        <f t="shared" si="9"/>
        <v>4.0541666666666671</v>
      </c>
    </row>
    <row r="30" spans="1:11" x14ac:dyDescent="0.25">
      <c r="A30" s="10"/>
      <c r="B30" s="19" t="s">
        <v>13</v>
      </c>
      <c r="C30" s="63">
        <f t="shared" si="10"/>
        <v>4</v>
      </c>
      <c r="D30" s="63">
        <f t="shared" si="6"/>
        <v>3.2666666666666666</v>
      </c>
      <c r="E30" s="38">
        <f t="shared" si="11"/>
        <v>0.73333333333333339</v>
      </c>
      <c r="F30" s="35">
        <f t="shared" si="7"/>
        <v>2</v>
      </c>
      <c r="G30" s="35">
        <f t="shared" si="8"/>
        <v>15</v>
      </c>
      <c r="H30" s="116" t="s">
        <v>125</v>
      </c>
      <c r="I30" s="39">
        <f t="shared" si="9"/>
        <v>3.3529411764705883</v>
      </c>
    </row>
    <row r="31" spans="1:11" x14ac:dyDescent="0.25">
      <c r="A31" s="10"/>
      <c r="B31" s="19" t="s">
        <v>14</v>
      </c>
      <c r="C31" s="63">
        <f t="shared" si="10"/>
        <v>4.5999999999999996</v>
      </c>
      <c r="D31" s="63">
        <f t="shared" si="6"/>
        <v>4.4666666666666668</v>
      </c>
      <c r="E31" s="38">
        <f t="shared" si="11"/>
        <v>0.13333333333333286</v>
      </c>
      <c r="F31" s="35">
        <f t="shared" si="7"/>
        <v>20</v>
      </c>
      <c r="G31" s="35">
        <f t="shared" si="8"/>
        <v>15</v>
      </c>
      <c r="H31" s="116" t="s">
        <v>126</v>
      </c>
      <c r="I31" s="39">
        <f t="shared" si="9"/>
        <v>4.5333333333333332</v>
      </c>
    </row>
    <row r="32" spans="1:11" x14ac:dyDescent="0.25">
      <c r="A32" s="10"/>
      <c r="B32" s="19" t="s">
        <v>15</v>
      </c>
      <c r="C32" s="63">
        <f t="shared" si="10"/>
        <v>4</v>
      </c>
      <c r="D32" s="63">
        <f t="shared" si="6"/>
        <v>3.5333333333333332</v>
      </c>
      <c r="E32" s="38">
        <f t="shared" si="11"/>
        <v>0.46666666666666679</v>
      </c>
      <c r="F32" s="35">
        <f t="shared" si="7"/>
        <v>2</v>
      </c>
      <c r="G32" s="35">
        <f t="shared" si="8"/>
        <v>15</v>
      </c>
      <c r="H32" s="116" t="s">
        <v>125</v>
      </c>
      <c r="I32" s="39">
        <f t="shared" si="9"/>
        <v>3.5882352941176472</v>
      </c>
    </row>
    <row r="33" spans="1:11" x14ac:dyDescent="0.25">
      <c r="A33" s="10"/>
      <c r="B33" s="19" t="s">
        <v>16</v>
      </c>
      <c r="C33" s="63">
        <f t="shared" si="10"/>
        <v>5</v>
      </c>
      <c r="D33" s="63">
        <f t="shared" si="6"/>
        <v>4</v>
      </c>
      <c r="E33" s="38">
        <f t="shared" si="11"/>
        <v>1</v>
      </c>
      <c r="F33" s="35">
        <f t="shared" si="7"/>
        <v>5</v>
      </c>
      <c r="G33" s="35">
        <f t="shared" si="8"/>
        <v>15</v>
      </c>
      <c r="H33" s="116" t="s">
        <v>126</v>
      </c>
      <c r="I33" s="39">
        <f t="shared" si="9"/>
        <v>4.5</v>
      </c>
    </row>
    <row r="34" spans="1:11" ht="15.75" thickBot="1" x14ac:dyDescent="0.3">
      <c r="A34" s="10"/>
      <c r="B34" s="20" t="s">
        <v>17</v>
      </c>
      <c r="C34" s="63">
        <f t="shared" si="10"/>
        <v>4.5714285714285712</v>
      </c>
      <c r="D34" s="64">
        <f t="shared" si="6"/>
        <v>4.5333333333333332</v>
      </c>
      <c r="E34" s="41">
        <f t="shared" si="11"/>
        <v>3.809523809523796E-2</v>
      </c>
      <c r="F34" s="36">
        <f t="shared" si="7"/>
        <v>14</v>
      </c>
      <c r="G34" s="36">
        <f t="shared" si="8"/>
        <v>15</v>
      </c>
      <c r="H34" s="117" t="s">
        <v>126</v>
      </c>
      <c r="I34" s="42">
        <f t="shared" si="9"/>
        <v>4.5523809523809522</v>
      </c>
    </row>
    <row r="35" spans="1:11" x14ac:dyDescent="0.25">
      <c r="A35" s="10"/>
      <c r="K35" s="52"/>
    </row>
    <row r="36" spans="1:11" ht="15.75" thickBot="1" x14ac:dyDescent="0.3">
      <c r="A36" s="10"/>
      <c r="B36" s="46" t="s">
        <v>985</v>
      </c>
      <c r="K36" s="52"/>
    </row>
    <row r="37" spans="1:11" ht="45" x14ac:dyDescent="0.25">
      <c r="A37" s="10"/>
      <c r="B37" s="25" t="s">
        <v>6</v>
      </c>
      <c r="C37" s="33" t="s">
        <v>172</v>
      </c>
      <c r="D37" s="33" t="s">
        <v>175</v>
      </c>
      <c r="E37" s="34" t="s">
        <v>180</v>
      </c>
      <c r="F37" s="611"/>
      <c r="G37" s="612"/>
      <c r="H37" s="612"/>
      <c r="I37" s="613"/>
      <c r="K37" s="52"/>
    </row>
    <row r="38" spans="1:11" x14ac:dyDescent="0.25">
      <c r="A38" s="10"/>
      <c r="B38" s="19" t="s">
        <v>7</v>
      </c>
      <c r="C38" s="241">
        <f t="shared" ref="C38:C49" si="12">I8</f>
        <v>2.85</v>
      </c>
      <c r="D38" s="241">
        <f t="shared" ref="D38:D49" si="13">I23</f>
        <v>3.7333333333333334</v>
      </c>
      <c r="E38" s="43">
        <f>IF(AND(C38="NA",D38="NA"),"NA",AVERAGE(C38,D38))</f>
        <v>3.291666666666667</v>
      </c>
      <c r="F38" s="614"/>
      <c r="G38" s="615"/>
      <c r="H38" s="615"/>
      <c r="I38" s="616"/>
      <c r="K38" s="52"/>
    </row>
    <row r="39" spans="1:11" x14ac:dyDescent="0.25">
      <c r="A39" s="10"/>
      <c r="B39" s="19" t="s">
        <v>34</v>
      </c>
      <c r="C39" s="241" t="str">
        <f t="shared" si="12"/>
        <v>NA</v>
      </c>
      <c r="D39" s="241" t="str">
        <f t="shared" si="13"/>
        <v>NA</v>
      </c>
      <c r="E39" s="43" t="str">
        <f t="shared" ref="E39:E49" si="14">IF(AND(C39="NA",D39="NA"),"NA",AVERAGE(C39,D39))</f>
        <v>NA</v>
      </c>
      <c r="F39" s="614"/>
      <c r="G39" s="615"/>
      <c r="H39" s="615"/>
      <c r="I39" s="616"/>
      <c r="K39" s="52"/>
    </row>
    <row r="40" spans="1:11" x14ac:dyDescent="0.25">
      <c r="A40" s="10"/>
      <c r="B40" s="19" t="s">
        <v>8</v>
      </c>
      <c r="C40" s="241">
        <f t="shared" si="12"/>
        <v>3.3125</v>
      </c>
      <c r="D40" s="241">
        <f t="shared" si="13"/>
        <v>3.375</v>
      </c>
      <c r="E40" s="43">
        <f t="shared" si="14"/>
        <v>3.34375</v>
      </c>
      <c r="F40" s="614"/>
      <c r="G40" s="615"/>
      <c r="H40" s="615"/>
      <c r="I40" s="616"/>
      <c r="K40" s="52"/>
    </row>
    <row r="41" spans="1:11" x14ac:dyDescent="0.25">
      <c r="A41" s="10"/>
      <c r="B41" s="19" t="s">
        <v>9</v>
      </c>
      <c r="C41" s="241">
        <f t="shared" si="12"/>
        <v>3.088888888888889</v>
      </c>
      <c r="D41" s="241">
        <f t="shared" si="13"/>
        <v>3.1111111111111112</v>
      </c>
      <c r="E41" s="43">
        <f t="shared" si="14"/>
        <v>3.1</v>
      </c>
      <c r="F41" s="614"/>
      <c r="G41" s="615"/>
      <c r="H41" s="615"/>
      <c r="I41" s="616"/>
      <c r="K41" s="52"/>
    </row>
    <row r="42" spans="1:11" x14ac:dyDescent="0.25">
      <c r="A42" s="10"/>
      <c r="B42" s="19" t="s">
        <v>10</v>
      </c>
      <c r="C42" s="241">
        <f t="shared" si="12"/>
        <v>3.0625</v>
      </c>
      <c r="D42" s="241">
        <f t="shared" si="13"/>
        <v>3.0625</v>
      </c>
      <c r="E42" s="43">
        <f t="shared" si="14"/>
        <v>3.0625</v>
      </c>
      <c r="F42" s="614"/>
      <c r="G42" s="615"/>
      <c r="H42" s="615"/>
      <c r="I42" s="616"/>
      <c r="K42" s="52"/>
    </row>
    <row r="43" spans="1:11" x14ac:dyDescent="0.25">
      <c r="A43" s="10"/>
      <c r="B43" s="19" t="s">
        <v>11</v>
      </c>
      <c r="C43" s="241">
        <f t="shared" si="12"/>
        <v>3.0666666666666664</v>
      </c>
      <c r="D43" s="241">
        <f t="shared" si="13"/>
        <v>3.7</v>
      </c>
      <c r="E43" s="43">
        <f t="shared" si="14"/>
        <v>3.3833333333333333</v>
      </c>
      <c r="F43" s="614"/>
      <c r="G43" s="615"/>
      <c r="H43" s="615"/>
      <c r="I43" s="616"/>
      <c r="K43" s="52"/>
    </row>
    <row r="44" spans="1:11" x14ac:dyDescent="0.25">
      <c r="A44" s="10"/>
      <c r="B44" s="19" t="s">
        <v>12</v>
      </c>
      <c r="C44" s="241">
        <f t="shared" si="12"/>
        <v>4.0875000000000004</v>
      </c>
      <c r="D44" s="241">
        <f t="shared" si="13"/>
        <v>4.0541666666666671</v>
      </c>
      <c r="E44" s="43">
        <f t="shared" si="14"/>
        <v>4.0708333333333337</v>
      </c>
      <c r="F44" s="614"/>
      <c r="G44" s="615"/>
      <c r="H44" s="615"/>
      <c r="I44" s="616"/>
      <c r="K44" s="52"/>
    </row>
    <row r="45" spans="1:11" x14ac:dyDescent="0.25">
      <c r="A45" s="10"/>
      <c r="B45" s="19" t="s">
        <v>13</v>
      </c>
      <c r="C45" s="241">
        <f t="shared" si="12"/>
        <v>2.9411764705882355</v>
      </c>
      <c r="D45" s="241">
        <f t="shared" si="13"/>
        <v>3.3529411764705883</v>
      </c>
      <c r="E45" s="43">
        <f t="shared" si="14"/>
        <v>3.1470588235294121</v>
      </c>
      <c r="F45" s="614"/>
      <c r="G45" s="615"/>
      <c r="H45" s="615"/>
      <c r="I45" s="616"/>
      <c r="K45" s="52"/>
    </row>
    <row r="46" spans="1:11" x14ac:dyDescent="0.25">
      <c r="A46" s="10"/>
      <c r="B46" s="19" t="s">
        <v>14</v>
      </c>
      <c r="C46" s="241">
        <f t="shared" si="12"/>
        <v>4.291666666666667</v>
      </c>
      <c r="D46" s="241">
        <f t="shared" si="13"/>
        <v>4.5333333333333332</v>
      </c>
      <c r="E46" s="43">
        <f t="shared" si="14"/>
        <v>4.4124999999999996</v>
      </c>
      <c r="F46" s="614"/>
      <c r="G46" s="615"/>
      <c r="H46" s="615"/>
      <c r="I46" s="616"/>
      <c r="K46" s="52"/>
    </row>
    <row r="47" spans="1:11" x14ac:dyDescent="0.25">
      <c r="A47" s="10"/>
      <c r="B47" s="19" t="s">
        <v>15</v>
      </c>
      <c r="C47" s="241">
        <f t="shared" si="12"/>
        <v>3.2941176470588234</v>
      </c>
      <c r="D47" s="241">
        <f t="shared" si="13"/>
        <v>3.5882352941176472</v>
      </c>
      <c r="E47" s="43">
        <f t="shared" si="14"/>
        <v>3.4411764705882355</v>
      </c>
      <c r="F47" s="614"/>
      <c r="G47" s="615"/>
      <c r="H47" s="615"/>
      <c r="I47" s="616"/>
      <c r="K47" s="52"/>
    </row>
    <row r="48" spans="1:11" x14ac:dyDescent="0.25">
      <c r="A48" s="10"/>
      <c r="B48" s="19" t="s">
        <v>16</v>
      </c>
      <c r="C48" s="241">
        <f t="shared" si="12"/>
        <v>4.0333333333333332</v>
      </c>
      <c r="D48" s="241">
        <f t="shared" si="13"/>
        <v>4.5</v>
      </c>
      <c r="E48" s="43">
        <f t="shared" si="14"/>
        <v>4.2666666666666666</v>
      </c>
      <c r="F48" s="614"/>
      <c r="G48" s="615"/>
      <c r="H48" s="615"/>
      <c r="I48" s="616"/>
      <c r="K48" s="52"/>
    </row>
    <row r="49" spans="1:11" ht="15.75" thickBot="1" x14ac:dyDescent="0.3">
      <c r="A49" s="10"/>
      <c r="B49" s="20" t="s">
        <v>17</v>
      </c>
      <c r="C49" s="242">
        <f t="shared" si="12"/>
        <v>4.7285714285714278</v>
      </c>
      <c r="D49" s="242">
        <f t="shared" si="13"/>
        <v>4.5523809523809522</v>
      </c>
      <c r="E49" s="44">
        <f t="shared" si="14"/>
        <v>4.64047619047619</v>
      </c>
      <c r="F49" s="617"/>
      <c r="G49" s="618"/>
      <c r="H49" s="618"/>
      <c r="I49" s="619"/>
      <c r="K49" s="52"/>
    </row>
    <row r="50" spans="1:11" x14ac:dyDescent="0.25">
      <c r="A50" s="10"/>
      <c r="K50" s="52"/>
    </row>
    <row r="51" spans="1:11" ht="15.75" thickBot="1" x14ac:dyDescent="0.3">
      <c r="A51" s="10"/>
      <c r="B51" s="46" t="s">
        <v>986</v>
      </c>
    </row>
    <row r="52" spans="1:11" ht="60" x14ac:dyDescent="0.25">
      <c r="A52" s="10"/>
      <c r="B52" s="25" t="s">
        <v>6</v>
      </c>
      <c r="C52" s="298" t="s">
        <v>176</v>
      </c>
      <c r="D52" s="413" t="s">
        <v>177</v>
      </c>
      <c r="E52" s="413" t="s">
        <v>811</v>
      </c>
      <c r="F52" s="413" t="s">
        <v>182</v>
      </c>
      <c r="G52" s="413" t="s">
        <v>183</v>
      </c>
      <c r="H52" s="413" t="s">
        <v>128</v>
      </c>
      <c r="I52" s="297" t="s">
        <v>178</v>
      </c>
      <c r="K52" s="52"/>
    </row>
    <row r="53" spans="1:11" x14ac:dyDescent="0.25">
      <c r="A53" s="10"/>
      <c r="B53" s="19" t="s">
        <v>7</v>
      </c>
      <c r="C53" s="63">
        <f>IFERROR(AVERAGEIFS($G$127:$G$246,$C$127:$C$246,"="&amp;B53), "NA")</f>
        <v>2.8333333333333335</v>
      </c>
      <c r="D53" s="63">
        <f t="shared" ref="D53:D64" si="15">IFERROR(AVERAGEIFS($G$255:$G$478,$C$255:$C$478,"="&amp;B53), "NA")</f>
        <v>3.0714285714285716</v>
      </c>
      <c r="E53" s="38">
        <f>IFERROR(ABS(D53-C53), "NA")</f>
        <v>0.23809523809523814</v>
      </c>
      <c r="F53" s="35">
        <f t="shared" ref="F53:F64" si="16">COUNTIFS($C$127:$C$250, "="&amp;B53,$G$127:$G$250,"&gt;=0")</f>
        <v>6</v>
      </c>
      <c r="G53" s="35">
        <f t="shared" ref="G53:G64" si="17">COUNTIFS($G$255:$G$478, "&gt;=0", $C$255:$C$478, "="&amp;B53)</f>
        <v>14</v>
      </c>
      <c r="H53" s="116" t="s">
        <v>126</v>
      </c>
      <c r="I53" s="39">
        <f t="shared" ref="I53:I64" si="18">IF(AND(ISNUMBER(C53),ISNUMBER(D53)),IF(H53="Average All",((F53*C53)+(G53*D53))/(F53+G53),AVERAGE(C53:D53)), IF(AND(C53="NA", ISNUMBER(D53)), D53, "NA"))</f>
        <v>2.9523809523809526</v>
      </c>
    </row>
    <row r="54" spans="1:11" x14ac:dyDescent="0.25">
      <c r="A54" s="10"/>
      <c r="B54" s="19" t="s">
        <v>34</v>
      </c>
      <c r="C54" s="63" t="str">
        <f t="shared" ref="C54:C64" si="19">IFERROR(AVERAGEIFS($G$127:$G$246,$C$127:$C$246,"="&amp;B54), "NA")</f>
        <v>NA</v>
      </c>
      <c r="D54" s="63" t="str">
        <f t="shared" si="15"/>
        <v>NA</v>
      </c>
      <c r="E54" s="38" t="str">
        <f t="shared" ref="E54:E64" si="20">IFERROR(ABS(D54-C54), "NA")</f>
        <v>NA</v>
      </c>
      <c r="F54" s="35">
        <f t="shared" si="16"/>
        <v>0</v>
      </c>
      <c r="G54" s="35">
        <f t="shared" si="17"/>
        <v>0</v>
      </c>
      <c r="H54" s="116" t="s">
        <v>125</v>
      </c>
      <c r="I54" s="39" t="str">
        <f t="shared" si="18"/>
        <v>NA</v>
      </c>
      <c r="K54" s="52"/>
    </row>
    <row r="55" spans="1:11" x14ac:dyDescent="0.25">
      <c r="A55" s="10"/>
      <c r="B55" s="19" t="s">
        <v>8</v>
      </c>
      <c r="C55" s="63">
        <f t="shared" si="19"/>
        <v>3</v>
      </c>
      <c r="D55" s="63">
        <f t="shared" si="15"/>
        <v>3</v>
      </c>
      <c r="E55" s="38">
        <f t="shared" si="20"/>
        <v>0</v>
      </c>
      <c r="F55" s="35">
        <f t="shared" si="16"/>
        <v>1</v>
      </c>
      <c r="G55" s="35">
        <f t="shared" si="17"/>
        <v>15</v>
      </c>
      <c r="H55" s="116" t="s">
        <v>125</v>
      </c>
      <c r="I55" s="39">
        <f t="shared" si="18"/>
        <v>3</v>
      </c>
      <c r="K55" s="52"/>
    </row>
    <row r="56" spans="1:11" x14ac:dyDescent="0.25">
      <c r="A56" s="10"/>
      <c r="B56" s="19" t="s">
        <v>9</v>
      </c>
      <c r="C56" s="63">
        <f t="shared" si="19"/>
        <v>2.8888888888888888</v>
      </c>
      <c r="D56" s="63">
        <f t="shared" si="15"/>
        <v>2.8666666666666667</v>
      </c>
      <c r="E56" s="38">
        <f t="shared" si="20"/>
        <v>2.2222222222222143E-2</v>
      </c>
      <c r="F56" s="35">
        <f t="shared" si="16"/>
        <v>9</v>
      </c>
      <c r="G56" s="35">
        <f t="shared" si="17"/>
        <v>15</v>
      </c>
      <c r="H56" s="116" t="s">
        <v>126</v>
      </c>
      <c r="I56" s="39">
        <f t="shared" si="18"/>
        <v>2.8777777777777778</v>
      </c>
      <c r="K56" s="52"/>
    </row>
    <row r="57" spans="1:11" x14ac:dyDescent="0.25">
      <c r="A57" s="10"/>
      <c r="B57" s="19" t="s">
        <v>10</v>
      </c>
      <c r="C57" s="63">
        <f t="shared" si="19"/>
        <v>3</v>
      </c>
      <c r="D57" s="63">
        <f t="shared" si="15"/>
        <v>2.9333333333333331</v>
      </c>
      <c r="E57" s="38">
        <f t="shared" si="20"/>
        <v>6.6666666666666874E-2</v>
      </c>
      <c r="F57" s="35">
        <f t="shared" si="16"/>
        <v>1</v>
      </c>
      <c r="G57" s="35">
        <f t="shared" si="17"/>
        <v>15</v>
      </c>
      <c r="H57" s="116" t="s">
        <v>125</v>
      </c>
      <c r="I57" s="39">
        <f t="shared" si="18"/>
        <v>2.9375</v>
      </c>
      <c r="K57" s="52"/>
    </row>
    <row r="58" spans="1:11" x14ac:dyDescent="0.25">
      <c r="A58" s="10"/>
      <c r="B58" s="19" t="s">
        <v>11</v>
      </c>
      <c r="C58" s="63">
        <f t="shared" si="19"/>
        <v>3.1</v>
      </c>
      <c r="D58" s="63">
        <f t="shared" si="15"/>
        <v>3</v>
      </c>
      <c r="E58" s="38">
        <f t="shared" si="20"/>
        <v>0.10000000000000009</v>
      </c>
      <c r="F58" s="35">
        <f t="shared" si="16"/>
        <v>10</v>
      </c>
      <c r="G58" s="35">
        <f t="shared" si="17"/>
        <v>15</v>
      </c>
      <c r="H58" s="116" t="s">
        <v>126</v>
      </c>
      <c r="I58" s="39">
        <f t="shared" si="18"/>
        <v>3.05</v>
      </c>
    </row>
    <row r="59" spans="1:11" x14ac:dyDescent="0.25">
      <c r="A59" s="10"/>
      <c r="B59" s="19" t="s">
        <v>12</v>
      </c>
      <c r="C59" s="63">
        <f t="shared" si="19"/>
        <v>4.125</v>
      </c>
      <c r="D59" s="63">
        <f t="shared" si="15"/>
        <v>3.4666666666666668</v>
      </c>
      <c r="E59" s="38">
        <f t="shared" si="20"/>
        <v>0.65833333333333321</v>
      </c>
      <c r="F59" s="35">
        <f t="shared" si="16"/>
        <v>16</v>
      </c>
      <c r="G59" s="35">
        <f t="shared" si="17"/>
        <v>15</v>
      </c>
      <c r="H59" s="116" t="s">
        <v>126</v>
      </c>
      <c r="I59" s="39">
        <f t="shared" si="18"/>
        <v>3.7958333333333334</v>
      </c>
    </row>
    <row r="60" spans="1:11" x14ac:dyDescent="0.25">
      <c r="A60" s="10"/>
      <c r="B60" s="19" t="s">
        <v>13</v>
      </c>
      <c r="C60" s="63">
        <f t="shared" si="19"/>
        <v>3</v>
      </c>
      <c r="D60" s="63">
        <f t="shared" si="15"/>
        <v>2.7333333333333334</v>
      </c>
      <c r="E60" s="38">
        <f t="shared" si="20"/>
        <v>0.26666666666666661</v>
      </c>
      <c r="F60" s="35">
        <f t="shared" si="16"/>
        <v>2</v>
      </c>
      <c r="G60" s="35">
        <f t="shared" si="17"/>
        <v>15</v>
      </c>
      <c r="H60" s="116" t="s">
        <v>125</v>
      </c>
      <c r="I60" s="39">
        <f t="shared" si="18"/>
        <v>2.7647058823529411</v>
      </c>
    </row>
    <row r="61" spans="1:11" x14ac:dyDescent="0.25">
      <c r="A61" s="10"/>
      <c r="B61" s="19" t="s">
        <v>14</v>
      </c>
      <c r="C61" s="63">
        <f t="shared" si="19"/>
        <v>4.3157894736842106</v>
      </c>
      <c r="D61" s="63">
        <f t="shared" si="15"/>
        <v>3.5</v>
      </c>
      <c r="E61" s="38">
        <f t="shared" si="20"/>
        <v>0.81578947368421062</v>
      </c>
      <c r="F61" s="35">
        <f t="shared" si="16"/>
        <v>19</v>
      </c>
      <c r="G61" s="35">
        <f t="shared" si="17"/>
        <v>14</v>
      </c>
      <c r="H61" s="116" t="s">
        <v>126</v>
      </c>
      <c r="I61" s="39">
        <f t="shared" si="18"/>
        <v>3.9078947368421053</v>
      </c>
    </row>
    <row r="62" spans="1:11" x14ac:dyDescent="0.25">
      <c r="A62" s="10"/>
      <c r="B62" s="19" t="s">
        <v>15</v>
      </c>
      <c r="C62" s="63">
        <f t="shared" si="19"/>
        <v>2.5</v>
      </c>
      <c r="D62" s="63">
        <f t="shared" si="15"/>
        <v>3.1333333333333333</v>
      </c>
      <c r="E62" s="38">
        <f t="shared" si="20"/>
        <v>0.6333333333333333</v>
      </c>
      <c r="F62" s="35">
        <f t="shared" si="16"/>
        <v>2</v>
      </c>
      <c r="G62" s="35">
        <f t="shared" si="17"/>
        <v>15</v>
      </c>
      <c r="H62" s="116" t="s">
        <v>125</v>
      </c>
      <c r="I62" s="39">
        <f t="shared" si="18"/>
        <v>3.0588235294117645</v>
      </c>
    </row>
    <row r="63" spans="1:11" x14ac:dyDescent="0.25">
      <c r="A63" s="10"/>
      <c r="B63" s="19" t="s">
        <v>16</v>
      </c>
      <c r="C63" s="63">
        <f t="shared" si="19"/>
        <v>4</v>
      </c>
      <c r="D63" s="63">
        <f t="shared" si="15"/>
        <v>3.0666666666666669</v>
      </c>
      <c r="E63" s="38">
        <f t="shared" si="20"/>
        <v>0.93333333333333313</v>
      </c>
      <c r="F63" s="35">
        <f t="shared" si="16"/>
        <v>5</v>
      </c>
      <c r="G63" s="35">
        <f t="shared" si="17"/>
        <v>15</v>
      </c>
      <c r="H63" s="116" t="s">
        <v>126</v>
      </c>
      <c r="I63" s="39">
        <f t="shared" si="18"/>
        <v>3.5333333333333332</v>
      </c>
    </row>
    <row r="64" spans="1:11" ht="15.75" thickBot="1" x14ac:dyDescent="0.3">
      <c r="A64" s="10"/>
      <c r="B64" s="20" t="s">
        <v>17</v>
      </c>
      <c r="C64" s="64">
        <f t="shared" si="19"/>
        <v>4.5</v>
      </c>
      <c r="D64" s="64">
        <f t="shared" si="15"/>
        <v>4.4000000000000004</v>
      </c>
      <c r="E64" s="41">
        <f t="shared" si="20"/>
        <v>9.9999999999999645E-2</v>
      </c>
      <c r="F64" s="36">
        <f t="shared" si="16"/>
        <v>14</v>
      </c>
      <c r="G64" s="36">
        <f t="shared" si="17"/>
        <v>15</v>
      </c>
      <c r="H64" s="117" t="s">
        <v>126</v>
      </c>
      <c r="I64" s="42">
        <f t="shared" si="18"/>
        <v>4.45</v>
      </c>
    </row>
    <row r="65" spans="1:5" x14ac:dyDescent="0.25">
      <c r="A65" s="10"/>
      <c r="E65" s="6"/>
    </row>
    <row r="66" spans="1:5" ht="15.75" thickBot="1" x14ac:dyDescent="0.3">
      <c r="A66" s="10"/>
      <c r="B66" s="46" t="s">
        <v>987</v>
      </c>
      <c r="E66" s="6"/>
    </row>
    <row r="67" spans="1:5" ht="45" x14ac:dyDescent="0.25">
      <c r="A67" s="10"/>
      <c r="B67" s="25" t="s">
        <v>6</v>
      </c>
      <c r="C67" s="468" t="s">
        <v>895</v>
      </c>
      <c r="D67" s="468" t="s">
        <v>896</v>
      </c>
      <c r="E67" s="468" t="s">
        <v>897</v>
      </c>
    </row>
    <row r="68" spans="1:5" x14ac:dyDescent="0.25">
      <c r="A68" s="10"/>
      <c r="B68" s="19" t="s">
        <v>7</v>
      </c>
      <c r="C68" s="591">
        <v>13358.48211917027</v>
      </c>
      <c r="D68" s="592">
        <f>C68/164100</f>
        <v>8.1404522359355705E-2</v>
      </c>
      <c r="E68" s="595">
        <f t="shared" ref="E68:E79" si="21">3+2*(D68/MAX($D$68:$D$79))</f>
        <v>5</v>
      </c>
    </row>
    <row r="69" spans="1:5" x14ac:dyDescent="0.25">
      <c r="A69" s="10"/>
      <c r="B69" s="19" t="s">
        <v>34</v>
      </c>
      <c r="C69" s="591">
        <v>2910.4898632039499</v>
      </c>
      <c r="D69" s="592">
        <f t="shared" ref="D69:D79" si="22">C69/164100</f>
        <v>1.7736074730066727E-2</v>
      </c>
      <c r="E69" s="595">
        <f t="shared" si="21"/>
        <v>3.4357515827381633</v>
      </c>
    </row>
    <row r="70" spans="1:5" x14ac:dyDescent="0.25">
      <c r="A70" s="10"/>
      <c r="B70" s="19" t="s">
        <v>8</v>
      </c>
      <c r="C70" s="591">
        <v>46.768345941975397</v>
      </c>
      <c r="D70" s="592">
        <f t="shared" si="22"/>
        <v>2.8499906119424376E-4</v>
      </c>
      <c r="E70" s="595">
        <f t="shared" si="21"/>
        <v>3.0070020449216845</v>
      </c>
    </row>
    <row r="71" spans="1:5" x14ac:dyDescent="0.25">
      <c r="A71" s="10"/>
      <c r="B71" s="19" t="s">
        <v>9</v>
      </c>
      <c r="C71" s="591">
        <v>129.15843695018467</v>
      </c>
      <c r="D71" s="592">
        <f t="shared" si="22"/>
        <v>7.8707152315773716E-4</v>
      </c>
      <c r="E71" s="595">
        <f t="shared" si="21"/>
        <v>3.0193372923357562</v>
      </c>
    </row>
    <row r="72" spans="1:5" x14ac:dyDescent="0.25">
      <c r="A72" s="10"/>
      <c r="B72" s="19" t="s">
        <v>10</v>
      </c>
      <c r="C72" s="591">
        <v>-3.3154168190639908</v>
      </c>
      <c r="D72" s="592">
        <f t="shared" si="22"/>
        <v>-2.0203636922998117E-5</v>
      </c>
      <c r="E72" s="595">
        <f t="shared" si="21"/>
        <v>2.9995036237216941</v>
      </c>
    </row>
    <row r="73" spans="1:5" x14ac:dyDescent="0.25">
      <c r="A73" s="10"/>
      <c r="B73" s="19" t="s">
        <v>11</v>
      </c>
      <c r="C73" s="591">
        <v>6833.3228306351848</v>
      </c>
      <c r="D73" s="592">
        <f t="shared" si="22"/>
        <v>4.1641211643115079E-2</v>
      </c>
      <c r="E73" s="595">
        <f t="shared" si="21"/>
        <v>4.0230687543203629</v>
      </c>
    </row>
    <row r="74" spans="1:5" x14ac:dyDescent="0.25">
      <c r="A74" s="10"/>
      <c r="B74" s="19" t="s">
        <v>12</v>
      </c>
      <c r="C74" s="591">
        <v>85.362488588275809</v>
      </c>
      <c r="D74" s="592">
        <f t="shared" si="22"/>
        <v>5.2018579273781728E-4</v>
      </c>
      <c r="E74" s="595">
        <f t="shared" si="21"/>
        <v>3.0127802676721442</v>
      </c>
    </row>
    <row r="75" spans="1:5" x14ac:dyDescent="0.25">
      <c r="A75" s="10"/>
      <c r="B75" s="19" t="s">
        <v>13</v>
      </c>
      <c r="C75" s="591">
        <v>17.29992623770277</v>
      </c>
      <c r="D75" s="592">
        <f t="shared" si="22"/>
        <v>1.0542307274651293E-4</v>
      </c>
      <c r="E75" s="595">
        <f t="shared" si="21"/>
        <v>3.0025901035886218</v>
      </c>
    </row>
    <row r="76" spans="1:5" x14ac:dyDescent="0.25">
      <c r="A76" s="10"/>
      <c r="B76" s="19" t="s">
        <v>14</v>
      </c>
      <c r="C76" s="591">
        <v>6</v>
      </c>
      <c r="D76" s="592">
        <f t="shared" si="22"/>
        <v>3.6563071297989033E-5</v>
      </c>
      <c r="E76" s="595">
        <f t="shared" si="21"/>
        <v>3.0008983056527643</v>
      </c>
    </row>
    <row r="77" spans="1:5" x14ac:dyDescent="0.25">
      <c r="A77" s="10"/>
      <c r="B77" s="19" t="s">
        <v>15</v>
      </c>
      <c r="C77" s="591">
        <v>12.669220664030227</v>
      </c>
      <c r="D77" s="592">
        <f t="shared" si="22"/>
        <v>7.7204269738148851E-5</v>
      </c>
      <c r="E77" s="595">
        <f t="shared" si="21"/>
        <v>3.0018968054231023</v>
      </c>
    </row>
    <row r="78" spans="1:5" x14ac:dyDescent="0.25">
      <c r="A78" s="10"/>
      <c r="B78" s="19" t="s">
        <v>16</v>
      </c>
      <c r="C78" s="591">
        <v>17.064460923279292</v>
      </c>
      <c r="D78" s="592">
        <f t="shared" si="22"/>
        <v>1.0398818356660141E-4</v>
      </c>
      <c r="E78" s="595">
        <f t="shared" si="21"/>
        <v>3.0025548502847927</v>
      </c>
    </row>
    <row r="79" spans="1:5" ht="15.75" thickBot="1" x14ac:dyDescent="0.3">
      <c r="A79" s="10"/>
      <c r="B79" s="20" t="s">
        <v>17</v>
      </c>
      <c r="C79" s="593">
        <v>-3463.9226748270839</v>
      </c>
      <c r="D79" s="594">
        <f t="shared" si="22"/>
        <v>-2.1108608621737256E-2</v>
      </c>
      <c r="E79" s="596">
        <f t="shared" si="21"/>
        <v>2.4813897800774631</v>
      </c>
    </row>
    <row r="80" spans="1:5" x14ac:dyDescent="0.25">
      <c r="A80" s="10"/>
      <c r="E80" s="6"/>
    </row>
    <row r="81" spans="1:9" ht="15.75" thickBot="1" x14ac:dyDescent="0.3">
      <c r="A81" s="10"/>
      <c r="B81" s="46" t="s">
        <v>988</v>
      </c>
      <c r="E81" s="6"/>
    </row>
    <row r="82" spans="1:9" ht="60" x14ac:dyDescent="0.25">
      <c r="A82" s="10"/>
      <c r="B82" s="25" t="s">
        <v>6</v>
      </c>
      <c r="C82" s="413" t="s">
        <v>178</v>
      </c>
      <c r="D82" s="413" t="s">
        <v>897</v>
      </c>
      <c r="E82" s="297" t="s">
        <v>179</v>
      </c>
      <c r="F82" s="611"/>
      <c r="G82" s="612"/>
      <c r="H82" s="612"/>
      <c r="I82" s="613"/>
    </row>
    <row r="83" spans="1:9" x14ac:dyDescent="0.25">
      <c r="A83" s="10"/>
      <c r="B83" s="19" t="s">
        <v>7</v>
      </c>
      <c r="C83" s="38">
        <f t="shared" ref="C83:C94" si="23">I53</f>
        <v>2.9523809523809526</v>
      </c>
      <c r="D83" s="38">
        <f t="shared" ref="D83:D94" si="24">E68</f>
        <v>5</v>
      </c>
      <c r="E83" s="98">
        <f t="shared" ref="E83:E94" si="25">IF(D53="NA","NA", AVERAGE(C83:D83))</f>
        <v>3.9761904761904763</v>
      </c>
      <c r="F83" s="614"/>
      <c r="G83" s="615"/>
      <c r="H83" s="615"/>
      <c r="I83" s="616"/>
    </row>
    <row r="84" spans="1:9" x14ac:dyDescent="0.25">
      <c r="A84" s="10"/>
      <c r="B84" s="19" t="s">
        <v>34</v>
      </c>
      <c r="C84" s="38" t="str">
        <f t="shared" si="23"/>
        <v>NA</v>
      </c>
      <c r="D84" s="38">
        <f t="shared" si="24"/>
        <v>3.4357515827381633</v>
      </c>
      <c r="E84" s="98" t="str">
        <f t="shared" si="25"/>
        <v>NA</v>
      </c>
      <c r="F84" s="614"/>
      <c r="G84" s="615"/>
      <c r="H84" s="615"/>
      <c r="I84" s="616"/>
    </row>
    <row r="85" spans="1:9" x14ac:dyDescent="0.25">
      <c r="A85" s="10"/>
      <c r="B85" s="19" t="s">
        <v>8</v>
      </c>
      <c r="C85" s="38">
        <f t="shared" si="23"/>
        <v>3</v>
      </c>
      <c r="D85" s="38">
        <f t="shared" si="24"/>
        <v>3.0070020449216845</v>
      </c>
      <c r="E85" s="98">
        <f t="shared" si="25"/>
        <v>3.0035010224608421</v>
      </c>
      <c r="F85" s="614"/>
      <c r="G85" s="615"/>
      <c r="H85" s="615"/>
      <c r="I85" s="616"/>
    </row>
    <row r="86" spans="1:9" x14ac:dyDescent="0.25">
      <c r="A86" s="10"/>
      <c r="B86" s="19" t="s">
        <v>9</v>
      </c>
      <c r="C86" s="38">
        <f t="shared" si="23"/>
        <v>2.8777777777777778</v>
      </c>
      <c r="D86" s="38">
        <f t="shared" si="24"/>
        <v>3.0193372923357562</v>
      </c>
      <c r="E86" s="98">
        <f t="shared" si="25"/>
        <v>2.948557535056767</v>
      </c>
      <c r="F86" s="614"/>
      <c r="G86" s="615"/>
      <c r="H86" s="615"/>
      <c r="I86" s="616"/>
    </row>
    <row r="87" spans="1:9" x14ac:dyDescent="0.25">
      <c r="A87" s="10"/>
      <c r="B87" s="19" t="s">
        <v>10</v>
      </c>
      <c r="C87" s="38">
        <f t="shared" si="23"/>
        <v>2.9375</v>
      </c>
      <c r="D87" s="38">
        <f t="shared" si="24"/>
        <v>2.9995036237216941</v>
      </c>
      <c r="E87" s="98">
        <f t="shared" si="25"/>
        <v>2.9685018118608468</v>
      </c>
      <c r="F87" s="614"/>
      <c r="G87" s="615"/>
      <c r="H87" s="615"/>
      <c r="I87" s="616"/>
    </row>
    <row r="88" spans="1:9" x14ac:dyDescent="0.25">
      <c r="A88" s="10"/>
      <c r="B88" s="19" t="s">
        <v>11</v>
      </c>
      <c r="C88" s="38">
        <f t="shared" si="23"/>
        <v>3.05</v>
      </c>
      <c r="D88" s="38">
        <f t="shared" si="24"/>
        <v>4.0230687543203629</v>
      </c>
      <c r="E88" s="98">
        <f t="shared" si="25"/>
        <v>3.5365343771601814</v>
      </c>
      <c r="F88" s="614"/>
      <c r="G88" s="615"/>
      <c r="H88" s="615"/>
      <c r="I88" s="616"/>
    </row>
    <row r="89" spans="1:9" x14ac:dyDescent="0.25">
      <c r="A89" s="10"/>
      <c r="B89" s="19" t="s">
        <v>12</v>
      </c>
      <c r="C89" s="38">
        <f t="shared" si="23"/>
        <v>3.7958333333333334</v>
      </c>
      <c r="D89" s="38">
        <f t="shared" si="24"/>
        <v>3.0127802676721442</v>
      </c>
      <c r="E89" s="98">
        <f t="shared" si="25"/>
        <v>3.4043068005027388</v>
      </c>
      <c r="F89" s="614"/>
      <c r="G89" s="615"/>
      <c r="H89" s="615"/>
      <c r="I89" s="616"/>
    </row>
    <row r="90" spans="1:9" x14ac:dyDescent="0.25">
      <c r="A90" s="10"/>
      <c r="B90" s="19" t="s">
        <v>13</v>
      </c>
      <c r="C90" s="38">
        <f t="shared" si="23"/>
        <v>2.7647058823529411</v>
      </c>
      <c r="D90" s="38">
        <f t="shared" si="24"/>
        <v>3.0025901035886218</v>
      </c>
      <c r="E90" s="98">
        <f t="shared" si="25"/>
        <v>2.8836479929707814</v>
      </c>
      <c r="F90" s="614"/>
      <c r="G90" s="615"/>
      <c r="H90" s="615"/>
      <c r="I90" s="616"/>
    </row>
    <row r="91" spans="1:9" x14ac:dyDescent="0.25">
      <c r="A91" s="10"/>
      <c r="B91" s="19" t="s">
        <v>14</v>
      </c>
      <c r="C91" s="38">
        <f t="shared" si="23"/>
        <v>3.9078947368421053</v>
      </c>
      <c r="D91" s="38">
        <f t="shared" si="24"/>
        <v>3.0008983056527643</v>
      </c>
      <c r="E91" s="98">
        <f t="shared" si="25"/>
        <v>3.4543965212474346</v>
      </c>
      <c r="F91" s="614"/>
      <c r="G91" s="615"/>
      <c r="H91" s="615"/>
      <c r="I91" s="616"/>
    </row>
    <row r="92" spans="1:9" x14ac:dyDescent="0.25">
      <c r="A92" s="10"/>
      <c r="B92" s="19" t="s">
        <v>15</v>
      </c>
      <c r="C92" s="38">
        <f t="shared" si="23"/>
        <v>3.0588235294117645</v>
      </c>
      <c r="D92" s="38">
        <f t="shared" si="24"/>
        <v>3.0018968054231023</v>
      </c>
      <c r="E92" s="98">
        <f t="shared" si="25"/>
        <v>3.0303601674174336</v>
      </c>
      <c r="F92" s="614"/>
      <c r="G92" s="615"/>
      <c r="H92" s="615"/>
      <c r="I92" s="616"/>
    </row>
    <row r="93" spans="1:9" x14ac:dyDescent="0.25">
      <c r="A93" s="10"/>
      <c r="B93" s="19" t="s">
        <v>16</v>
      </c>
      <c r="C93" s="38">
        <f t="shared" si="23"/>
        <v>3.5333333333333332</v>
      </c>
      <c r="D93" s="38">
        <f t="shared" si="24"/>
        <v>3.0025548502847927</v>
      </c>
      <c r="E93" s="98">
        <f t="shared" si="25"/>
        <v>3.267944091809063</v>
      </c>
      <c r="F93" s="614"/>
      <c r="G93" s="615"/>
      <c r="H93" s="615"/>
      <c r="I93" s="616"/>
    </row>
    <row r="94" spans="1:9" ht="15.75" thickBot="1" x14ac:dyDescent="0.3">
      <c r="A94" s="10"/>
      <c r="B94" s="20" t="s">
        <v>17</v>
      </c>
      <c r="C94" s="41">
        <f t="shared" si="23"/>
        <v>4.45</v>
      </c>
      <c r="D94" s="41">
        <f t="shared" si="24"/>
        <v>2.4813897800774631</v>
      </c>
      <c r="E94" s="99">
        <f t="shared" si="25"/>
        <v>3.4656948900387317</v>
      </c>
      <c r="F94" s="617"/>
      <c r="G94" s="618"/>
      <c r="H94" s="618"/>
      <c r="I94" s="619"/>
    </row>
    <row r="95" spans="1:9" x14ac:dyDescent="0.25">
      <c r="A95" s="10"/>
      <c r="E95" s="6"/>
    </row>
    <row r="96" spans="1:9" ht="15.75" thickBot="1" x14ac:dyDescent="0.3">
      <c r="A96" s="10"/>
      <c r="B96" s="46" t="s">
        <v>989</v>
      </c>
      <c r="E96" s="6"/>
    </row>
    <row r="97" spans="1:9" ht="75" x14ac:dyDescent="0.25">
      <c r="A97" s="10"/>
      <c r="B97" s="25" t="s">
        <v>6</v>
      </c>
      <c r="C97" s="33" t="s">
        <v>180</v>
      </c>
      <c r="D97" s="33" t="s">
        <v>179</v>
      </c>
      <c r="E97" s="34" t="s">
        <v>181</v>
      </c>
      <c r="F97" s="611"/>
      <c r="G97" s="612"/>
      <c r="H97" s="612"/>
      <c r="I97" s="613"/>
    </row>
    <row r="98" spans="1:9" x14ac:dyDescent="0.25">
      <c r="A98" s="10"/>
      <c r="B98" s="19" t="s">
        <v>7</v>
      </c>
      <c r="C98" s="38">
        <f t="shared" ref="C98:C109" si="26">E38</f>
        <v>3.291666666666667</v>
      </c>
      <c r="D98" s="38">
        <f t="shared" ref="D98:D109" si="27">E83</f>
        <v>3.9761904761904763</v>
      </c>
      <c r="E98" s="98">
        <f t="shared" ref="E98:E109" si="28">IF(OR(C98="NA", D98="NA"), "NA",(C98+D98)/2)</f>
        <v>3.6339285714285716</v>
      </c>
      <c r="F98" s="614"/>
      <c r="G98" s="615"/>
      <c r="H98" s="615"/>
      <c r="I98" s="616"/>
    </row>
    <row r="99" spans="1:9" x14ac:dyDescent="0.25">
      <c r="A99" s="10"/>
      <c r="B99" s="19" t="s">
        <v>34</v>
      </c>
      <c r="C99" s="38" t="str">
        <f t="shared" si="26"/>
        <v>NA</v>
      </c>
      <c r="D99" s="38" t="str">
        <f t="shared" si="27"/>
        <v>NA</v>
      </c>
      <c r="E99" s="98" t="str">
        <f t="shared" si="28"/>
        <v>NA</v>
      </c>
      <c r="F99" s="614"/>
      <c r="G99" s="615"/>
      <c r="H99" s="615"/>
      <c r="I99" s="616"/>
    </row>
    <row r="100" spans="1:9" x14ac:dyDescent="0.25">
      <c r="A100" s="10"/>
      <c r="B100" s="19" t="s">
        <v>8</v>
      </c>
      <c r="C100" s="38">
        <f t="shared" si="26"/>
        <v>3.34375</v>
      </c>
      <c r="D100" s="38">
        <f t="shared" si="27"/>
        <v>3.0035010224608421</v>
      </c>
      <c r="E100" s="98">
        <f t="shared" si="28"/>
        <v>3.173625511230421</v>
      </c>
      <c r="F100" s="614"/>
      <c r="G100" s="615"/>
      <c r="H100" s="615"/>
      <c r="I100" s="616"/>
    </row>
    <row r="101" spans="1:9" x14ac:dyDescent="0.25">
      <c r="A101" s="10"/>
      <c r="B101" s="19" t="s">
        <v>9</v>
      </c>
      <c r="C101" s="38">
        <f t="shared" si="26"/>
        <v>3.1</v>
      </c>
      <c r="D101" s="38">
        <f t="shared" si="27"/>
        <v>2.948557535056767</v>
      </c>
      <c r="E101" s="98">
        <f t="shared" si="28"/>
        <v>3.0242787675283838</v>
      </c>
      <c r="F101" s="614"/>
      <c r="G101" s="615"/>
      <c r="H101" s="615"/>
      <c r="I101" s="616"/>
    </row>
    <row r="102" spans="1:9" x14ac:dyDescent="0.25">
      <c r="A102" s="14"/>
      <c r="B102" s="19" t="s">
        <v>10</v>
      </c>
      <c r="C102" s="38">
        <f t="shared" si="26"/>
        <v>3.0625</v>
      </c>
      <c r="D102" s="38">
        <f t="shared" si="27"/>
        <v>2.9685018118608468</v>
      </c>
      <c r="E102" s="98">
        <f t="shared" si="28"/>
        <v>3.0155009059304234</v>
      </c>
      <c r="F102" s="614"/>
      <c r="G102" s="615"/>
      <c r="H102" s="615"/>
      <c r="I102" s="616"/>
    </row>
    <row r="103" spans="1:9" x14ac:dyDescent="0.25">
      <c r="B103" s="19" t="s">
        <v>11</v>
      </c>
      <c r="C103" s="38">
        <f t="shared" si="26"/>
        <v>3.3833333333333333</v>
      </c>
      <c r="D103" s="38">
        <f t="shared" si="27"/>
        <v>3.5365343771601814</v>
      </c>
      <c r="E103" s="98">
        <f t="shared" si="28"/>
        <v>3.4599338552467573</v>
      </c>
      <c r="F103" s="614"/>
      <c r="G103" s="615"/>
      <c r="H103" s="615"/>
      <c r="I103" s="616"/>
    </row>
    <row r="104" spans="1:9" x14ac:dyDescent="0.25">
      <c r="B104" s="19" t="s">
        <v>12</v>
      </c>
      <c r="C104" s="38">
        <f t="shared" si="26"/>
        <v>4.0708333333333337</v>
      </c>
      <c r="D104" s="38">
        <f t="shared" si="27"/>
        <v>3.4043068005027388</v>
      </c>
      <c r="E104" s="98">
        <f t="shared" si="28"/>
        <v>3.7375700669180363</v>
      </c>
      <c r="F104" s="614"/>
      <c r="G104" s="615"/>
      <c r="H104" s="615"/>
      <c r="I104" s="616"/>
    </row>
    <row r="105" spans="1:9" x14ac:dyDescent="0.25">
      <c r="B105" s="19" t="s">
        <v>13</v>
      </c>
      <c r="C105" s="38">
        <f t="shared" si="26"/>
        <v>3.1470588235294121</v>
      </c>
      <c r="D105" s="38">
        <f t="shared" si="27"/>
        <v>2.8836479929707814</v>
      </c>
      <c r="E105" s="98">
        <f t="shared" si="28"/>
        <v>3.015353408250097</v>
      </c>
      <c r="F105" s="614"/>
      <c r="G105" s="615"/>
      <c r="H105" s="615"/>
      <c r="I105" s="616"/>
    </row>
    <row r="106" spans="1:9" x14ac:dyDescent="0.25">
      <c r="B106" s="19" t="s">
        <v>14</v>
      </c>
      <c r="C106" s="38">
        <f t="shared" si="26"/>
        <v>4.4124999999999996</v>
      </c>
      <c r="D106" s="38">
        <f t="shared" si="27"/>
        <v>3.4543965212474346</v>
      </c>
      <c r="E106" s="98">
        <f t="shared" si="28"/>
        <v>3.9334482606237171</v>
      </c>
      <c r="F106" s="614"/>
      <c r="G106" s="615"/>
      <c r="H106" s="615"/>
      <c r="I106" s="616"/>
    </row>
    <row r="107" spans="1:9" x14ac:dyDescent="0.25">
      <c r="B107" s="19" t="s">
        <v>15</v>
      </c>
      <c r="C107" s="38">
        <f t="shared" si="26"/>
        <v>3.4411764705882355</v>
      </c>
      <c r="D107" s="38">
        <f t="shared" si="27"/>
        <v>3.0303601674174336</v>
      </c>
      <c r="E107" s="98">
        <f t="shared" si="28"/>
        <v>3.2357683190028346</v>
      </c>
      <c r="F107" s="614"/>
      <c r="G107" s="615"/>
      <c r="H107" s="615"/>
      <c r="I107" s="616"/>
    </row>
    <row r="108" spans="1:9" x14ac:dyDescent="0.25">
      <c r="B108" s="19" t="s">
        <v>16</v>
      </c>
      <c r="C108" s="38">
        <f t="shared" si="26"/>
        <v>4.2666666666666666</v>
      </c>
      <c r="D108" s="38">
        <f t="shared" si="27"/>
        <v>3.267944091809063</v>
      </c>
      <c r="E108" s="98">
        <f t="shared" si="28"/>
        <v>3.7673053792378646</v>
      </c>
      <c r="F108" s="614"/>
      <c r="G108" s="615"/>
      <c r="H108" s="615"/>
      <c r="I108" s="616"/>
    </row>
    <row r="109" spans="1:9" ht="15.75" thickBot="1" x14ac:dyDescent="0.3">
      <c r="B109" s="20" t="s">
        <v>17</v>
      </c>
      <c r="C109" s="41">
        <f t="shared" si="26"/>
        <v>4.64047619047619</v>
      </c>
      <c r="D109" s="41">
        <f t="shared" si="27"/>
        <v>3.4656948900387317</v>
      </c>
      <c r="E109" s="99">
        <f t="shared" si="28"/>
        <v>4.0530855402574613</v>
      </c>
      <c r="F109" s="617"/>
      <c r="G109" s="618"/>
      <c r="H109" s="618"/>
      <c r="I109" s="619"/>
    </row>
    <row r="111" spans="1:9" ht="15.75" hidden="1" thickBot="1" x14ac:dyDescent="0.3">
      <c r="B111" s="1" t="s">
        <v>846</v>
      </c>
    </row>
    <row r="112" spans="1:9" ht="75" hidden="1" x14ac:dyDescent="0.25">
      <c r="B112" s="25" t="s">
        <v>851</v>
      </c>
      <c r="C112" s="413" t="str">
        <f>C97</f>
        <v>Green Space/Open Space Performance Measure Scores</v>
      </c>
      <c r="D112" s="413" t="str">
        <f t="shared" ref="D112:E112" si="29">D97</f>
        <v>Recreation Opportunities
Performance Measure Scores</v>
      </c>
      <c r="E112" s="297" t="str">
        <f t="shared" si="29"/>
        <v>Quality
of Life Evaluation Objective Unweighted
Scores</v>
      </c>
      <c r="F112" s="231"/>
      <c r="G112" s="231"/>
      <c r="H112" s="231"/>
    </row>
    <row r="113" spans="2:8" hidden="1" x14ac:dyDescent="0.25">
      <c r="B113" s="463" t="s">
        <v>848</v>
      </c>
      <c r="C113" s="241">
        <f>MAX(C98:C109)</f>
        <v>4.64047619047619</v>
      </c>
      <c r="D113" s="241">
        <f>MAX(D98:D109)</f>
        <v>3.9761904761904763</v>
      </c>
      <c r="E113" s="464">
        <f>MAX(E98:E109)</f>
        <v>4.0530855402574613</v>
      </c>
      <c r="F113" s="231"/>
      <c r="G113" s="231"/>
      <c r="H113" s="231"/>
    </row>
    <row r="114" spans="2:8" ht="45" hidden="1" x14ac:dyDescent="0.25">
      <c r="B114" s="463" t="s">
        <v>849</v>
      </c>
      <c r="C114" s="461" t="str">
        <f>INDEX($B98:$B109,MATCH(C113,C98:C109,0))</f>
        <v>Watershed and Ecosystem Management</v>
      </c>
      <c r="D114" s="461" t="str">
        <f>INDEX($B98:$B109,MATCH(D113,D98:D109,0))</f>
        <v>Conveyance Improvement</v>
      </c>
      <c r="E114" s="462" t="str">
        <f>INDEX($B98:$B109,MATCH(E113,E98:E109,0))</f>
        <v>Watershed and Ecosystem Management</v>
      </c>
      <c r="F114" s="231"/>
      <c r="G114" s="231"/>
      <c r="H114" s="231"/>
    </row>
    <row r="115" spans="2:8" hidden="1" x14ac:dyDescent="0.25">
      <c r="B115" s="504" t="s">
        <v>861</v>
      </c>
      <c r="C115" s="497">
        <f>LARGE(C98:C109,2)</f>
        <v>4.4124999999999996</v>
      </c>
      <c r="D115" s="497">
        <f>LARGE(D98:D109,2)</f>
        <v>3.5365343771601814</v>
      </c>
      <c r="E115" s="498">
        <f>LARGE(E98:E109,2)</f>
        <v>3.9334482606237171</v>
      </c>
      <c r="F115" s="231"/>
      <c r="G115" s="231"/>
      <c r="H115" s="231"/>
    </row>
    <row r="116" spans="2:8" hidden="1" x14ac:dyDescent="0.25">
      <c r="B116" s="505" t="s">
        <v>862</v>
      </c>
      <c r="C116" s="499" t="str">
        <f>INDEX($B98:$B109,MATCH(C115,C98:C109,0))</f>
        <v>Stormwater BMPs</v>
      </c>
      <c r="D116" s="499" t="str">
        <f>INDEX($B98:$B109,MATCH(D115,D98:D109,0))</f>
        <v>Potable Reuse</v>
      </c>
      <c r="E116" s="500" t="str">
        <f>INDEX($B98:$B109,MATCH(E115,E98:E109,0))</f>
        <v>Stormwater BMPs</v>
      </c>
      <c r="F116" s="231"/>
      <c r="G116" s="231"/>
      <c r="H116" s="231"/>
    </row>
    <row r="117" spans="2:8" hidden="1" x14ac:dyDescent="0.25">
      <c r="B117" s="463" t="s">
        <v>847</v>
      </c>
      <c r="C117" s="241">
        <f>MIN(C98:C109)</f>
        <v>3.0625</v>
      </c>
      <c r="D117" s="241">
        <f>MIN(D98:D109)</f>
        <v>2.8836479929707814</v>
      </c>
      <c r="E117" s="464">
        <f>MIN(E98:E109)</f>
        <v>3.015353408250097</v>
      </c>
      <c r="F117" s="231"/>
      <c r="G117" s="231"/>
      <c r="H117" s="231"/>
    </row>
    <row r="118" spans="2:8" ht="30" hidden="1" x14ac:dyDescent="0.25">
      <c r="B118" s="505" t="s">
        <v>850</v>
      </c>
      <c r="C118" s="499" t="str">
        <f>INDEX($B98:$B109,MATCH(C117,C98:C109,0))</f>
        <v>Imported Water Purchases</v>
      </c>
      <c r="D118" s="499" t="str">
        <f>INDEX($B98:$B109,MATCH(D117,D98:D109,0))</f>
        <v>Seawater Desalination</v>
      </c>
      <c r="E118" s="500" t="str">
        <f>INDEX($B98:$B109,MATCH(E117,E98:E109,0))</f>
        <v>Seawater Desalination</v>
      </c>
      <c r="F118" s="241"/>
      <c r="G118" s="241"/>
      <c r="H118" s="241"/>
    </row>
    <row r="119" spans="2:8" hidden="1" x14ac:dyDescent="0.25">
      <c r="B119" s="504" t="s">
        <v>864</v>
      </c>
      <c r="C119" s="497">
        <f>SMALL(C98:C109,2)</f>
        <v>3.1</v>
      </c>
      <c r="D119" s="497">
        <f>SMALL(D98:D109,2)</f>
        <v>2.948557535056767</v>
      </c>
      <c r="E119" s="498">
        <f>SMALL(E98:E109,2)</f>
        <v>3.0155009059304234</v>
      </c>
      <c r="F119" s="241"/>
      <c r="G119" s="241"/>
      <c r="H119" s="241"/>
    </row>
    <row r="120" spans="2:8" ht="30" hidden="1" x14ac:dyDescent="0.25">
      <c r="B120" s="505" t="s">
        <v>863</v>
      </c>
      <c r="C120" s="499" t="str">
        <f>INDEX($B98:$B109,MATCH(C119,C98:C109,0))</f>
        <v>Groundwater</v>
      </c>
      <c r="D120" s="499" t="str">
        <f>INDEX($B98:$B109,MATCH(D119,D98:D109,0))</f>
        <v>Groundwater</v>
      </c>
      <c r="E120" s="500" t="str">
        <f>INDEX($B98:$B109,MATCH(E119,E98:E109,0))</f>
        <v>Imported Water Purchases</v>
      </c>
      <c r="F120" s="241"/>
      <c r="G120" s="241"/>
      <c r="H120" s="241"/>
    </row>
    <row r="121" spans="2:8" hidden="1" x14ac:dyDescent="0.25">
      <c r="B121" s="506" t="s">
        <v>844</v>
      </c>
      <c r="C121" s="502">
        <f>C113-C117</f>
        <v>1.57797619047619</v>
      </c>
      <c r="D121" s="502">
        <f>D113-D117</f>
        <v>1.0925424832196948</v>
      </c>
      <c r="E121" s="503">
        <f>E113-E117</f>
        <v>1.0377321320073642</v>
      </c>
      <c r="F121" s="461"/>
      <c r="G121" s="461"/>
      <c r="H121" s="461"/>
    </row>
    <row r="122" spans="2:8" ht="15.75" hidden="1" thickBot="1" x14ac:dyDescent="0.3">
      <c r="B122" s="507" t="s">
        <v>865</v>
      </c>
      <c r="C122" s="41">
        <f>AVERAGE(C98:C109)</f>
        <v>3.6509055895085312</v>
      </c>
      <c r="D122" s="41">
        <f>AVERAGE(D98:D109)</f>
        <v>3.2672396078832091</v>
      </c>
      <c r="E122" s="44">
        <f>AVERAGE(E98:E109)</f>
        <v>3.4590725986958692</v>
      </c>
      <c r="F122" s="461"/>
      <c r="G122" s="461"/>
      <c r="H122" s="461"/>
    </row>
    <row r="123" spans="2:8" hidden="1" x14ac:dyDescent="0.25"/>
    <row r="124" spans="2:8" ht="15.75" hidden="1" thickBot="1" x14ac:dyDescent="0.3">
      <c r="B124" s="1" t="s">
        <v>727</v>
      </c>
    </row>
    <row r="125" spans="2:8" ht="46.5" hidden="1" customHeight="1" x14ac:dyDescent="0.25">
      <c r="B125" s="800" t="s">
        <v>37</v>
      </c>
      <c r="C125" s="337"/>
      <c r="D125" s="338"/>
      <c r="E125" s="817" t="s">
        <v>775</v>
      </c>
      <c r="F125" s="823"/>
      <c r="G125" s="349" t="s">
        <v>776</v>
      </c>
    </row>
    <row r="126" spans="2:8" ht="45" hidden="1" customHeight="1" thickBot="1" x14ac:dyDescent="0.3">
      <c r="B126" s="801"/>
      <c r="C126" s="341" t="s">
        <v>6</v>
      </c>
      <c r="D126" s="342"/>
      <c r="E126" s="350" t="s">
        <v>170</v>
      </c>
      <c r="F126" s="350" t="s">
        <v>173</v>
      </c>
      <c r="G126" s="351" t="s">
        <v>176</v>
      </c>
    </row>
    <row r="127" spans="2:8" ht="15" hidden="1" customHeight="1" x14ac:dyDescent="0.25">
      <c r="B127" s="329" t="str">
        <f>'Project-Level Data'!B22</f>
        <v>Dulzura Conduit Refurbishment</v>
      </c>
      <c r="C127" s="474" t="str">
        <f>'Project-Level Data'!C22</f>
        <v>Conveyance Improvement</v>
      </c>
      <c r="D127" s="477"/>
      <c r="E127" s="374">
        <f>'Project-Level Data'!AP22</f>
        <v>2</v>
      </c>
      <c r="F127" s="386">
        <f>'Project-Level Data'!AQ22</f>
        <v>3</v>
      </c>
      <c r="G127" s="377">
        <f>'Project-Level Data'!AR22</f>
        <v>3</v>
      </c>
    </row>
    <row r="128" spans="2:8" hidden="1" x14ac:dyDescent="0.25">
      <c r="B128" s="227" t="str">
        <f>'Project-Level Data'!B53</f>
        <v>Mission Trails Projects Alternative 1</v>
      </c>
      <c r="C128" s="475" t="str">
        <f>'Project-Level Data'!C53</f>
        <v>Conveyance Improvement</v>
      </c>
      <c r="D128" s="477"/>
      <c r="E128" s="378">
        <f>'Project-Level Data'!AP53</f>
        <v>3</v>
      </c>
      <c r="F128" s="387">
        <f>'Project-Level Data'!AQ53</f>
        <v>5</v>
      </c>
      <c r="G128" s="381">
        <f>'Project-Level Data'!AR53</f>
        <v>2</v>
      </c>
    </row>
    <row r="129" spans="1:7" hidden="1" x14ac:dyDescent="0.25">
      <c r="B129" s="227" t="str">
        <f>'Project-Level Data'!B72</f>
        <v>Pipeline 3/Pipeline 4 Conversion</v>
      </c>
      <c r="C129" s="475" t="str">
        <f>'Project-Level Data'!C72</f>
        <v>Conveyance Improvement</v>
      </c>
      <c r="D129" s="477"/>
      <c r="E129" s="378">
        <f>'Project-Level Data'!AP72</f>
        <v>3</v>
      </c>
      <c r="F129" s="387">
        <f>'Project-Level Data'!AQ72</f>
        <v>5</v>
      </c>
      <c r="G129" s="381">
        <f>'Project-Level Data'!AR72</f>
        <v>3</v>
      </c>
    </row>
    <row r="130" spans="1:7" hidden="1" x14ac:dyDescent="0.25">
      <c r="B130" s="227" t="str">
        <f>'Project-Level Data'!B89</f>
        <v>San Diego County Reservoir Intertie</v>
      </c>
      <c r="C130" s="475" t="str">
        <f>'Project-Level Data'!C89</f>
        <v>Conveyance Improvement</v>
      </c>
      <c r="D130" s="477"/>
      <c r="E130" s="378">
        <f>'Project-Level Data'!AP89</f>
        <v>3</v>
      </c>
      <c r="F130" s="387">
        <f>'Project-Level Data'!AQ89</f>
        <v>3</v>
      </c>
      <c r="G130" s="381">
        <f>'Project-Level Data'!AR89</f>
        <v>3</v>
      </c>
    </row>
    <row r="131" spans="1:7" hidden="1" x14ac:dyDescent="0.25">
      <c r="A131" s="14"/>
      <c r="B131" s="227" t="str">
        <f>'Project-Level Data'!B100</f>
        <v>San Vicente 3rd Pump Drive and Power</v>
      </c>
      <c r="C131" s="475" t="str">
        <f>'Project-Level Data'!C100</f>
        <v>Conveyance Improvement</v>
      </c>
      <c r="D131" s="477"/>
      <c r="E131" s="378">
        <f>'Project-Level Data'!AP100</f>
        <v>3</v>
      </c>
      <c r="F131" s="387">
        <f>'Project-Level Data'!AQ100</f>
        <v>3</v>
      </c>
      <c r="G131" s="381">
        <f>'Project-Level Data'!AR100</f>
        <v>3</v>
      </c>
    </row>
    <row r="132" spans="1:7" hidden="1" x14ac:dyDescent="0.25">
      <c r="B132" s="227" t="str">
        <f>'Project-Level Data'!B103</f>
        <v>Second Crossover Pipeline</v>
      </c>
      <c r="C132" s="475" t="str">
        <f>'Project-Level Data'!C103</f>
        <v>Conveyance Improvement</v>
      </c>
      <c r="D132" s="477"/>
      <c r="E132" s="378">
        <f>'Project-Level Data'!AP103</f>
        <v>3</v>
      </c>
      <c r="F132" s="387">
        <f>'Project-Level Data'!AQ103</f>
        <v>5</v>
      </c>
      <c r="G132" s="381">
        <f>'Project-Level Data'!AR103</f>
        <v>3</v>
      </c>
    </row>
    <row r="133" spans="1:7" ht="15" hidden="1" customHeight="1" x14ac:dyDescent="0.25">
      <c r="B133" s="227" t="str">
        <f>'Project-Level Data'!B27</f>
        <v xml:space="preserve">Enhanced Conservation </v>
      </c>
      <c r="C133" s="475" t="str">
        <f>'Project-Level Data'!C27</f>
        <v>Enhanced Conservation</v>
      </c>
      <c r="D133" s="477"/>
      <c r="E133" s="378" t="str">
        <f>'Project-Level Data'!AP27</f>
        <v>REMOVED</v>
      </c>
      <c r="F133" s="387" t="str">
        <f>'Project-Level Data'!AQ27</f>
        <v>REMOVED</v>
      </c>
      <c r="G133" s="381" t="str">
        <f>'Project-Level Data'!AR27</f>
        <v>REMOVED</v>
      </c>
    </row>
    <row r="134" spans="1:7" ht="15" hidden="1" customHeight="1" x14ac:dyDescent="0.25">
      <c r="B134" s="227" t="str">
        <f>'Project-Level Data'!B21</f>
        <v>Conservation Home Makeover in the Chollas Creek Watershed</v>
      </c>
      <c r="C134" s="475" t="str">
        <f>'Project-Level Data'!C21</f>
        <v>Gray Water Use</v>
      </c>
      <c r="D134" s="477"/>
      <c r="E134" s="378" t="str">
        <f>'Project-Level Data'!AP21</f>
        <v>No Response</v>
      </c>
      <c r="F134" s="387" t="str">
        <f>'Project-Level Data'!AQ21</f>
        <v>No Response</v>
      </c>
      <c r="G134" s="381" t="str">
        <f>'Project-Level Data'!AR21</f>
        <v>No Response</v>
      </c>
    </row>
    <row r="135" spans="1:7" hidden="1" x14ac:dyDescent="0.25">
      <c r="B135" s="227" t="str">
        <f>'Project-Level Data'!B33</f>
        <v>Graywater pilot project</v>
      </c>
      <c r="C135" s="475" t="str">
        <f>'Project-Level Data'!C33</f>
        <v>Gray Water Use</v>
      </c>
      <c r="D135" s="477"/>
      <c r="E135" s="378">
        <f>'Project-Level Data'!AP33</f>
        <v>4</v>
      </c>
      <c r="F135" s="387">
        <f>'Project-Level Data'!AQ33</f>
        <v>5</v>
      </c>
      <c r="G135" s="381">
        <f>'Project-Level Data'!AR33</f>
        <v>3</v>
      </c>
    </row>
    <row r="136" spans="1:7" ht="15" hidden="1" customHeight="1" x14ac:dyDescent="0.25">
      <c r="B136" s="227" t="str">
        <f>'Project-Level Data'!B34</f>
        <v>Groundwater Extraction Santee/El Monte</v>
      </c>
      <c r="C136" s="475" t="str">
        <f>'Project-Level Data'!C34</f>
        <v>Groundwater</v>
      </c>
      <c r="D136" s="477"/>
      <c r="E136" s="378">
        <f>'Project-Level Data'!AP34</f>
        <v>3</v>
      </c>
      <c r="F136" s="387">
        <f>'Project-Level Data'!AQ34</f>
        <v>3</v>
      </c>
      <c r="G136" s="381">
        <f>'Project-Level Data'!AR34</f>
        <v>3</v>
      </c>
    </row>
    <row r="137" spans="1:7" ht="25.5" hidden="1" x14ac:dyDescent="0.25">
      <c r="B137" s="227" t="str">
        <f>'Project-Level Data'!B52</f>
        <v>Middle Sweetwater River Basin Groundwater Well System</v>
      </c>
      <c r="C137" s="475" t="str">
        <f>'Project-Level Data'!C52</f>
        <v>Groundwater</v>
      </c>
      <c r="D137" s="477"/>
      <c r="E137" s="378">
        <f>'Project-Level Data'!AP52</f>
        <v>3</v>
      </c>
      <c r="F137" s="387">
        <f>'Project-Level Data'!AQ52</f>
        <v>3</v>
      </c>
      <c r="G137" s="381">
        <f>'Project-Level Data'!AR52</f>
        <v>3</v>
      </c>
    </row>
    <row r="138" spans="1:7" hidden="1" x14ac:dyDescent="0.25">
      <c r="B138" s="227" t="str">
        <f>'Project-Level Data'!B54</f>
        <v>Mission Valley Brackish Groundwater Recovery Project</v>
      </c>
      <c r="C138" s="475" t="str">
        <f>'Project-Level Data'!C54</f>
        <v>Groundwater</v>
      </c>
      <c r="D138" s="477"/>
      <c r="E138" s="378">
        <f>'Project-Level Data'!AP54</f>
        <v>3</v>
      </c>
      <c r="F138" s="387">
        <f>'Project-Level Data'!AQ54</f>
        <v>3</v>
      </c>
      <c r="G138" s="381">
        <f>'Project-Level Data'!AR54</f>
        <v>3</v>
      </c>
    </row>
    <row r="139" spans="1:7" ht="15" hidden="1" customHeight="1" x14ac:dyDescent="0.25">
      <c r="B139" s="227" t="str">
        <f>'Project-Level Data'!B67</f>
        <v>Otay Mesa Lot 7 Groundwater Well System (capacity)</v>
      </c>
      <c r="C139" s="475" t="str">
        <f>'Project-Level Data'!C67</f>
        <v>Groundwater</v>
      </c>
      <c r="D139" s="477"/>
      <c r="E139" s="378">
        <f>'Project-Level Data'!AP67</f>
        <v>3</v>
      </c>
      <c r="F139" s="387">
        <f>'Project-Level Data'!AQ67</f>
        <v>3</v>
      </c>
      <c r="G139" s="381">
        <f>'Project-Level Data'!AR67</f>
        <v>3</v>
      </c>
    </row>
    <row r="140" spans="1:7" ht="25.5" hidden="1" x14ac:dyDescent="0.25">
      <c r="B140" s="227" t="str">
        <f>'Project-Level Data'!B68</f>
        <v>Otay River Valley GW Aquifer Studies &amp; Field Investigations</v>
      </c>
      <c r="C140" s="475" t="str">
        <f>'Project-Level Data'!C68</f>
        <v>Groundwater</v>
      </c>
      <c r="D140" s="477"/>
      <c r="E140" s="378">
        <f>'Project-Level Data'!AP68</f>
        <v>3</v>
      </c>
      <c r="F140" s="387">
        <f>'Project-Level Data'!AQ68</f>
        <v>3</v>
      </c>
      <c r="G140" s="381">
        <f>'Project-Level Data'!AR68</f>
        <v>3</v>
      </c>
    </row>
    <row r="141" spans="1:7" ht="25.5" hidden="1" x14ac:dyDescent="0.25">
      <c r="B141" s="227" t="str">
        <f>'Project-Level Data'!B79</f>
        <v>Rancho del Rey Groundwater Well Development (capacity)</v>
      </c>
      <c r="C141" s="475" t="str">
        <f>'Project-Level Data'!C79</f>
        <v>Groundwater</v>
      </c>
      <c r="D141" s="477"/>
      <c r="E141" s="378">
        <f>'Project-Level Data'!AP79</f>
        <v>3</v>
      </c>
      <c r="F141" s="387">
        <f>'Project-Level Data'!AQ79</f>
        <v>3</v>
      </c>
      <c r="G141" s="381">
        <f>'Project-Level Data'!AR79</f>
        <v>3</v>
      </c>
    </row>
    <row r="142" spans="1:7" ht="15" hidden="1" customHeight="1" x14ac:dyDescent="0.25">
      <c r="B142" s="227" t="str">
        <f>'Project-Level Data'!B90</f>
        <v>San Diego Formation - Southeaster San Diego, including Mt Hope</v>
      </c>
      <c r="C142" s="475" t="str">
        <f>'Project-Level Data'!C90</f>
        <v>Groundwater</v>
      </c>
      <c r="D142" s="477"/>
      <c r="E142" s="378">
        <f>'Project-Level Data'!AP90</f>
        <v>3</v>
      </c>
      <c r="F142" s="387">
        <f>'Project-Level Data'!AQ90</f>
        <v>3</v>
      </c>
      <c r="G142" s="381">
        <f>'Project-Level Data'!AR90</f>
        <v>3</v>
      </c>
    </row>
    <row r="143" spans="1:7" ht="25.5" hidden="1" x14ac:dyDescent="0.25">
      <c r="B143" s="227" t="str">
        <f>'Project-Level Data'!B94</f>
        <v>San Dieguito River Basin Brackish GW Recovery and Treatment</v>
      </c>
      <c r="C143" s="475" t="str">
        <f>'Project-Level Data'!C94</f>
        <v>Groundwater</v>
      </c>
      <c r="D143" s="477"/>
      <c r="E143" s="378">
        <f>'Project-Level Data'!AP94</f>
        <v>4</v>
      </c>
      <c r="F143" s="387">
        <f>'Project-Level Data'!AQ94</f>
        <v>5</v>
      </c>
      <c r="G143" s="381">
        <f>'Project-Level Data'!AR94</f>
        <v>2</v>
      </c>
    </row>
    <row r="144" spans="1:7" hidden="1" x14ac:dyDescent="0.25">
      <c r="B144" s="227" t="str">
        <f>'Project-Level Data'!B95</f>
        <v>San Luis Rey Groundwater Study</v>
      </c>
      <c r="C144" s="475" t="str">
        <f>'Project-Level Data'!C95</f>
        <v>Groundwater</v>
      </c>
      <c r="D144" s="477"/>
      <c r="E144" s="378" t="str">
        <f>'Project-Level Data'!AP95</f>
        <v>No Response</v>
      </c>
      <c r="F144" s="387" t="str">
        <f>'Project-Level Data'!AQ95</f>
        <v>No Response</v>
      </c>
      <c r="G144" s="381" t="str">
        <f>'Project-Level Data'!AR95</f>
        <v>No Response</v>
      </c>
    </row>
    <row r="145" spans="1:7" hidden="1" x14ac:dyDescent="0.25">
      <c r="B145" s="227" t="str">
        <f>'Project-Level Data'!B99</f>
        <v>San Pasqual Brackish Groundwater Recovery Project</v>
      </c>
      <c r="C145" s="475" t="str">
        <f>'Project-Level Data'!C99</f>
        <v>Groundwater</v>
      </c>
      <c r="D145" s="477"/>
      <c r="E145" s="378">
        <f>'Project-Level Data'!AP99</f>
        <v>3</v>
      </c>
      <c r="F145" s="387">
        <f>'Project-Level Data'!AQ99</f>
        <v>3</v>
      </c>
      <c r="G145" s="381">
        <f>'Project-Level Data'!AR99</f>
        <v>3</v>
      </c>
    </row>
    <row r="146" spans="1:7" ht="38.25" hidden="1" x14ac:dyDescent="0.25">
      <c r="B146" s="227" t="str">
        <f>'Project-Level Data'!B101</f>
        <v>Santa Margarita Conjunctive-Use Project - Local surface water recharge and expansion of Camp Pendleton groundwater recovery program</v>
      </c>
      <c r="C146" s="475" t="str">
        <f>'Project-Level Data'!C101</f>
        <v>Groundwater</v>
      </c>
      <c r="D146" s="477"/>
      <c r="E146" s="378" t="str">
        <f>'Project-Level Data'!AP101</f>
        <v>No Response</v>
      </c>
      <c r="F146" s="387" t="str">
        <f>'Project-Level Data'!AQ101</f>
        <v>No Response</v>
      </c>
      <c r="G146" s="381" t="str">
        <f>'Project-Level Data'!AR101</f>
        <v>No Response</v>
      </c>
    </row>
    <row r="147" spans="1:7" hidden="1" x14ac:dyDescent="0.25">
      <c r="A147" s="14"/>
      <c r="B147" s="227" t="str">
        <f>'Project-Level Data'!B14</f>
        <v>Cadiz additional imported supplies</v>
      </c>
      <c r="C147" s="475" t="str">
        <f>'Project-Level Data'!C14</f>
        <v>Imported Water Purchases</v>
      </c>
      <c r="D147" s="477"/>
      <c r="E147" s="378">
        <f>'Project-Level Data'!AP14</f>
        <v>3</v>
      </c>
      <c r="F147" s="387">
        <f>'Project-Level Data'!AQ14</f>
        <v>3</v>
      </c>
      <c r="G147" s="381">
        <f>'Project-Level Data'!AR14</f>
        <v>3</v>
      </c>
    </row>
    <row r="148" spans="1:7" ht="25.5" hidden="1" x14ac:dyDescent="0.25">
      <c r="B148" s="227" t="str">
        <f>'Project-Level Data'!B23</f>
        <v>East County Advanced Water Purification Program Phase 1</v>
      </c>
      <c r="C148" s="475" t="str">
        <f>'Project-Level Data'!C23</f>
        <v>Potable Reuse</v>
      </c>
      <c r="D148" s="477"/>
      <c r="E148" s="378">
        <f>'Project-Level Data'!AP23</f>
        <v>3</v>
      </c>
      <c r="F148" s="387">
        <f>'Project-Level Data'!AQ23</f>
        <v>3</v>
      </c>
      <c r="G148" s="381">
        <f>'Project-Level Data'!AR23</f>
        <v>3</v>
      </c>
    </row>
    <row r="149" spans="1:7" ht="25.5" hidden="1" x14ac:dyDescent="0.25">
      <c r="B149" s="227" t="str">
        <f>'Project-Level Data'!B24</f>
        <v>East County Advanced Water Purification Program Phase 2</v>
      </c>
      <c r="C149" s="475" t="str">
        <f>'Project-Level Data'!C24</f>
        <v>Potable Reuse</v>
      </c>
      <c r="D149" s="477"/>
      <c r="E149" s="378">
        <f>'Project-Level Data'!AP24</f>
        <v>3</v>
      </c>
      <c r="F149" s="387">
        <f>'Project-Level Data'!AQ24</f>
        <v>3</v>
      </c>
      <c r="G149" s="381">
        <f>'Project-Level Data'!AR24</f>
        <v>3</v>
      </c>
    </row>
    <row r="150" spans="1:7" ht="15" hidden="1" customHeight="1" x14ac:dyDescent="0.25">
      <c r="B150" s="227" t="str">
        <f>'Project-Level Data'!B25</f>
        <v>East County Advanced Water Purification Program Phase 3</v>
      </c>
      <c r="C150" s="475" t="str">
        <f>'Project-Level Data'!C25</f>
        <v>Potable Reuse</v>
      </c>
      <c r="D150" s="477"/>
      <c r="E150" s="378">
        <f>'Project-Level Data'!AP25</f>
        <v>3</v>
      </c>
      <c r="F150" s="387">
        <f>'Project-Level Data'!AQ25</f>
        <v>3</v>
      </c>
      <c r="G150" s="381">
        <f>'Project-Level Data'!AR25</f>
        <v>3</v>
      </c>
    </row>
    <row r="151" spans="1:7" ht="15" hidden="1" customHeight="1" x14ac:dyDescent="0.25">
      <c r="B151" s="227" t="str">
        <f>'Project-Level Data'!B26</f>
        <v>Encina Wastewater Water Reuse Project</v>
      </c>
      <c r="C151" s="475" t="str">
        <f>'Project-Level Data'!C26</f>
        <v>Potable Reuse</v>
      </c>
      <c r="D151" s="477"/>
      <c r="E151" s="378">
        <f>'Project-Level Data'!AP26</f>
        <v>3</v>
      </c>
      <c r="F151" s="387">
        <f>'Project-Level Data'!AQ26</f>
        <v>5</v>
      </c>
      <c r="G151" s="381">
        <f>'Project-Level Data'!AR26</f>
        <v>3</v>
      </c>
    </row>
    <row r="152" spans="1:7" ht="25.5" hidden="1" x14ac:dyDescent="0.25">
      <c r="B152" s="227" t="str">
        <f>'Project-Level Data'!B59</f>
        <v>New Local Supply Rincon del Diablo - Hale Avenue RRF/ City of Escondido/WRFs</v>
      </c>
      <c r="C152" s="475" t="str">
        <f>'Project-Level Data'!C59</f>
        <v>Potable Reuse</v>
      </c>
      <c r="D152" s="477"/>
      <c r="E152" s="378" t="str">
        <f>'Project-Level Data'!AP59</f>
        <v>No Response</v>
      </c>
      <c r="F152" s="387" t="str">
        <f>'Project-Level Data'!AQ59</f>
        <v>No Response</v>
      </c>
      <c r="G152" s="381" t="str">
        <f>'Project-Level Data'!AR59</f>
        <v>No Response</v>
      </c>
    </row>
    <row r="153" spans="1:7" ht="25.5" hidden="1" x14ac:dyDescent="0.25">
      <c r="B153" s="227" t="str">
        <f>'Project-Level Data'!B73</f>
        <v xml:space="preserve">Potable Reuse/Hale Avenue Resource Recovery Facility (HARRF) </v>
      </c>
      <c r="C153" s="475" t="str">
        <f>'Project-Level Data'!C73</f>
        <v>Potable Reuse</v>
      </c>
      <c r="D153" s="477"/>
      <c r="E153" s="378" t="str">
        <f>'Project-Level Data'!AP73</f>
        <v>No Response</v>
      </c>
      <c r="F153" s="387" t="str">
        <f>'Project-Level Data'!AQ73</f>
        <v>No Response</v>
      </c>
      <c r="G153" s="381" t="str">
        <f>'Project-Level Data'!AR73</f>
        <v>No Response</v>
      </c>
    </row>
    <row r="154" spans="1:7" hidden="1" x14ac:dyDescent="0.25">
      <c r="B154" s="227" t="str">
        <f>'Project-Level Data'!B75</f>
        <v xml:space="preserve">Pure Water San Diego Phase 1 - North City </v>
      </c>
      <c r="C154" s="475" t="str">
        <f>'Project-Level Data'!C75</f>
        <v>Potable Reuse</v>
      </c>
      <c r="D154" s="477"/>
      <c r="E154" s="378">
        <f>'Project-Level Data'!AP75</f>
        <v>3</v>
      </c>
      <c r="F154" s="387">
        <f>'Project-Level Data'!AQ75</f>
        <v>3</v>
      </c>
      <c r="G154" s="381">
        <f>'Project-Level Data'!AR75</f>
        <v>3</v>
      </c>
    </row>
    <row r="155" spans="1:7" hidden="1" x14ac:dyDescent="0.25">
      <c r="B155" s="227" t="str">
        <f>'Project-Level Data'!B76</f>
        <v>Pure Water San Diego Phase 2 - Central</v>
      </c>
      <c r="C155" s="475" t="str">
        <f>'Project-Level Data'!C76</f>
        <v>Potable Reuse</v>
      </c>
      <c r="D155" s="477"/>
      <c r="E155" s="378">
        <f>'Project-Level Data'!AP76</f>
        <v>3</v>
      </c>
      <c r="F155" s="387">
        <f>'Project-Level Data'!AQ76</f>
        <v>3</v>
      </c>
      <c r="G155" s="381">
        <f>'Project-Level Data'!AR76</f>
        <v>3</v>
      </c>
    </row>
    <row r="156" spans="1:7" hidden="1" x14ac:dyDescent="0.25">
      <c r="B156" s="227" t="str">
        <f>'Project-Level Data'!B104</f>
        <v>SFID/SDWD/SEJPA Potable Reuse Project</v>
      </c>
      <c r="C156" s="475" t="str">
        <f>'Project-Level Data'!C104</f>
        <v>Potable Reuse</v>
      </c>
      <c r="D156" s="477"/>
      <c r="E156" s="378">
        <f>'Project-Level Data'!AP104</f>
        <v>3</v>
      </c>
      <c r="F156" s="387">
        <f>'Project-Level Data'!AQ104</f>
        <v>4</v>
      </c>
      <c r="G156" s="381">
        <f>'Project-Level Data'!AR104</f>
        <v>4</v>
      </c>
    </row>
    <row r="157" spans="1:7" hidden="1" x14ac:dyDescent="0.25">
      <c r="B157" s="227" t="str">
        <f>'Project-Level Data'!B108</f>
        <v>South WWTP - Indirect Potable Recharge</v>
      </c>
      <c r="C157" s="475" t="str">
        <f>'Project-Level Data'!C108</f>
        <v>Potable Reuse</v>
      </c>
      <c r="D157" s="477"/>
      <c r="E157" s="378">
        <f>'Project-Level Data'!AP108</f>
        <v>3</v>
      </c>
      <c r="F157" s="387">
        <f>'Project-Level Data'!AQ108</f>
        <v>5</v>
      </c>
      <c r="G157" s="381">
        <f>'Project-Level Data'!AR108</f>
        <v>3</v>
      </c>
    </row>
    <row r="158" spans="1:7" hidden="1" x14ac:dyDescent="0.25">
      <c r="B158" s="227" t="str">
        <f>'Project-Level Data'!B109</f>
        <v>South WWTP - Injection to Las Flores Basin</v>
      </c>
      <c r="C158" s="475" t="str">
        <f>'Project-Level Data'!C109</f>
        <v>Potable Reuse</v>
      </c>
      <c r="D158" s="477"/>
      <c r="E158" s="378">
        <f>'Project-Level Data'!AP109</f>
        <v>3</v>
      </c>
      <c r="F158" s="387">
        <f>'Project-Level Data'!AQ109</f>
        <v>4</v>
      </c>
      <c r="G158" s="381">
        <f>'Project-Level Data'!AR109</f>
        <v>3</v>
      </c>
    </row>
    <row r="159" spans="1:7" hidden="1" x14ac:dyDescent="0.25">
      <c r="B159" s="227" t="str">
        <f>'Project-Level Data'!B110</f>
        <v>South WWTP - Injection to Santa Margarita Basin</v>
      </c>
      <c r="C159" s="475" t="str">
        <f>'Project-Level Data'!C110</f>
        <v>Potable Reuse</v>
      </c>
      <c r="D159" s="477"/>
      <c r="E159" s="378">
        <f>'Project-Level Data'!AP110</f>
        <v>3</v>
      </c>
      <c r="F159" s="387">
        <f>'Project-Level Data'!AQ110</f>
        <v>5</v>
      </c>
      <c r="G159" s="381">
        <f>'Project-Level Data'!AR110</f>
        <v>3</v>
      </c>
    </row>
    <row r="160" spans="1:7" hidden="1" x14ac:dyDescent="0.25">
      <c r="B160" s="227" t="str">
        <f>'Project-Level Data'!B17</f>
        <v>Carlsbad WRF - Landscape, Agriculture 2025</v>
      </c>
      <c r="C160" s="475" t="str">
        <f>'Project-Level Data'!C17</f>
        <v>Recycled Water</v>
      </c>
      <c r="D160" s="477"/>
      <c r="E160" s="378">
        <f>'Project-Level Data'!AP17</f>
        <v>4</v>
      </c>
      <c r="F160" s="387">
        <f>'Project-Level Data'!AQ17</f>
        <v>4</v>
      </c>
      <c r="G160" s="381">
        <f>'Project-Level Data'!AR17</f>
        <v>4</v>
      </c>
    </row>
    <row r="161" spans="2:7" hidden="1" x14ac:dyDescent="0.25">
      <c r="B161" s="227" t="str">
        <f>'Project-Level Data'!B18</f>
        <v>Carlsbad WRF - Landscape, Agriculture 2050</v>
      </c>
      <c r="C161" s="475" t="str">
        <f>'Project-Level Data'!C18</f>
        <v>Recycled Water</v>
      </c>
      <c r="D161" s="477"/>
      <c r="E161" s="378">
        <f>'Project-Level Data'!AP18</f>
        <v>4</v>
      </c>
      <c r="F161" s="387">
        <f>'Project-Level Data'!AQ18</f>
        <v>4</v>
      </c>
      <c r="G161" s="381">
        <f>'Project-Level Data'!AR18</f>
        <v>4</v>
      </c>
    </row>
    <row r="162" spans="2:7" hidden="1" x14ac:dyDescent="0.25">
      <c r="B162" s="227" t="str">
        <f>'Project-Level Data'!B28</f>
        <v>Extension 153 Phase I</v>
      </c>
      <c r="C162" s="475" t="str">
        <f>'Project-Level Data'!C28</f>
        <v>Recycled Water</v>
      </c>
      <c r="D162" s="477"/>
      <c r="E162" s="378">
        <f>'Project-Level Data'!AP28</f>
        <v>5</v>
      </c>
      <c r="F162" s="387">
        <f>'Project-Level Data'!AQ28</f>
        <v>5</v>
      </c>
      <c r="G162" s="381">
        <f>'Project-Level Data'!AR28</f>
        <v>5</v>
      </c>
    </row>
    <row r="163" spans="2:7" hidden="1" x14ac:dyDescent="0.25">
      <c r="B163" s="227" t="str">
        <f>'Project-Level Data'!B29</f>
        <v>Extension 153 Phase II</v>
      </c>
      <c r="C163" s="475" t="str">
        <f>'Project-Level Data'!C29</f>
        <v>Recycled Water</v>
      </c>
      <c r="D163" s="477"/>
      <c r="E163" s="378">
        <f>'Project-Level Data'!AP29</f>
        <v>5</v>
      </c>
      <c r="F163" s="387">
        <f>'Project-Level Data'!AQ29</f>
        <v>5</v>
      </c>
      <c r="G163" s="381">
        <f>'Project-Level Data'!AR29</f>
        <v>5</v>
      </c>
    </row>
    <row r="164" spans="2:7" ht="25.5" hidden="1" x14ac:dyDescent="0.25">
      <c r="B164" s="227" t="str">
        <f>'Project-Level Data'!B35</f>
        <v>Hale Avenue Resource Recovery Facility (HARRF) - Landscape, Agriculture, Industrial, PR</v>
      </c>
      <c r="C164" s="475" t="str">
        <f>'Project-Level Data'!C35</f>
        <v>Recycled Water</v>
      </c>
      <c r="D164" s="477"/>
      <c r="E164" s="378" t="str">
        <f>'Project-Level Data'!AP35</f>
        <v>No Response</v>
      </c>
      <c r="F164" s="387" t="str">
        <f>'Project-Level Data'!AQ35</f>
        <v>No Response</v>
      </c>
      <c r="G164" s="381" t="str">
        <f>'Project-Level Data'!AR35</f>
        <v>No Response</v>
      </c>
    </row>
    <row r="165" spans="2:7" ht="25.5" hidden="1" x14ac:dyDescent="0.25">
      <c r="B165" s="227" t="str">
        <f>'Project-Level Data'!B36</f>
        <v>Integrated Water Resource Solutions for the Carlsbad Watershed</v>
      </c>
      <c r="C165" s="475" t="str">
        <f>'Project-Level Data'!C36</f>
        <v>Recycled Water</v>
      </c>
      <c r="D165" s="477"/>
      <c r="E165" s="378">
        <f>'Project-Level Data'!AP36</f>
        <v>5</v>
      </c>
      <c r="F165" s="387">
        <f>'Project-Level Data'!AQ36</f>
        <v>5</v>
      </c>
      <c r="G165" s="381">
        <f>'Project-Level Data'!AR36</f>
        <v>3</v>
      </c>
    </row>
    <row r="166" spans="2:7" ht="25.5" hidden="1" x14ac:dyDescent="0.25">
      <c r="B166" s="227" t="str">
        <f>'Project-Level Data'!B37</f>
        <v>Intergrated Water Resource Solutions for the Carlsbad Watershed</v>
      </c>
      <c r="C166" s="475" t="str">
        <f>'Project-Level Data'!C37</f>
        <v>Recycled Water</v>
      </c>
      <c r="D166" s="477"/>
      <c r="E166" s="378">
        <f>'Project-Level Data'!AP37</f>
        <v>5</v>
      </c>
      <c r="F166" s="387">
        <f>'Project-Level Data'!AQ37</f>
        <v>5</v>
      </c>
      <c r="G166" s="381">
        <f>'Project-Level Data'!AR37</f>
        <v>3</v>
      </c>
    </row>
    <row r="167" spans="2:7" hidden="1" x14ac:dyDescent="0.25">
      <c r="B167" s="227" t="str">
        <f>'Project-Level Data'!B38</f>
        <v>Joint RW Transmission Project with SFID and OMWD</v>
      </c>
      <c r="C167" s="475" t="str">
        <f>'Project-Level Data'!C38</f>
        <v>Recycled Water</v>
      </c>
      <c r="D167" s="477"/>
      <c r="E167" s="378">
        <f>'Project-Level Data'!AP38</f>
        <v>5</v>
      </c>
      <c r="F167" s="387">
        <f>'Project-Level Data'!AQ38</f>
        <v>5</v>
      </c>
      <c r="G167" s="381">
        <f>'Project-Level Data'!AR38</f>
        <v>5</v>
      </c>
    </row>
    <row r="168" spans="2:7" hidden="1" x14ac:dyDescent="0.25">
      <c r="B168" s="227" t="str">
        <f>'Project-Level Data'!B42</f>
        <v>Lilac Hills Ranch WRF</v>
      </c>
      <c r="C168" s="475" t="str">
        <f>'Project-Level Data'!C42</f>
        <v>Recycled Water</v>
      </c>
      <c r="D168" s="477"/>
      <c r="E168" s="378" t="str">
        <f>'Project-Level Data'!AP42</f>
        <v>No Response</v>
      </c>
      <c r="F168" s="387" t="str">
        <f>'Project-Level Data'!AQ42</f>
        <v>No Response</v>
      </c>
      <c r="G168" s="381" t="str">
        <f>'Project-Level Data'!AR42</f>
        <v>No Response</v>
      </c>
    </row>
    <row r="169" spans="2:7" ht="15" hidden="1" customHeight="1" x14ac:dyDescent="0.25">
      <c r="B169" s="227" t="str">
        <f>'Project-Level Data'!B45</f>
        <v>Lower Moosa Canyon WRF</v>
      </c>
      <c r="C169" s="475" t="str">
        <f>'Project-Level Data'!C45</f>
        <v>Recycled Water</v>
      </c>
      <c r="D169" s="477"/>
      <c r="E169" s="378" t="str">
        <f>'Project-Level Data'!AP45</f>
        <v>No Response</v>
      </c>
      <c r="F169" s="387" t="str">
        <f>'Project-Level Data'!AQ45</f>
        <v>No Response</v>
      </c>
      <c r="G169" s="381" t="str">
        <f>'Project-Level Data'!AR45</f>
        <v>No Response</v>
      </c>
    </row>
    <row r="170" spans="2:7" hidden="1" x14ac:dyDescent="0.25">
      <c r="B170" s="227" t="str">
        <f>'Project-Level Data'!B50</f>
        <v>Meadowlark WRF</v>
      </c>
      <c r="C170" s="475" t="str">
        <f>'Project-Level Data'!C50</f>
        <v>Recycled Water</v>
      </c>
      <c r="D170" s="477"/>
      <c r="E170" s="378" t="str">
        <f>'Project-Level Data'!AP50</f>
        <v>No Response</v>
      </c>
      <c r="F170" s="387" t="str">
        <f>'Project-Level Data'!AQ50</f>
        <v>No Response</v>
      </c>
      <c r="G170" s="381" t="str">
        <f>'Project-Level Data'!AR50</f>
        <v>No Response</v>
      </c>
    </row>
    <row r="171" spans="2:7" hidden="1" x14ac:dyDescent="0.25">
      <c r="B171" s="227" t="str">
        <f>'Project-Level Data'!B51</f>
        <v>Meadowood WRF</v>
      </c>
      <c r="C171" s="475" t="str">
        <f>'Project-Level Data'!C51</f>
        <v>Recycled Water</v>
      </c>
      <c r="D171" s="477"/>
      <c r="E171" s="378" t="str">
        <f>'Project-Level Data'!AP51</f>
        <v>No Response</v>
      </c>
      <c r="F171" s="387" t="str">
        <f>'Project-Level Data'!AQ51</f>
        <v>No Response</v>
      </c>
      <c r="G171" s="381" t="str">
        <f>'Project-Level Data'!AR51</f>
        <v>No Response</v>
      </c>
    </row>
    <row r="172" spans="2:7" hidden="1" x14ac:dyDescent="0.25">
      <c r="B172" s="227" t="str">
        <f>'Project-Level Data'!B61</f>
        <v>North City WRP - Project 1</v>
      </c>
      <c r="C172" s="475" t="str">
        <f>'Project-Level Data'!C61</f>
        <v>Recycled Water</v>
      </c>
      <c r="D172" s="477"/>
      <c r="E172" s="378">
        <f>'Project-Level Data'!AP61</f>
        <v>4</v>
      </c>
      <c r="F172" s="387">
        <f>'Project-Level Data'!AQ61</f>
        <v>4</v>
      </c>
      <c r="G172" s="381">
        <f>'Project-Level Data'!AR61</f>
        <v>5</v>
      </c>
    </row>
    <row r="173" spans="2:7" ht="15" hidden="1" customHeight="1" x14ac:dyDescent="0.25">
      <c r="B173" s="227" t="str">
        <f>'Project-Level Data'!B62</f>
        <v>North City WRP - Project 2</v>
      </c>
      <c r="C173" s="475" t="str">
        <f>'Project-Level Data'!C62</f>
        <v>Recycled Water</v>
      </c>
      <c r="D173" s="477"/>
      <c r="E173" s="378">
        <f>'Project-Level Data'!AP62</f>
        <v>4</v>
      </c>
      <c r="F173" s="387">
        <f>'Project-Level Data'!AQ62</f>
        <v>4</v>
      </c>
      <c r="G173" s="381">
        <f>'Project-Level Data'!AR62</f>
        <v>5</v>
      </c>
    </row>
    <row r="174" spans="2:7" hidden="1" x14ac:dyDescent="0.25">
      <c r="B174" s="227" t="str">
        <f>'Project-Level Data'!B63</f>
        <v>North District Recycled System/RW Chapman WRF</v>
      </c>
      <c r="C174" s="475" t="str">
        <f>'Project-Level Data'!C63</f>
        <v>Recycled Water</v>
      </c>
      <c r="D174" s="477"/>
      <c r="E174" s="378">
        <f>'Project-Level Data'!AP63</f>
        <v>3</v>
      </c>
      <c r="F174" s="387">
        <f>'Project-Level Data'!AQ63</f>
        <v>3</v>
      </c>
      <c r="G174" s="381">
        <f>'Project-Level Data'!AR63</f>
        <v>3</v>
      </c>
    </row>
    <row r="175" spans="2:7" ht="15" hidden="1" customHeight="1" x14ac:dyDescent="0.25">
      <c r="B175" s="227" t="str">
        <f>'Project-Level Data'!B64</f>
        <v>North San Diego County Regional Recycled Water Project-Phase ll</v>
      </c>
      <c r="C175" s="475" t="str">
        <f>'Project-Level Data'!C64</f>
        <v>Recycled Water</v>
      </c>
      <c r="D175" s="477"/>
      <c r="E175" s="378">
        <f>'Project-Level Data'!AP64</f>
        <v>5</v>
      </c>
      <c r="F175" s="387">
        <f>'Project-Level Data'!AQ64</f>
        <v>5</v>
      </c>
      <c r="G175" s="381">
        <f>'Project-Level Data'!AR64</f>
        <v>5</v>
      </c>
    </row>
    <row r="176" spans="2:7" ht="15" hidden="1" customHeight="1" x14ac:dyDescent="0.25">
      <c r="B176" s="227" t="str">
        <f>'Project-Level Data'!B65</f>
        <v>North Village WRF</v>
      </c>
      <c r="C176" s="475" t="str">
        <f>'Project-Level Data'!C65</f>
        <v>Recycled Water</v>
      </c>
      <c r="D176" s="477"/>
      <c r="E176" s="378" t="str">
        <f>'Project-Level Data'!AP65</f>
        <v>No Response</v>
      </c>
      <c r="F176" s="387" t="str">
        <f>'Project-Level Data'!AQ65</f>
        <v>No Response</v>
      </c>
      <c r="G176" s="381" t="str">
        <f>'Project-Level Data'!AR65</f>
        <v>No Response</v>
      </c>
    </row>
    <row r="177" spans="2:7" hidden="1" x14ac:dyDescent="0.25">
      <c r="B177" s="227" t="str">
        <f>'Project-Level Data'!B66</f>
        <v>North WWTP Landscape Application</v>
      </c>
      <c r="C177" s="475" t="str">
        <f>'Project-Level Data'!C66</f>
        <v>Recycled Water</v>
      </c>
      <c r="D177" s="477"/>
      <c r="E177" s="378">
        <f>'Project-Level Data'!AP66</f>
        <v>5</v>
      </c>
      <c r="F177" s="387">
        <f>'Project-Level Data'!AQ66</f>
        <v>5</v>
      </c>
      <c r="G177" s="381">
        <f>'Project-Level Data'!AR66</f>
        <v>5</v>
      </c>
    </row>
    <row r="178" spans="2:7" ht="15" hidden="1" customHeight="1" x14ac:dyDescent="0.25">
      <c r="B178" s="227" t="str">
        <f>'Project-Level Data'!B78</f>
        <v>Rancho Cielo</v>
      </c>
      <c r="C178" s="475" t="str">
        <f>'Project-Level Data'!C78</f>
        <v>Recycled Water</v>
      </c>
      <c r="D178" s="477"/>
      <c r="E178" s="378">
        <f>'Project-Level Data'!AP78</f>
        <v>5</v>
      </c>
      <c r="F178" s="387">
        <f>'Project-Level Data'!AQ78</f>
        <v>5</v>
      </c>
      <c r="G178" s="381">
        <f>'Project-Level Data'!AR78</f>
        <v>3</v>
      </c>
    </row>
    <row r="179" spans="2:7" hidden="1" x14ac:dyDescent="0.25">
      <c r="B179" s="227" t="str">
        <f>'Project-Level Data'!B80</f>
        <v>Ray Stoyer WRF - Landscape, Irrigation, Dust Control</v>
      </c>
      <c r="C179" s="475" t="str">
        <f>'Project-Level Data'!C80</f>
        <v>Recycled Water</v>
      </c>
      <c r="D179" s="477"/>
      <c r="E179" s="378">
        <f>'Project-Level Data'!AP80</f>
        <v>3</v>
      </c>
      <c r="F179" s="387">
        <f>'Project-Level Data'!AQ80</f>
        <v>3</v>
      </c>
      <c r="G179" s="381">
        <f>'Project-Level Data'!AR80</f>
        <v>3</v>
      </c>
    </row>
    <row r="180" spans="2:7" ht="15" hidden="1" customHeight="1" x14ac:dyDescent="0.25">
      <c r="B180" s="227" t="str">
        <f>'Project-Level Data'!B86</f>
        <v>Safari Drought Response and Outreach</v>
      </c>
      <c r="C180" s="475" t="str">
        <f>'Project-Level Data'!C86</f>
        <v>Recycled Water</v>
      </c>
      <c r="D180" s="477"/>
      <c r="E180" s="378" t="str">
        <f>'Project-Level Data'!AP86</f>
        <v>No Response</v>
      </c>
      <c r="F180" s="387" t="str">
        <f>'Project-Level Data'!AQ86</f>
        <v>No Response</v>
      </c>
      <c r="G180" s="381" t="str">
        <f>'Project-Level Data'!AR86</f>
        <v>No Response</v>
      </c>
    </row>
    <row r="181" spans="2:7" hidden="1" x14ac:dyDescent="0.25">
      <c r="B181" s="227" t="str">
        <f>'Project-Level Data'!B102</f>
        <v>Santa Maria WRP</v>
      </c>
      <c r="C181" s="475" t="str">
        <f>'Project-Level Data'!C102</f>
        <v>Recycled Water</v>
      </c>
      <c r="D181" s="477"/>
      <c r="E181" s="378" t="str">
        <f>'Project-Level Data'!AP102</f>
        <v>No Response</v>
      </c>
      <c r="F181" s="387" t="str">
        <f>'Project-Level Data'!AQ102</f>
        <v>No Response</v>
      </c>
      <c r="G181" s="381" t="str">
        <f>'Project-Level Data'!AR102</f>
        <v>No Response</v>
      </c>
    </row>
    <row r="182" spans="2:7" hidden="1" x14ac:dyDescent="0.25">
      <c r="B182" s="227" t="str">
        <f>'Project-Level Data'!B105</f>
        <v>Shadowridge WRP</v>
      </c>
      <c r="C182" s="475" t="str">
        <f>'Project-Level Data'!C105</f>
        <v>Recycled Water</v>
      </c>
      <c r="D182" s="477"/>
      <c r="E182" s="378" t="str">
        <f>'Project-Level Data'!AP105</f>
        <v>No Response</v>
      </c>
      <c r="F182" s="387" t="str">
        <f>'Project-Level Data'!AQ105</f>
        <v>No Response</v>
      </c>
      <c r="G182" s="381" t="str">
        <f>'Project-Level Data'!AR105</f>
        <v>No Response</v>
      </c>
    </row>
    <row r="183" spans="2:7" ht="25.5" hidden="1" x14ac:dyDescent="0.25">
      <c r="B183" s="227" t="str">
        <f>'Project-Level Data'!B118</f>
        <v>TBD - Evaluation Multiple Options/TBD - Supply/ Source Treatment Plant/Agency for recycled water</v>
      </c>
      <c r="C183" s="475" t="str">
        <f>'Project-Level Data'!C118</f>
        <v>Recycled Water</v>
      </c>
      <c r="D183" s="477"/>
      <c r="E183" s="378">
        <f>'Project-Level Data'!AP118</f>
        <v>3</v>
      </c>
      <c r="F183" s="387">
        <f>'Project-Level Data'!AQ118</f>
        <v>3</v>
      </c>
      <c r="G183" s="381">
        <f>'Project-Level Data'!AR118</f>
        <v>3</v>
      </c>
    </row>
    <row r="184" spans="2:7" hidden="1" x14ac:dyDescent="0.25">
      <c r="B184" s="227" t="str">
        <f>'Project-Level Data'!B122</f>
        <v>Village Park Recycled Water Expansion Project</v>
      </c>
      <c r="C184" s="475" t="str">
        <f>'Project-Level Data'!C122</f>
        <v>Recycled Water</v>
      </c>
      <c r="D184" s="477"/>
      <c r="E184" s="378">
        <f>'Project-Level Data'!AP122</f>
        <v>5</v>
      </c>
      <c r="F184" s="387">
        <f>'Project-Level Data'!AQ122</f>
        <v>5</v>
      </c>
      <c r="G184" s="381">
        <f>'Project-Level Data'!AR122</f>
        <v>5</v>
      </c>
    </row>
    <row r="185" spans="2:7" hidden="1" x14ac:dyDescent="0.25">
      <c r="B185" s="227" t="str">
        <f>'Project-Level Data'!B123</f>
        <v>W+157:181RP/Recycled Water Distribution System</v>
      </c>
      <c r="C185" s="475" t="str">
        <f>'Project-Level Data'!C123</f>
        <v>Recycled Water</v>
      </c>
      <c r="D185" s="477"/>
      <c r="E185" s="378" t="str">
        <f>'Project-Level Data'!AP123</f>
        <v>No Response</v>
      </c>
      <c r="F185" s="387" t="str">
        <f>'Project-Level Data'!AQ123</f>
        <v>No Response</v>
      </c>
      <c r="G185" s="381" t="str">
        <f>'Project-Level Data'!AR123</f>
        <v>No Response</v>
      </c>
    </row>
    <row r="186" spans="2:7" hidden="1" x14ac:dyDescent="0.25">
      <c r="B186" s="227" t="str">
        <f>'Project-Level Data'!B124</f>
        <v>Welk WRF</v>
      </c>
      <c r="C186" s="475" t="str">
        <f>'Project-Level Data'!C124</f>
        <v>Recycled Water</v>
      </c>
      <c r="D186" s="477"/>
      <c r="E186" s="378" t="str">
        <f>'Project-Level Data'!AP124</f>
        <v>No Response</v>
      </c>
      <c r="F186" s="387" t="str">
        <f>'Project-Level Data'!AQ124</f>
        <v>No Response</v>
      </c>
      <c r="G186" s="381" t="str">
        <f>'Project-Level Data'!AR124</f>
        <v>No Response</v>
      </c>
    </row>
    <row r="187" spans="2:7" hidden="1" x14ac:dyDescent="0.25">
      <c r="B187" s="227" t="str">
        <f>'Project-Level Data'!B125</f>
        <v>Woods Valley Ranch WRF Phase 3</v>
      </c>
      <c r="C187" s="475" t="str">
        <f>'Project-Level Data'!C125</f>
        <v>Recycled Water</v>
      </c>
      <c r="D187" s="477"/>
      <c r="E187" s="378" t="str">
        <f>'Project-Level Data'!AP125</f>
        <v>No Response</v>
      </c>
      <c r="F187" s="387" t="str">
        <f>'Project-Level Data'!AQ125</f>
        <v>No Response</v>
      </c>
      <c r="G187" s="381" t="str">
        <f>'Project-Level Data'!AR125</f>
        <v>No Response</v>
      </c>
    </row>
    <row r="188" spans="2:7" hidden="1" x14ac:dyDescent="0.25">
      <c r="B188" s="227" t="str">
        <f>'Project-Level Data'!B15</f>
        <v>Camp Pendleton Desalination Facility</v>
      </c>
      <c r="C188" s="475" t="str">
        <f>'Project-Level Data'!C15</f>
        <v>Seawater Desalination</v>
      </c>
      <c r="D188" s="477"/>
      <c r="E188" s="378">
        <f>'Project-Level Data'!AP15</f>
        <v>3</v>
      </c>
      <c r="F188" s="387">
        <f>'Project-Level Data'!AQ15</f>
        <v>5</v>
      </c>
      <c r="G188" s="381">
        <f>'Project-Level Data'!AR15</f>
        <v>3</v>
      </c>
    </row>
    <row r="189" spans="2:7" ht="15" hidden="1" customHeight="1" x14ac:dyDescent="0.25">
      <c r="B189" s="227" t="str">
        <f>'Project-Level Data'!B83</f>
        <v>Re-rating of Carlsbad Desalination for higher flow</v>
      </c>
      <c r="C189" s="475" t="str">
        <f>'Project-Level Data'!C83</f>
        <v>Seawater Desalination</v>
      </c>
      <c r="D189" s="477"/>
      <c r="E189" s="378" t="str">
        <f>'Project-Level Data'!AP83</f>
        <v>No Response</v>
      </c>
      <c r="F189" s="387" t="str">
        <f>'Project-Level Data'!AQ83</f>
        <v>No Response</v>
      </c>
      <c r="G189" s="381" t="str">
        <f>'Project-Level Data'!AR83</f>
        <v>No Response</v>
      </c>
    </row>
    <row r="190" spans="2:7" ht="15" hidden="1" customHeight="1" x14ac:dyDescent="0.25">
      <c r="B190" s="227" t="str">
        <f>'Project-Level Data'!B85</f>
        <v>Rosarito Beach Desalination</v>
      </c>
      <c r="C190" s="475" t="str">
        <f>'Project-Level Data'!C85</f>
        <v>Seawater Desalination</v>
      </c>
      <c r="D190" s="477"/>
      <c r="E190" s="378">
        <f>'Project-Level Data'!AP85</f>
        <v>3</v>
      </c>
      <c r="F190" s="387">
        <f>'Project-Level Data'!AQ85</f>
        <v>3</v>
      </c>
      <c r="G190" s="381">
        <f>'Project-Level Data'!AR85</f>
        <v>3</v>
      </c>
    </row>
    <row r="191" spans="2:7" ht="38.25" hidden="1" x14ac:dyDescent="0.25">
      <c r="B191" s="227" t="str">
        <f>'Project-Level Data'!B9</f>
        <v>Alternative Compliance Retrofit Project El Norte Parkway and Rincon
Villa Drive, Escondido</v>
      </c>
      <c r="C191" s="475" t="str">
        <f>'Project-Level Data'!C9</f>
        <v>Stormwater BMPs</v>
      </c>
      <c r="D191" s="477"/>
      <c r="E191" s="378" t="str">
        <f>'Project-Level Data'!AP9</f>
        <v>No Response</v>
      </c>
      <c r="F191" s="387" t="str">
        <f>'Project-Level Data'!AQ9</f>
        <v>No Response</v>
      </c>
      <c r="G191" s="381" t="str">
        <f>'Project-Level Data'!AR9</f>
        <v>No Response</v>
      </c>
    </row>
    <row r="192" spans="2:7" ht="15" hidden="1" customHeight="1" x14ac:dyDescent="0.25">
      <c r="B192" s="227" t="str">
        <f>'Project-Level Data'!B10</f>
        <v>Alternative Compliance Retrofit Project Mountain View Park, Escondido</v>
      </c>
      <c r="C192" s="475" t="str">
        <f>'Project-Level Data'!C10</f>
        <v>Stormwater BMPs</v>
      </c>
      <c r="D192" s="477"/>
      <c r="E192" s="378" t="str">
        <f>'Project-Level Data'!AP10</f>
        <v>No Response</v>
      </c>
      <c r="F192" s="387" t="str">
        <f>'Project-Level Data'!AQ10</f>
        <v>No Response</v>
      </c>
      <c r="G192" s="381" t="str">
        <f>'Project-Level Data'!AR10</f>
        <v>No Response</v>
      </c>
    </row>
    <row r="193" spans="2:7" hidden="1" x14ac:dyDescent="0.25">
      <c r="B193" s="227" t="str">
        <f>'Project-Level Data'!B11</f>
        <v>Bakersfield Street and San Altos Channel Restoration</v>
      </c>
      <c r="C193" s="475" t="str">
        <f>'Project-Level Data'!C11</f>
        <v>Stormwater BMPs</v>
      </c>
      <c r="D193" s="477"/>
      <c r="E193" s="378">
        <f>'Project-Level Data'!AP11</f>
        <v>5</v>
      </c>
      <c r="F193" s="387">
        <f>'Project-Level Data'!AQ11</f>
        <v>4</v>
      </c>
      <c r="G193" s="381">
        <f>'Project-Level Data'!AR11</f>
        <v>5</v>
      </c>
    </row>
    <row r="194" spans="2:7" ht="38.25" hidden="1" x14ac:dyDescent="0.25">
      <c r="B194" s="227" t="str">
        <f>'Project-Level Data'!B12</f>
        <v>Broadway Channel Flood Risk Reduction and Water Quality
Improvements</v>
      </c>
      <c r="C194" s="475" t="str">
        <f>'Project-Level Data'!C12</f>
        <v>Stormwater BMPs</v>
      </c>
      <c r="D194" s="477"/>
      <c r="E194" s="378">
        <f>'Project-Level Data'!AP12</f>
        <v>5</v>
      </c>
      <c r="F194" s="387">
        <f>'Project-Level Data'!AQ12</f>
        <v>3</v>
      </c>
      <c r="G194" s="381" t="str">
        <f>'Project-Level Data'!AR12</f>
        <v>MISSING</v>
      </c>
    </row>
    <row r="195" spans="2:7" hidden="1" x14ac:dyDescent="0.25">
      <c r="B195" s="227" t="str">
        <f>'Project-Level Data'!B20</f>
        <v>City of Oceanside Loma Alta Slough Restoration Project</v>
      </c>
      <c r="C195" s="475" t="str">
        <f>'Project-Level Data'!C20</f>
        <v>Stormwater BMPs</v>
      </c>
      <c r="D195" s="477"/>
      <c r="E195" s="378" t="str">
        <f>'Project-Level Data'!AP20</f>
        <v>No Response</v>
      </c>
      <c r="F195" s="387" t="str">
        <f>'Project-Level Data'!AQ20</f>
        <v>No Response</v>
      </c>
      <c r="G195" s="381" t="str">
        <f>'Project-Level Data'!AR20</f>
        <v>No Response</v>
      </c>
    </row>
    <row r="196" spans="2:7" hidden="1" x14ac:dyDescent="0.25">
      <c r="B196" s="227" t="str">
        <f>'Project-Level Data'!B32</f>
        <v>Golden Ave Green Street</v>
      </c>
      <c r="C196" s="475" t="str">
        <f>'Project-Level Data'!C32</f>
        <v>Stormwater BMPs</v>
      </c>
      <c r="D196" s="477"/>
      <c r="E196" s="378">
        <f>'Project-Level Data'!AP32</f>
        <v>5</v>
      </c>
      <c r="F196" s="387">
        <f>'Project-Level Data'!AQ32</f>
        <v>5</v>
      </c>
      <c r="G196" s="381">
        <f>'Project-Level Data'!AR32</f>
        <v>5</v>
      </c>
    </row>
    <row r="197" spans="2:7" hidden="1" x14ac:dyDescent="0.25">
      <c r="B197" s="227" t="str">
        <f>'Project-Level Data'!B39</f>
        <v>Las Colinas Channel Improvments</v>
      </c>
      <c r="C197" s="475" t="str">
        <f>'Project-Level Data'!C39</f>
        <v>Stormwater BMPs</v>
      </c>
      <c r="D197" s="477"/>
      <c r="E197" s="378">
        <f>'Project-Level Data'!AP39</f>
        <v>5</v>
      </c>
      <c r="F197" s="387">
        <f>'Project-Level Data'!AQ39</f>
        <v>5</v>
      </c>
      <c r="G197" s="381">
        <f>'Project-Level Data'!AR39</f>
        <v>5</v>
      </c>
    </row>
    <row r="198" spans="2:7" hidden="1" x14ac:dyDescent="0.25">
      <c r="B198" s="227" t="str">
        <f>'Project-Level Data'!B40</f>
        <v>Lemon Grove Avenue Green Streets</v>
      </c>
      <c r="C198" s="475" t="str">
        <f>'Project-Level Data'!C40</f>
        <v>Stormwater BMPs</v>
      </c>
      <c r="D198" s="477"/>
      <c r="E198" s="378">
        <f>'Project-Level Data'!AP40</f>
        <v>5</v>
      </c>
      <c r="F198" s="387">
        <f>'Project-Level Data'!AQ40</f>
        <v>5</v>
      </c>
      <c r="G198" s="381">
        <f>'Project-Level Data'!AR40</f>
        <v>5</v>
      </c>
    </row>
    <row r="199" spans="2:7" ht="25.5" hidden="1" x14ac:dyDescent="0.25">
      <c r="B199" s="227" t="str">
        <f>'Project-Level Data'!B41</f>
        <v>Leucadia Roadside Park Stormwater Capture/Reuse Project</v>
      </c>
      <c r="C199" s="475" t="str">
        <f>'Project-Level Data'!C41</f>
        <v>Stormwater BMPs</v>
      </c>
      <c r="D199" s="477"/>
      <c r="E199" s="378">
        <f>'Project-Level Data'!AP41</f>
        <v>4</v>
      </c>
      <c r="F199" s="387">
        <f>'Project-Level Data'!AQ41</f>
        <v>5</v>
      </c>
      <c r="G199" s="381">
        <f>'Project-Level Data'!AR41</f>
        <v>3</v>
      </c>
    </row>
    <row r="200" spans="2:7" hidden="1" x14ac:dyDescent="0.25">
      <c r="B200" s="227" t="str">
        <f>'Project-Level Data'!B43</f>
        <v>Lincoln St Green Street</v>
      </c>
      <c r="C200" s="475" t="str">
        <f>'Project-Level Data'!C43</f>
        <v>Stormwater BMPs</v>
      </c>
      <c r="D200" s="477"/>
      <c r="E200" s="378">
        <f>'Project-Level Data'!AP43</f>
        <v>5</v>
      </c>
      <c r="F200" s="387">
        <f>'Project-Level Data'!AQ43</f>
        <v>5</v>
      </c>
      <c r="G200" s="381">
        <f>'Project-Level Data'!AR43</f>
        <v>5</v>
      </c>
    </row>
    <row r="201" spans="2:7" ht="15" hidden="1" customHeight="1" x14ac:dyDescent="0.25">
      <c r="B201" s="227" t="str">
        <f>'Project-Level Data'!B44</f>
        <v xml:space="preserve">Low Impact Development Urban Runoff Control Projects for the Tijuana Estuary </v>
      </c>
      <c r="C201" s="475" t="str">
        <f>'Project-Level Data'!C44</f>
        <v>Stormwater BMPs</v>
      </c>
      <c r="D201" s="477"/>
      <c r="E201" s="378">
        <f>'Project-Level Data'!AP44</f>
        <v>4</v>
      </c>
      <c r="F201" s="387">
        <f>'Project-Level Data'!AQ44</f>
        <v>5</v>
      </c>
      <c r="G201" s="381">
        <f>'Project-Level Data'!AR44</f>
        <v>5</v>
      </c>
    </row>
    <row r="202" spans="2:7" ht="15" hidden="1" customHeight="1" x14ac:dyDescent="0.25">
      <c r="B202" s="227" t="str">
        <f>'Project-Level Data'!B46</f>
        <v>Madera St Green Street</v>
      </c>
      <c r="C202" s="475" t="str">
        <f>'Project-Level Data'!C46</f>
        <v>Stormwater BMPs</v>
      </c>
      <c r="D202" s="477"/>
      <c r="E202" s="378">
        <f>'Project-Level Data'!AP46</f>
        <v>5</v>
      </c>
      <c r="F202" s="387">
        <f>'Project-Level Data'!AQ46</f>
        <v>5</v>
      </c>
      <c r="G202" s="381">
        <f>'Project-Level Data'!AR46</f>
        <v>5</v>
      </c>
    </row>
    <row r="203" spans="2:7" hidden="1" x14ac:dyDescent="0.25">
      <c r="B203" s="227" t="str">
        <f>'Project-Level Data'!B47</f>
        <v>Main Street Promenade Extension</v>
      </c>
      <c r="C203" s="475" t="str">
        <f>'Project-Level Data'!C47</f>
        <v>Stormwater BMPs</v>
      </c>
      <c r="D203" s="477"/>
      <c r="E203" s="378">
        <f>'Project-Level Data'!AP47</f>
        <v>5</v>
      </c>
      <c r="F203" s="387">
        <f>'Project-Level Data'!AQ47</f>
        <v>5</v>
      </c>
      <c r="G203" s="381">
        <f>'Project-Level Data'!AR47</f>
        <v>5</v>
      </c>
    </row>
    <row r="204" spans="2:7" ht="15" hidden="1" customHeight="1" x14ac:dyDescent="0.25">
      <c r="B204" s="227" t="str">
        <f>'Project-Level Data'!B48</f>
        <v>Mapleview Street ‐ Green Infrastructure and Stormwater QualityImprovement Project</v>
      </c>
      <c r="C204" s="475" t="str">
        <f>'Project-Level Data'!C48</f>
        <v>Stormwater BMPs</v>
      </c>
      <c r="D204" s="477"/>
      <c r="E204" s="378">
        <f>'Project-Level Data'!AP48</f>
        <v>4</v>
      </c>
      <c r="F204" s="387">
        <f>'Project-Level Data'!AQ48</f>
        <v>4</v>
      </c>
      <c r="G204" s="381">
        <f>'Project-Level Data'!AR48</f>
        <v>2</v>
      </c>
    </row>
    <row r="205" spans="2:7" ht="25.5" hidden="1" x14ac:dyDescent="0.25">
      <c r="B205" s="227" t="str">
        <f>'Project-Level Data'!B71</f>
        <v>Paradise Valley Creek Water Quality and Community Enhancement</v>
      </c>
      <c r="C205" s="475" t="str">
        <f>'Project-Level Data'!C71</f>
        <v>Stormwater BMPs</v>
      </c>
      <c r="D205" s="477"/>
      <c r="E205" s="378">
        <f>'Project-Level Data'!AP71</f>
        <v>5</v>
      </c>
      <c r="F205" s="387">
        <f>'Project-Level Data'!AQ71</f>
        <v>5</v>
      </c>
      <c r="G205" s="381">
        <f>'Project-Level Data'!AR71</f>
        <v>5</v>
      </c>
    </row>
    <row r="206" spans="2:7" ht="25.5" hidden="1" x14ac:dyDescent="0.25">
      <c r="B206" s="227" t="str">
        <f>'Project-Level Data'!B74</f>
        <v>Pure Water - Los Penasquitos Creek Urban Dry-Weather Water Harvesting</v>
      </c>
      <c r="C206" s="475" t="str">
        <f>'Project-Level Data'!C74</f>
        <v>Stormwater BMPs</v>
      </c>
      <c r="D206" s="477"/>
      <c r="E206" s="378">
        <f>'Project-Level Data'!AP74</f>
        <v>5</v>
      </c>
      <c r="F206" s="387">
        <f>'Project-Level Data'!AQ74</f>
        <v>5</v>
      </c>
      <c r="G206" s="381">
        <f>'Project-Level Data'!AR74</f>
        <v>4</v>
      </c>
    </row>
    <row r="207" spans="2:7" hidden="1" x14ac:dyDescent="0.25">
      <c r="B207" s="227" t="str">
        <f>'Project-Level Data'!B87</f>
        <v>Safari Park Storm Water Capture and Reuse Project</v>
      </c>
      <c r="C207" s="475" t="str">
        <f>'Project-Level Data'!C87</f>
        <v>Stormwater BMPs</v>
      </c>
      <c r="D207" s="477"/>
      <c r="E207" s="378" t="str">
        <f>'Project-Level Data'!AP87</f>
        <v>No Response</v>
      </c>
      <c r="F207" s="387" t="str">
        <f>'Project-Level Data'!AQ87</f>
        <v>No Response</v>
      </c>
      <c r="G207" s="381" t="str">
        <f>'Project-Level Data'!AR87</f>
        <v>No Response</v>
      </c>
    </row>
    <row r="208" spans="2:7" ht="25.5" hidden="1" x14ac:dyDescent="0.25">
      <c r="B208" s="227" t="str">
        <f>'Project-Level Data'!B88</f>
        <v>Safari Park Water Reuse Sustainability and Watershed Protection Prgram</v>
      </c>
      <c r="C208" s="475" t="str">
        <f>'Project-Level Data'!C88</f>
        <v>Stormwater BMPs</v>
      </c>
      <c r="D208" s="477"/>
      <c r="E208" s="378" t="str">
        <f>'Project-Level Data'!AP88</f>
        <v>No Response</v>
      </c>
      <c r="F208" s="387" t="str">
        <f>'Project-Level Data'!AQ88</f>
        <v>No Response</v>
      </c>
      <c r="G208" s="381" t="str">
        <f>'Project-Level Data'!AR88</f>
        <v>No Response</v>
      </c>
    </row>
    <row r="209" spans="1:7" ht="15" hidden="1" customHeight="1" x14ac:dyDescent="0.25">
      <c r="B209" s="227" t="str">
        <f>'Project-Level Data'!B96</f>
        <v>San Marino Drive Green Street and Dry Weather Flow Management Sweetwater</v>
      </c>
      <c r="C209" s="475" t="str">
        <f>'Project-Level Data'!C96</f>
        <v>Stormwater BMPs</v>
      </c>
      <c r="D209" s="477"/>
      <c r="E209" s="378">
        <f>'Project-Level Data'!AP96</f>
        <v>4</v>
      </c>
      <c r="F209" s="387">
        <f>'Project-Level Data'!AQ96</f>
        <v>4</v>
      </c>
      <c r="G209" s="381">
        <f>'Project-Level Data'!AR96</f>
        <v>3</v>
      </c>
    </row>
    <row r="210" spans="1:7" ht="25.5" hidden="1" x14ac:dyDescent="0.25">
      <c r="B210" s="227" t="str">
        <f>'Project-Level Data'!B97</f>
        <v>San Marino Drive Green Street and Dry Weather Flow Management Vallecitos</v>
      </c>
      <c r="C210" s="475" t="str">
        <f>'Project-Level Data'!C97</f>
        <v>Stormwater BMPs</v>
      </c>
      <c r="D210" s="477"/>
      <c r="E210" s="378">
        <f>'Project-Level Data'!AP97</f>
        <v>4</v>
      </c>
      <c r="F210" s="387">
        <f>'Project-Level Data'!AQ97</f>
        <v>4</v>
      </c>
      <c r="G210" s="381">
        <f>'Project-Level Data'!AR97</f>
        <v>3</v>
      </c>
    </row>
    <row r="211" spans="1:7" ht="15" hidden="1" customHeight="1" x14ac:dyDescent="0.25">
      <c r="B211" s="227" t="str">
        <f>'Project-Level Data'!B98</f>
        <v>San Miguel Green Street</v>
      </c>
      <c r="C211" s="475" t="str">
        <f>'Project-Level Data'!C98</f>
        <v>Stormwater BMPs</v>
      </c>
      <c r="D211" s="477"/>
      <c r="E211" s="378" t="str">
        <f>'Project-Level Data'!AP98</f>
        <v>No Response</v>
      </c>
      <c r="F211" s="387" t="str">
        <f>'Project-Level Data'!AQ98</f>
        <v>No Response</v>
      </c>
      <c r="G211" s="381" t="str">
        <f>'Project-Level Data'!AR98</f>
        <v>No Response</v>
      </c>
    </row>
    <row r="212" spans="1:7" ht="15" hidden="1" customHeight="1" x14ac:dyDescent="0.25">
      <c r="B212" s="227" t="str">
        <f>'Project-Level Data'!B106</f>
        <v>Skyline Dr and Kempt St Green Streets</v>
      </c>
      <c r="C212" s="475" t="str">
        <f>'Project-Level Data'!C106</f>
        <v>Stormwater BMPs</v>
      </c>
      <c r="D212" s="477"/>
      <c r="E212" s="378">
        <f>'Project-Level Data'!AP106</f>
        <v>5</v>
      </c>
      <c r="F212" s="387">
        <f>'Project-Level Data'!AQ106</f>
        <v>5</v>
      </c>
      <c r="G212" s="381">
        <f>'Project-Level Data'!AR106</f>
        <v>5</v>
      </c>
    </row>
    <row r="213" spans="1:7" ht="15" hidden="1" customHeight="1" x14ac:dyDescent="0.25">
      <c r="B213" s="227" t="str">
        <f>'Project-Level Data'!B107</f>
        <v>South Santa Fe Green Street Project</v>
      </c>
      <c r="C213" s="475" t="str">
        <f>'Project-Level Data'!C107</f>
        <v>Stormwater BMPs</v>
      </c>
      <c r="D213" s="477"/>
      <c r="E213" s="378">
        <f>'Project-Level Data'!AP107</f>
        <v>1</v>
      </c>
      <c r="F213" s="387">
        <f>'Project-Level Data'!AQ107</f>
        <v>5</v>
      </c>
      <c r="G213" s="381">
        <f>'Project-Level Data'!AR107</f>
        <v>5</v>
      </c>
    </row>
    <row r="214" spans="1:7" hidden="1" x14ac:dyDescent="0.25">
      <c r="B214" s="227" t="str">
        <f>'Project-Level Data'!B111</f>
        <v>Spruce Street Channel Improvement Project</v>
      </c>
      <c r="C214" s="475" t="str">
        <f>'Project-Level Data'!C111</f>
        <v>Stormwater BMPs</v>
      </c>
      <c r="D214" s="477"/>
      <c r="E214" s="378" t="str">
        <f>'Project-Level Data'!AP111</f>
        <v>No Response</v>
      </c>
      <c r="F214" s="387" t="str">
        <f>'Project-Level Data'!AQ111</f>
        <v>No Response</v>
      </c>
      <c r="G214" s="381" t="str">
        <f>'Project-Level Data'!AR111</f>
        <v>No Response</v>
      </c>
    </row>
    <row r="215" spans="1:7" ht="25.5" hidden="1" x14ac:dyDescent="0.25">
      <c r="B215" s="227" t="str">
        <f>'Project-Level Data'!B112</f>
        <v>Storm water Capture off San Diego River along Alvarado Canyon and Fairmont Canyon to Fish and Wildlife site</v>
      </c>
      <c r="C215" s="475" t="str">
        <f>'Project-Level Data'!C112</f>
        <v>Stormwater BMPs</v>
      </c>
      <c r="D215" s="477"/>
      <c r="E215" s="378">
        <f>'Project-Level Data'!AP112</f>
        <v>4</v>
      </c>
      <c r="F215" s="387">
        <f>'Project-Level Data'!AQ112</f>
        <v>3</v>
      </c>
      <c r="G215" s="381">
        <f>'Project-Level Data'!AR112</f>
        <v>3</v>
      </c>
    </row>
    <row r="216" spans="1:7" hidden="1" x14ac:dyDescent="0.25">
      <c r="B216" s="227" t="str">
        <f>'Project-Level Data'!B114</f>
        <v>Sweetwater Rd Green Street</v>
      </c>
      <c r="C216" s="475" t="str">
        <f>'Project-Level Data'!C114</f>
        <v>Stormwater BMPs</v>
      </c>
      <c r="D216" s="477"/>
      <c r="E216" s="378">
        <f>'Project-Level Data'!AP114</f>
        <v>5</v>
      </c>
      <c r="F216" s="387">
        <f>'Project-Level Data'!AQ114</f>
        <v>5</v>
      </c>
      <c r="G216" s="381">
        <f>'Project-Level Data'!AR114</f>
        <v>5</v>
      </c>
    </row>
    <row r="217" spans="1:7" hidden="1" x14ac:dyDescent="0.25">
      <c r="A217" s="84"/>
      <c r="B217" s="227" t="str">
        <f>'Project-Level Data'!B116</f>
        <v>Sweetwater River Park Bioretention</v>
      </c>
      <c r="C217" s="475" t="str">
        <f>'Project-Level Data'!C116</f>
        <v>Stormwater BMPs</v>
      </c>
      <c r="D217" s="477"/>
      <c r="E217" s="378" t="str">
        <f>'Project-Level Data'!AP116</f>
        <v>No Response</v>
      </c>
      <c r="F217" s="387" t="str">
        <f>'Project-Level Data'!AQ116</f>
        <v>No Response</v>
      </c>
      <c r="G217" s="381" t="str">
        <f>'Project-Level Data'!AR116</f>
        <v>No Response</v>
      </c>
    </row>
    <row r="218" spans="1:7" hidden="1" x14ac:dyDescent="0.25">
      <c r="A218" s="11"/>
      <c r="B218" s="227" t="str">
        <f>'Project-Level Data'!B119</f>
        <v>Telegraph Canyon Channel Improvement Project</v>
      </c>
      <c r="C218" s="475" t="str">
        <f>'Project-Level Data'!C119</f>
        <v>Stormwater BMPs</v>
      </c>
      <c r="D218" s="477"/>
      <c r="E218" s="378" t="str">
        <f>'Project-Level Data'!AP119</f>
        <v>No Response</v>
      </c>
      <c r="F218" s="387" t="str">
        <f>'Project-Level Data'!AQ119</f>
        <v>No Response</v>
      </c>
      <c r="G218" s="381" t="str">
        <f>'Project-Level Data'!AR119</f>
        <v>No Response</v>
      </c>
    </row>
    <row r="219" spans="1:7" hidden="1" x14ac:dyDescent="0.25">
      <c r="A219" s="11"/>
      <c r="B219" s="227" t="str">
        <f>'Project-Level Data'!B126</f>
        <v>Woodside Avenue Complete Green Street</v>
      </c>
      <c r="C219" s="475" t="str">
        <f>'Project-Level Data'!C126</f>
        <v>Stormwater BMPs</v>
      </c>
      <c r="D219" s="477"/>
      <c r="E219" s="378">
        <f>'Project-Level Data'!AP126</f>
        <v>4</v>
      </c>
      <c r="F219" s="387">
        <f>'Project-Level Data'!AQ126</f>
        <v>5</v>
      </c>
      <c r="G219" s="381">
        <f>'Project-Level Data'!AR126</f>
        <v>4</v>
      </c>
    </row>
    <row r="220" spans="1:7" ht="15" hidden="1" customHeight="1" x14ac:dyDescent="0.25">
      <c r="A220" s="11"/>
      <c r="B220" s="227" t="str">
        <f>'Project-Level Data'!B57</f>
        <v>Murray Urban Runoff Diversion System Capture</v>
      </c>
      <c r="C220" s="475" t="str">
        <f>'Project-Level Data'!C57</f>
        <v>Stormwater Capture</v>
      </c>
      <c r="D220" s="477"/>
      <c r="E220" s="378">
        <f>'Project-Level Data'!AP57</f>
        <v>3</v>
      </c>
      <c r="F220" s="387">
        <f>'Project-Level Data'!AQ57</f>
        <v>3</v>
      </c>
      <c r="G220" s="381">
        <f>'Project-Level Data'!AR57</f>
        <v>2</v>
      </c>
    </row>
    <row r="221" spans="1:7" hidden="1" x14ac:dyDescent="0.25">
      <c r="A221" s="11"/>
      <c r="B221" s="227" t="str">
        <f>'Project-Level Data'!B77</f>
        <v>Rainwater harvesting</v>
      </c>
      <c r="C221" s="475" t="str">
        <f>'Project-Level Data'!C77</f>
        <v>Stormwater Capture</v>
      </c>
      <c r="D221" s="477"/>
      <c r="E221" s="378">
        <f>'Project-Level Data'!AP77</f>
        <v>4</v>
      </c>
      <c r="F221" s="387">
        <f>'Project-Level Data'!AQ77</f>
        <v>5</v>
      </c>
      <c r="G221" s="381">
        <f>'Project-Level Data'!AR77</f>
        <v>3</v>
      </c>
    </row>
    <row r="222" spans="1:7" hidden="1" x14ac:dyDescent="0.25">
      <c r="A222" s="11"/>
      <c r="B222" s="227" t="str">
        <f>'Project-Level Data'!B55</f>
        <v xml:space="preserve">Ms. Smarty-Plants Grows Water-Wise Schools </v>
      </c>
      <c r="C222" s="475" t="str">
        <f>'Project-Level Data'!C55</f>
        <v>Urban and Agricultural Water Use Efficiency</v>
      </c>
      <c r="D222" s="477"/>
      <c r="E222" s="378" t="str">
        <f>'Project-Level Data'!AP55</f>
        <v>No Response</v>
      </c>
      <c r="F222" s="387" t="str">
        <f>'Project-Level Data'!AQ55</f>
        <v>No Response</v>
      </c>
      <c r="G222" s="381" t="str">
        <f>'Project-Level Data'!AR55</f>
        <v>No Response</v>
      </c>
    </row>
    <row r="223" spans="1:7" ht="15" hidden="1" customHeight="1" x14ac:dyDescent="0.25">
      <c r="A223" s="11"/>
      <c r="B223" s="227" t="str">
        <f>'Project-Level Data'!B81</f>
        <v>Regional Demand Management Program Expansion</v>
      </c>
      <c r="C223" s="475" t="str">
        <f>'Project-Level Data'!C81</f>
        <v>Urban and Agricultural Water Use Efficiency</v>
      </c>
      <c r="D223" s="477"/>
      <c r="E223" s="378">
        <f>'Project-Level Data'!AP81</f>
        <v>5</v>
      </c>
      <c r="F223" s="387">
        <f>'Project-Level Data'!AQ81</f>
        <v>5</v>
      </c>
      <c r="G223" s="381">
        <f>'Project-Level Data'!AR81</f>
        <v>5</v>
      </c>
    </row>
    <row r="224" spans="1:7" hidden="1" x14ac:dyDescent="0.25">
      <c r="A224" s="11"/>
      <c r="B224" s="227" t="str">
        <f>'Project-Level Data'!B82</f>
        <v>Regional Drought Resilience Program</v>
      </c>
      <c r="C224" s="475" t="str">
        <f>'Project-Level Data'!C82</f>
        <v>Urban and Agricultural Water Use Efficiency</v>
      </c>
      <c r="D224" s="477"/>
      <c r="E224" s="378">
        <f>'Project-Level Data'!AP82</f>
        <v>5</v>
      </c>
      <c r="F224" s="387">
        <f>'Project-Level Data'!AQ82</f>
        <v>5</v>
      </c>
      <c r="G224" s="381">
        <f>'Project-Level Data'!AR82</f>
        <v>5</v>
      </c>
    </row>
    <row r="225" spans="1:7" hidden="1" x14ac:dyDescent="0.25">
      <c r="A225" s="11"/>
      <c r="B225" s="227" t="str">
        <f>'Project-Level Data'!B84</f>
        <v>Rincon Customer-Driven Demand Management Program</v>
      </c>
      <c r="C225" s="475" t="str">
        <f>'Project-Level Data'!C84</f>
        <v>Urban and Agricultural Water Use Efficiency</v>
      </c>
      <c r="D225" s="477"/>
      <c r="E225" s="378" t="str">
        <f>'Project-Level Data'!AP84</f>
        <v>No Response</v>
      </c>
      <c r="F225" s="387" t="str">
        <f>'Project-Level Data'!AQ84</f>
        <v>No Response</v>
      </c>
      <c r="G225" s="381" t="str">
        <f>'Project-Level Data'!AR84</f>
        <v>No Response</v>
      </c>
    </row>
    <row r="226" spans="1:7" hidden="1" x14ac:dyDescent="0.25">
      <c r="A226" s="11"/>
      <c r="B226" s="227" t="str">
        <f>'Project-Level Data'!B92</f>
        <v>San Diego Water Conservation Program</v>
      </c>
      <c r="C226" s="475" t="str">
        <f>'Project-Level Data'!C92</f>
        <v>Urban and Agricultural Water Use Efficiency</v>
      </c>
      <c r="D226" s="477"/>
      <c r="E226" s="378">
        <f>'Project-Level Data'!AP92</f>
        <v>5</v>
      </c>
      <c r="F226" s="387">
        <f>'Project-Level Data'!AQ92</f>
        <v>5</v>
      </c>
      <c r="G226" s="381">
        <f>'Project-Level Data'!AR92</f>
        <v>3</v>
      </c>
    </row>
    <row r="227" spans="1:7" hidden="1" x14ac:dyDescent="0.25">
      <c r="A227" s="11"/>
      <c r="B227" s="227" t="str">
        <f>'Project-Level Data'!B93</f>
        <v>San Diego Water Use Reduction Program</v>
      </c>
      <c r="C227" s="475" t="str">
        <f>'Project-Level Data'!C93</f>
        <v>Urban and Agricultural Water Use Efficiency</v>
      </c>
      <c r="D227" s="477"/>
      <c r="E227" s="378">
        <f>'Project-Level Data'!AP93</f>
        <v>3</v>
      </c>
      <c r="F227" s="387">
        <f>'Project-Level Data'!AQ93</f>
        <v>5</v>
      </c>
      <c r="G227" s="381">
        <f>'Project-Level Data'!AR93</f>
        <v>3</v>
      </c>
    </row>
    <row r="228" spans="1:7" ht="25.5" hidden="1" x14ac:dyDescent="0.25">
      <c r="A228" s="11"/>
      <c r="B228" s="227" t="str">
        <f>'Project-Level Data'!B121</f>
        <v>UC San Diego Water Conservation and Watershed Protection</v>
      </c>
      <c r="C228" s="475" t="str">
        <f>'Project-Level Data'!C121</f>
        <v>Urban and Agricultural Water Use Efficiency</v>
      </c>
      <c r="D228" s="477"/>
      <c r="E228" s="378">
        <f>'Project-Level Data'!AP121</f>
        <v>5</v>
      </c>
      <c r="F228" s="387">
        <f>'Project-Level Data'!AQ121</f>
        <v>5</v>
      </c>
      <c r="G228" s="381">
        <f>'Project-Level Data'!AR121</f>
        <v>4</v>
      </c>
    </row>
    <row r="229" spans="1:7" hidden="1" x14ac:dyDescent="0.25">
      <c r="A229" s="11"/>
      <c r="B229" s="227" t="str">
        <f>'Project-Level Data'!B7</f>
        <v>69th St Green Street</v>
      </c>
      <c r="C229" s="475" t="str">
        <f>'Project-Level Data'!C7</f>
        <v>Watershed and Ecosystem Management</v>
      </c>
      <c r="D229" s="477"/>
      <c r="E229" s="378">
        <f>'Project-Level Data'!AP7</f>
        <v>5</v>
      </c>
      <c r="F229" s="387">
        <f>'Project-Level Data'!AQ7</f>
        <v>5</v>
      </c>
      <c r="G229" s="381">
        <f>'Project-Level Data'!AR7</f>
        <v>5</v>
      </c>
    </row>
    <row r="230" spans="1:7" ht="38.25" hidden="1" x14ac:dyDescent="0.25">
      <c r="A230" s="11"/>
      <c r="B230" s="227" t="str">
        <f>'Project-Level Data'!B8</f>
        <v>Alternative Compliance Retrofit Project Avenida Del Diablo Park,
Escondido</v>
      </c>
      <c r="C230" s="475" t="str">
        <f>'Project-Level Data'!C8</f>
        <v>Watershed and Ecosystem Management</v>
      </c>
      <c r="D230" s="477"/>
      <c r="E230" s="378" t="str">
        <f>'Project-Level Data'!AP8</f>
        <v>No Response</v>
      </c>
      <c r="F230" s="387" t="str">
        <f>'Project-Level Data'!AQ8</f>
        <v>No Response</v>
      </c>
      <c r="G230" s="381" t="str">
        <f>'Project-Level Data'!AR8</f>
        <v>No Response</v>
      </c>
    </row>
    <row r="231" spans="1:7" hidden="1" x14ac:dyDescent="0.25">
      <c r="A231" s="11"/>
      <c r="B231" s="227" t="str">
        <f>'Project-Level Data'!B13</f>
        <v>Broadway/Federal Blvd Green Street</v>
      </c>
      <c r="C231" s="475" t="str">
        <f>'Project-Level Data'!C13</f>
        <v>Watershed and Ecosystem Management</v>
      </c>
      <c r="D231" s="477"/>
      <c r="E231" s="378">
        <f>'Project-Level Data'!AP13</f>
        <v>5</v>
      </c>
      <c r="F231" s="387">
        <f>'Project-Level Data'!AQ13</f>
        <v>5</v>
      </c>
      <c r="G231" s="381">
        <f>'Project-Level Data'!AR13</f>
        <v>5</v>
      </c>
    </row>
    <row r="232" spans="1:7" ht="25.5" hidden="1" customHeight="1" x14ac:dyDescent="0.25">
      <c r="A232" s="11"/>
      <c r="B232" s="227" t="str">
        <f>'Project-Level Data'!B16</f>
        <v>Canton Dr Green Street</v>
      </c>
      <c r="C232" s="475" t="str">
        <f>'Project-Level Data'!C16</f>
        <v>Watershed and Ecosystem Management</v>
      </c>
      <c r="D232" s="477"/>
      <c r="E232" s="378">
        <f>'Project-Level Data'!AP16</f>
        <v>5</v>
      </c>
      <c r="F232" s="387">
        <f>'Project-Level Data'!AQ16</f>
        <v>5</v>
      </c>
      <c r="G232" s="381">
        <f>'Project-Level Data'!AR16</f>
        <v>5</v>
      </c>
    </row>
    <row r="233" spans="1:7" hidden="1" x14ac:dyDescent="0.25">
      <c r="A233" s="11"/>
      <c r="B233" s="227" t="str">
        <f>'Project-Level Data'!B19</f>
        <v>Central Avenue Green Street</v>
      </c>
      <c r="C233" s="475" t="str">
        <f>'Project-Level Data'!C19</f>
        <v>Watershed and Ecosystem Management</v>
      </c>
      <c r="D233" s="477"/>
      <c r="E233" s="378">
        <f>'Project-Level Data'!AP19</f>
        <v>5</v>
      </c>
      <c r="F233" s="387">
        <f>'Project-Level Data'!AQ19</f>
        <v>5</v>
      </c>
      <c r="G233" s="381">
        <f>'Project-Level Data'!AR19</f>
        <v>5</v>
      </c>
    </row>
    <row r="234" spans="1:7" hidden="1" x14ac:dyDescent="0.25">
      <c r="A234" s="11"/>
      <c r="B234" s="227" t="str">
        <f>'Project-Level Data'!B30</f>
        <v>Federal Blvd Channel</v>
      </c>
      <c r="C234" s="475" t="str">
        <f>'Project-Level Data'!C30</f>
        <v>Watershed and Ecosystem Management</v>
      </c>
      <c r="D234" s="477"/>
      <c r="E234" s="378">
        <f>'Project-Level Data'!AP30</f>
        <v>5</v>
      </c>
      <c r="F234" s="387">
        <f>'Project-Level Data'!AQ30</f>
        <v>4</v>
      </c>
      <c r="G234" s="381">
        <f>'Project-Level Data'!AR30</f>
        <v>5</v>
      </c>
    </row>
    <row r="235" spans="1:7" ht="15" hidden="1" customHeight="1" x14ac:dyDescent="0.25">
      <c r="A235" s="11"/>
      <c r="B235" s="227" t="str">
        <f>'Project-Level Data'!B31</f>
        <v>Hodges Water Quality Improvement Program</v>
      </c>
      <c r="C235" s="475" t="str">
        <f>'Project-Level Data'!C31</f>
        <v>Watershed and Ecosystem Management</v>
      </c>
      <c r="D235" s="477"/>
      <c r="E235" s="378">
        <f>'Project-Level Data'!AP31</f>
        <v>5</v>
      </c>
      <c r="F235" s="387">
        <f>'Project-Level Data'!AQ31</f>
        <v>5</v>
      </c>
      <c r="G235" s="381">
        <f>'Project-Level Data'!AR31</f>
        <v>5</v>
      </c>
    </row>
    <row r="236" spans="1:7" hidden="1" x14ac:dyDescent="0.25">
      <c r="A236" s="11"/>
      <c r="B236" s="227" t="str">
        <f>'Project-Level Data'!B49</f>
        <v>Massachusetts Blvd Green Street</v>
      </c>
      <c r="C236" s="475" t="str">
        <f>'Project-Level Data'!C49</f>
        <v>Watershed and Ecosystem Management</v>
      </c>
      <c r="D236" s="477"/>
      <c r="E236" s="378">
        <f>'Project-Level Data'!AP49</f>
        <v>5</v>
      </c>
      <c r="F236" s="387">
        <f>'Project-Level Data'!AQ49</f>
        <v>5</v>
      </c>
      <c r="G236" s="381">
        <f>'Project-Level Data'!AR49</f>
        <v>5</v>
      </c>
    </row>
    <row r="237" spans="1:7" ht="15" hidden="1" customHeight="1" x14ac:dyDescent="0.25">
      <c r="A237" s="11"/>
      <c r="B237" s="227" t="str">
        <f>'Project-Level Data'!B56</f>
        <v>Mt. Vernon St Green Street</v>
      </c>
      <c r="C237" s="475" t="str">
        <f>'Project-Level Data'!C56</f>
        <v>Watershed and Ecosystem Management</v>
      </c>
      <c r="D237" s="477"/>
      <c r="E237" s="378">
        <f>'Project-Level Data'!AP56</f>
        <v>5</v>
      </c>
      <c r="F237" s="387">
        <f>'Project-Level Data'!AQ56</f>
        <v>5</v>
      </c>
      <c r="G237" s="381">
        <f>'Project-Level Data'!AR56</f>
        <v>5</v>
      </c>
    </row>
    <row r="238" spans="1:7" hidden="1" x14ac:dyDescent="0.25">
      <c r="A238" s="11"/>
      <c r="B238" s="227" t="str">
        <f>'Project-Level Data'!B58</f>
        <v>Nestor Creek Channel Restoration</v>
      </c>
      <c r="C238" s="475" t="str">
        <f>'Project-Level Data'!C58</f>
        <v>Watershed and Ecosystem Management</v>
      </c>
      <c r="D238" s="477"/>
      <c r="E238" s="378" t="str">
        <f>'Project-Level Data'!AP58</f>
        <v>No Response</v>
      </c>
      <c r="F238" s="387" t="str">
        <f>'Project-Level Data'!AQ58</f>
        <v>No Response</v>
      </c>
      <c r="G238" s="381" t="str">
        <f>'Project-Level Data'!AR58</f>
        <v>No Response</v>
      </c>
    </row>
    <row r="239" spans="1:7" hidden="1" x14ac:dyDescent="0.25">
      <c r="A239" s="11"/>
      <c r="B239" s="227" t="str">
        <f>'Project-Level Data'!B60</f>
        <v>North Ave and Grove Green Street</v>
      </c>
      <c r="C239" s="475" t="str">
        <f>'Project-Level Data'!C60</f>
        <v>Watershed and Ecosystem Management</v>
      </c>
      <c r="D239" s="477"/>
      <c r="E239" s="378">
        <f>'Project-Level Data'!AP60</f>
        <v>5</v>
      </c>
      <c r="F239" s="387">
        <f>'Project-Level Data'!AQ60</f>
        <v>5</v>
      </c>
      <c r="G239" s="381">
        <f>'Project-Level Data'!AR60</f>
        <v>5</v>
      </c>
    </row>
    <row r="240" spans="1:7" ht="15" hidden="1" customHeight="1" x14ac:dyDescent="0.25">
      <c r="A240" s="11"/>
      <c r="B240" s="227" t="str">
        <f>'Project-Level Data'!B69</f>
        <v>Palm St Green Street</v>
      </c>
      <c r="C240" s="475" t="str">
        <f>'Project-Level Data'!C69</f>
        <v>Watershed and Ecosystem Management</v>
      </c>
      <c r="D240" s="477"/>
      <c r="E240" s="378">
        <f>'Project-Level Data'!AP69</f>
        <v>5</v>
      </c>
      <c r="F240" s="387">
        <f>'Project-Level Data'!AQ69</f>
        <v>5</v>
      </c>
      <c r="G240" s="381">
        <f>'Project-Level Data'!AR69</f>
        <v>5</v>
      </c>
    </row>
    <row r="241" spans="1:7" hidden="1" x14ac:dyDescent="0.25">
      <c r="A241" s="11"/>
      <c r="B241" s="227" t="str">
        <f>'Project-Level Data'!B70</f>
        <v>Paradise Creek Restoration Phase II</v>
      </c>
      <c r="C241" s="475" t="str">
        <f>'Project-Level Data'!C70</f>
        <v>Watershed and Ecosystem Management</v>
      </c>
      <c r="D241" s="477"/>
      <c r="E241" s="378">
        <f>'Project-Level Data'!AP70</f>
        <v>5</v>
      </c>
      <c r="F241" s="387">
        <f>'Project-Level Data'!AQ70</f>
        <v>5</v>
      </c>
      <c r="G241" s="381">
        <f>'Project-Level Data'!AR70</f>
        <v>3</v>
      </c>
    </row>
    <row r="242" spans="1:7" hidden="1" x14ac:dyDescent="0.25">
      <c r="A242" s="11"/>
      <c r="B242" s="227" t="str">
        <f>'Project-Level Data'!B91</f>
        <v>San Diego Healthy Headwaters Restoration</v>
      </c>
      <c r="C242" s="475" t="str">
        <f>'Project-Level Data'!C91</f>
        <v>Watershed and Ecosystem Management</v>
      </c>
      <c r="D242" s="477"/>
      <c r="E242" s="378">
        <f>'Project-Level Data'!AP91</f>
        <v>5</v>
      </c>
      <c r="F242" s="387">
        <f>'Project-Level Data'!AQ91</f>
        <v>5</v>
      </c>
      <c r="G242" s="381">
        <f>'Project-Level Data'!AR91</f>
        <v>3</v>
      </c>
    </row>
    <row r="243" spans="1:7" ht="25.5" hidden="1" x14ac:dyDescent="0.25">
      <c r="A243" s="11"/>
      <c r="B243" s="227" t="str">
        <f>'Project-Level Data'!B113</f>
        <v>Sustaining Healthy Tributaries to the Upper San Diego River and Protecting Local Water Supplies</v>
      </c>
      <c r="C243" s="475" t="str">
        <f>'Project-Level Data'!C113</f>
        <v>Watershed and Ecosystem Management</v>
      </c>
      <c r="D243" s="477"/>
      <c r="E243" s="378" t="str">
        <f>'Project-Level Data'!AP113</f>
        <v>No Response</v>
      </c>
      <c r="F243" s="387" t="str">
        <f>'Project-Level Data'!AQ113</f>
        <v>No Response</v>
      </c>
      <c r="G243" s="381" t="str">
        <f>'Project-Level Data'!AR113</f>
        <v>No Response</v>
      </c>
    </row>
    <row r="244" spans="1:7" hidden="1" x14ac:dyDescent="0.25">
      <c r="A244" s="11"/>
      <c r="B244" s="227" t="str">
        <f>'Project-Level Data'!B115</f>
        <v>Sweetwater Reservoir Wetlands Habitat Recovery</v>
      </c>
      <c r="C244" s="475" t="str">
        <f>'Project-Level Data'!C115</f>
        <v>Watershed and Ecosystem Management</v>
      </c>
      <c r="D244" s="477"/>
      <c r="E244" s="378">
        <f>'Project-Level Data'!AP115</f>
        <v>4</v>
      </c>
      <c r="F244" s="387">
        <f>'Project-Level Data'!AQ115</f>
        <v>2</v>
      </c>
      <c r="G244" s="381">
        <f>'Project-Level Data'!AR115</f>
        <v>4</v>
      </c>
    </row>
    <row r="245" spans="1:7" hidden="1" x14ac:dyDescent="0.25">
      <c r="A245" s="11"/>
      <c r="B245" s="227" t="str">
        <f>'Project-Level Data'!B117</f>
        <v>Sycamore Creek Restoration</v>
      </c>
      <c r="C245" s="475" t="str">
        <f>'Project-Level Data'!C117</f>
        <v>Watershed and Ecosystem Management</v>
      </c>
      <c r="D245" s="477"/>
      <c r="E245" s="378">
        <f>'Project-Level Data'!AP117</f>
        <v>4</v>
      </c>
      <c r="F245" s="387">
        <f>'Project-Level Data'!AQ117</f>
        <v>3</v>
      </c>
      <c r="G245" s="381">
        <f>'Project-Level Data'!AR117</f>
        <v>3</v>
      </c>
    </row>
    <row r="246" spans="1:7" ht="15.75" hidden="1" thickBot="1" x14ac:dyDescent="0.3">
      <c r="A246" s="11"/>
      <c r="B246" s="508" t="str">
        <f>'Project-Level Data'!B120</f>
        <v>Tijuana River Floating Trash Capture System</v>
      </c>
      <c r="C246" s="509" t="str">
        <f>'Project-Level Data'!C120</f>
        <v>Watershed and Ecosystem Management</v>
      </c>
      <c r="D246" s="510"/>
      <c r="E246" s="523" t="str">
        <f>'Project-Level Data'!AP120</f>
        <v>No Response</v>
      </c>
      <c r="F246" s="534" t="str">
        <f>'Project-Level Data'!AQ120</f>
        <v>No Response</v>
      </c>
      <c r="G246" s="530" t="str">
        <f>'Project-Level Data'!AR120</f>
        <v>No Response</v>
      </c>
    </row>
    <row r="247" spans="1:7" hidden="1" x14ac:dyDescent="0.25">
      <c r="A247" s="11"/>
      <c r="B247" s="370"/>
      <c r="C247" s="515" t="s">
        <v>855</v>
      </c>
      <c r="D247" s="515"/>
      <c r="E247" s="485">
        <f>COUNTIFS(E127:E246, "=MISSING")</f>
        <v>0</v>
      </c>
      <c r="F247" s="535">
        <f t="shared" ref="F247:G247" si="30">COUNTIFS(F127:F246, "=MISSING")</f>
        <v>0</v>
      </c>
      <c r="G247" s="398">
        <f t="shared" si="30"/>
        <v>1</v>
      </c>
    </row>
    <row r="248" spans="1:7" hidden="1" x14ac:dyDescent="0.25">
      <c r="A248" s="11"/>
      <c r="B248" s="227"/>
      <c r="C248" s="516" t="s">
        <v>856</v>
      </c>
      <c r="D248" s="516"/>
      <c r="E248" s="378">
        <f>COUNTIFS(E127:E246, "=No Response")</f>
        <v>33</v>
      </c>
      <c r="F248" s="387">
        <f t="shared" ref="F248:G248" si="31">COUNTIFS(F127:F246, "=No Response")</f>
        <v>33</v>
      </c>
      <c r="G248" s="381">
        <f t="shared" si="31"/>
        <v>33</v>
      </c>
    </row>
    <row r="249" spans="1:7" hidden="1" x14ac:dyDescent="0.25">
      <c r="A249" s="11"/>
      <c r="B249" s="227"/>
      <c r="C249" s="516" t="s">
        <v>858</v>
      </c>
      <c r="D249" s="516"/>
      <c r="E249" s="378">
        <f>COUNTIFS(E127:E246, "=REMOVED")</f>
        <v>1</v>
      </c>
      <c r="F249" s="387">
        <f t="shared" ref="F249:G249" si="32">COUNTIFS(F127:F246, "=REMOVED")</f>
        <v>1</v>
      </c>
      <c r="G249" s="381">
        <f t="shared" si="32"/>
        <v>1</v>
      </c>
    </row>
    <row r="250" spans="1:7" ht="15.75" hidden="1" thickBot="1" x14ac:dyDescent="0.3">
      <c r="A250" s="11"/>
      <c r="B250" s="328"/>
      <c r="C250" s="517" t="s">
        <v>859</v>
      </c>
      <c r="D250" s="517"/>
      <c r="E250" s="382">
        <f>COUNTIFS(E127:E246, "&gt;0")</f>
        <v>86</v>
      </c>
      <c r="F250" s="388">
        <f t="shared" ref="F250:G250" si="33">COUNTIFS(F127:F246, "&gt;0")</f>
        <v>86</v>
      </c>
      <c r="G250" s="385">
        <f t="shared" si="33"/>
        <v>85</v>
      </c>
    </row>
    <row r="251" spans="1:7" hidden="1" x14ac:dyDescent="0.25">
      <c r="A251" s="11"/>
      <c r="B251" s="11"/>
      <c r="C251" s="84"/>
      <c r="D251" s="84"/>
    </row>
    <row r="252" spans="1:7" ht="15.75" hidden="1" thickBot="1" x14ac:dyDescent="0.3">
      <c r="A252" s="11"/>
      <c r="B252" s="1" t="s">
        <v>728</v>
      </c>
    </row>
    <row r="253" spans="1:7" ht="52.5" hidden="1" customHeight="1" x14ac:dyDescent="0.25">
      <c r="A253" s="11"/>
      <c r="B253" s="800" t="s">
        <v>374</v>
      </c>
      <c r="C253" s="821" t="s">
        <v>6</v>
      </c>
      <c r="D253" s="821"/>
      <c r="E253" s="817" t="s">
        <v>775</v>
      </c>
      <c r="F253" s="823"/>
      <c r="G253" s="373" t="s">
        <v>776</v>
      </c>
    </row>
    <row r="254" spans="1:7" ht="45" hidden="1" customHeight="1" thickBot="1" x14ac:dyDescent="0.3">
      <c r="A254" s="11"/>
      <c r="B254" s="801"/>
      <c r="C254" s="822"/>
      <c r="D254" s="822"/>
      <c r="E254" s="352" t="s">
        <v>171</v>
      </c>
      <c r="F254" s="353" t="s">
        <v>174</v>
      </c>
      <c r="G254" s="355" t="s">
        <v>177</v>
      </c>
    </row>
    <row r="255" spans="1:7" hidden="1" x14ac:dyDescent="0.25">
      <c r="A255" s="11"/>
      <c r="B255" s="370" t="str">
        <f>'Concept-Level Data'!A7</f>
        <v>Respondent 1</v>
      </c>
      <c r="C255" s="805" t="str">
        <f>'Concept-Level Data'!B7</f>
        <v>Conveyance Improvement</v>
      </c>
      <c r="D255" s="806"/>
      <c r="E255" s="374">
        <f>'Concept-Level Data'!Z7</f>
        <v>3</v>
      </c>
      <c r="F255" s="386">
        <f>'Concept-Level Data'!AA7</f>
        <v>3</v>
      </c>
      <c r="G255" s="377">
        <f>'Concept-Level Data'!AB7</f>
        <v>3</v>
      </c>
    </row>
    <row r="256" spans="1:7" hidden="1" x14ac:dyDescent="0.25">
      <c r="A256" s="11"/>
      <c r="B256" s="227" t="str">
        <f>'Concept-Level Data'!A8</f>
        <v>Respondent 1</v>
      </c>
      <c r="C256" s="793" t="str">
        <f>'Concept-Level Data'!B8</f>
        <v>Drought Restriction/Allocation</v>
      </c>
      <c r="D256" s="794"/>
      <c r="E256" s="378">
        <f>'Concept-Level Data'!Z8</f>
        <v>3</v>
      </c>
      <c r="F256" s="387">
        <f>'Concept-Level Data'!AA8</f>
        <v>3</v>
      </c>
      <c r="G256" s="381">
        <f>'Concept-Level Data'!AB8</f>
        <v>3</v>
      </c>
    </row>
    <row r="257" spans="1:7" hidden="1" x14ac:dyDescent="0.25">
      <c r="A257" s="11"/>
      <c r="B257" s="227" t="str">
        <f>'Concept-Level Data'!A9</f>
        <v>Respondent 1</v>
      </c>
      <c r="C257" s="793" t="str">
        <f>'Concept-Level Data'!B9</f>
        <v>Firm Water Supply Agreements</v>
      </c>
      <c r="D257" s="794"/>
      <c r="E257" s="378">
        <f>'Concept-Level Data'!Z9</f>
        <v>3</v>
      </c>
      <c r="F257" s="387">
        <f>'Concept-Level Data'!AA9</f>
        <v>3</v>
      </c>
      <c r="G257" s="381">
        <f>'Concept-Level Data'!AB9</f>
        <v>3</v>
      </c>
    </row>
    <row r="258" spans="1:7" hidden="1" x14ac:dyDescent="0.25">
      <c r="A258" s="11"/>
      <c r="B258" s="227" t="str">
        <f>'Concept-Level Data'!A10</f>
        <v>Respondent 1</v>
      </c>
      <c r="C258" s="793" t="str">
        <f>'Concept-Level Data'!B10</f>
        <v>Gray Water Use</v>
      </c>
      <c r="D258" s="794"/>
      <c r="E258" s="378">
        <f>'Concept-Level Data'!Z10</f>
        <v>3</v>
      </c>
      <c r="F258" s="387">
        <f>'Concept-Level Data'!AA10</f>
        <v>3</v>
      </c>
      <c r="G258" s="381">
        <f>'Concept-Level Data'!AB10</f>
        <v>3</v>
      </c>
    </row>
    <row r="259" spans="1:7" hidden="1" x14ac:dyDescent="0.25">
      <c r="A259" s="11"/>
      <c r="B259" s="227" t="str">
        <f>'Concept-Level Data'!A11</f>
        <v>Respondent 1</v>
      </c>
      <c r="C259" s="793" t="str">
        <f>'Concept-Level Data'!B11</f>
        <v>Groundwater</v>
      </c>
      <c r="D259" s="794"/>
      <c r="E259" s="378">
        <f>'Concept-Level Data'!Z11</f>
        <v>3</v>
      </c>
      <c r="F259" s="387">
        <f>'Concept-Level Data'!AA11</f>
        <v>3</v>
      </c>
      <c r="G259" s="381">
        <f>'Concept-Level Data'!AB11</f>
        <v>3</v>
      </c>
    </row>
    <row r="260" spans="1:7" hidden="1" x14ac:dyDescent="0.25">
      <c r="A260" s="11"/>
      <c r="B260" s="227" t="str">
        <f>'Concept-Level Data'!A12</f>
        <v>Respondent 1</v>
      </c>
      <c r="C260" s="793" t="str">
        <f>'Concept-Level Data'!B12</f>
        <v>Imported Water Purchases</v>
      </c>
      <c r="D260" s="794"/>
      <c r="E260" s="378">
        <f>'Concept-Level Data'!Z12</f>
        <v>3</v>
      </c>
      <c r="F260" s="387">
        <f>'Concept-Level Data'!AA12</f>
        <v>3</v>
      </c>
      <c r="G260" s="381">
        <f>'Concept-Level Data'!AB12</f>
        <v>3</v>
      </c>
    </row>
    <row r="261" spans="1:7" hidden="1" x14ac:dyDescent="0.25">
      <c r="A261" s="11"/>
      <c r="B261" s="227" t="str">
        <f>'Concept-Level Data'!A13</f>
        <v>Respondent 1</v>
      </c>
      <c r="C261" s="793" t="str">
        <f>'Concept-Level Data'!B13</f>
        <v>Local Surface Water Reservoirs</v>
      </c>
      <c r="D261" s="794"/>
      <c r="E261" s="378">
        <f>'Concept-Level Data'!Z13</f>
        <v>4</v>
      </c>
      <c r="F261" s="387">
        <f>'Concept-Level Data'!AA13</f>
        <v>5</v>
      </c>
      <c r="G261" s="381">
        <f>'Concept-Level Data'!AB13</f>
        <v>5</v>
      </c>
    </row>
    <row r="262" spans="1:7" hidden="1" x14ac:dyDescent="0.25">
      <c r="A262" s="11"/>
      <c r="B262" s="227" t="str">
        <f>'Concept-Level Data'!A14</f>
        <v>Respondent 1</v>
      </c>
      <c r="C262" s="793" t="str">
        <f>'Concept-Level Data'!B14</f>
        <v>Potable Reuse</v>
      </c>
      <c r="D262" s="794"/>
      <c r="E262" s="378">
        <f>'Concept-Level Data'!Z14</f>
        <v>3</v>
      </c>
      <c r="F262" s="387">
        <f>'Concept-Level Data'!AA14</f>
        <v>3</v>
      </c>
      <c r="G262" s="381">
        <f>'Concept-Level Data'!AB14</f>
        <v>3</v>
      </c>
    </row>
    <row r="263" spans="1:7" hidden="1" x14ac:dyDescent="0.25">
      <c r="A263" s="11"/>
      <c r="B263" s="227" t="str">
        <f>'Concept-Level Data'!A15</f>
        <v>Respondent 1</v>
      </c>
      <c r="C263" s="793" t="str">
        <f>'Concept-Level Data'!B15</f>
        <v>Recycled Water</v>
      </c>
      <c r="D263" s="794"/>
      <c r="E263" s="378">
        <f>'Concept-Level Data'!Z15</f>
        <v>3</v>
      </c>
      <c r="F263" s="387">
        <f>'Concept-Level Data'!AA15</f>
        <v>3</v>
      </c>
      <c r="G263" s="381">
        <f>'Concept-Level Data'!AB15</f>
        <v>3</v>
      </c>
    </row>
    <row r="264" spans="1:7" hidden="1" x14ac:dyDescent="0.25">
      <c r="A264" s="11"/>
      <c r="B264" s="227" t="str">
        <f>'Concept-Level Data'!A16</f>
        <v>Respondent 1</v>
      </c>
      <c r="C264" s="793" t="str">
        <f>'Concept-Level Data'!B16</f>
        <v>Seawater Desalination</v>
      </c>
      <c r="D264" s="794"/>
      <c r="E264" s="378">
        <f>'Concept-Level Data'!Z16</f>
        <v>3</v>
      </c>
      <c r="F264" s="387">
        <f>'Concept-Level Data'!AA16</f>
        <v>3</v>
      </c>
      <c r="G264" s="381">
        <f>'Concept-Level Data'!AB16</f>
        <v>3</v>
      </c>
    </row>
    <row r="265" spans="1:7" hidden="1" x14ac:dyDescent="0.25">
      <c r="A265" s="11"/>
      <c r="B265" s="227" t="str">
        <f>'Concept-Level Data'!A17</f>
        <v>Respondent 1</v>
      </c>
      <c r="C265" s="793" t="str">
        <f>'Concept-Level Data'!B17</f>
        <v>Stormwater BMPs</v>
      </c>
      <c r="D265" s="794"/>
      <c r="E265" s="378">
        <f>'Concept-Level Data'!Z17</f>
        <v>5</v>
      </c>
      <c r="F265" s="387">
        <f>'Concept-Level Data'!AA17</f>
        <v>5</v>
      </c>
      <c r="G265" s="381">
        <f>'Concept-Level Data'!AB17</f>
        <v>3</v>
      </c>
    </row>
    <row r="266" spans="1:7" hidden="1" x14ac:dyDescent="0.25">
      <c r="A266" s="11"/>
      <c r="B266" s="227" t="str">
        <f>'Concept-Level Data'!A18</f>
        <v>Respondent 1</v>
      </c>
      <c r="C266" s="793" t="str">
        <f>'Concept-Level Data'!B18</f>
        <v>Stormwater Capture</v>
      </c>
      <c r="D266" s="794"/>
      <c r="E266" s="378">
        <f>'Concept-Level Data'!Z18</f>
        <v>3</v>
      </c>
      <c r="F266" s="387">
        <f>'Concept-Level Data'!AA18</f>
        <v>3</v>
      </c>
      <c r="G266" s="381">
        <f>'Concept-Level Data'!AB18</f>
        <v>3</v>
      </c>
    </row>
    <row r="267" spans="1:7" hidden="1" x14ac:dyDescent="0.25">
      <c r="A267" s="11"/>
      <c r="B267" s="227" t="str">
        <f>'Concept-Level Data'!A19</f>
        <v>Respondent 1</v>
      </c>
      <c r="C267" s="793" t="str">
        <f>'Concept-Level Data'!B19</f>
        <v>Urban and Agricultural Water Use Efficiency</v>
      </c>
      <c r="D267" s="794"/>
      <c r="E267" s="378">
        <f>'Concept-Level Data'!Z19</f>
        <v>3</v>
      </c>
      <c r="F267" s="387">
        <f>'Concept-Level Data'!AA19</f>
        <v>3</v>
      </c>
      <c r="G267" s="381">
        <f>'Concept-Level Data'!AB19</f>
        <v>3</v>
      </c>
    </row>
    <row r="268" spans="1:7" hidden="1" x14ac:dyDescent="0.25">
      <c r="A268" s="11"/>
      <c r="B268" s="227" t="str">
        <f>'Concept-Level Data'!A20</f>
        <v>Respondent 1</v>
      </c>
      <c r="C268" s="793" t="str">
        <f>'Concept-Level Data'!B20</f>
        <v>Watershed and Ecosystem Management</v>
      </c>
      <c r="D268" s="794"/>
      <c r="E268" s="378">
        <f>'Concept-Level Data'!Z20</f>
        <v>5</v>
      </c>
      <c r="F268" s="387">
        <f>'Concept-Level Data'!AA20</f>
        <v>5</v>
      </c>
      <c r="G268" s="381">
        <f>'Concept-Level Data'!AB20</f>
        <v>5</v>
      </c>
    </row>
    <row r="269" spans="1:7" hidden="1" x14ac:dyDescent="0.25">
      <c r="A269" s="11"/>
      <c r="B269" s="227" t="str">
        <f>'Concept-Level Data'!A21</f>
        <v>Respondent 2</v>
      </c>
      <c r="C269" s="793" t="str">
        <f>'Concept-Level Data'!B21</f>
        <v>Conveyance Improvement</v>
      </c>
      <c r="D269" s="794"/>
      <c r="E269" s="378">
        <f>'Concept-Level Data'!Z21</f>
        <v>3</v>
      </c>
      <c r="F269" s="387">
        <f>'Concept-Level Data'!AA21</f>
        <v>3</v>
      </c>
      <c r="G269" s="381">
        <f>'Concept-Level Data'!AB21</f>
        <v>3</v>
      </c>
    </row>
    <row r="270" spans="1:7" hidden="1" x14ac:dyDescent="0.25">
      <c r="A270" s="11"/>
      <c r="B270" s="227" t="str">
        <f>'Concept-Level Data'!A22</f>
        <v>Respondent 2</v>
      </c>
      <c r="C270" s="793" t="str">
        <f>'Concept-Level Data'!B22</f>
        <v>Drought Restriction/Allocation</v>
      </c>
      <c r="D270" s="794"/>
      <c r="E270" s="378">
        <f>'Concept-Level Data'!Z22</f>
        <v>2</v>
      </c>
      <c r="F270" s="387">
        <f>'Concept-Level Data'!AA22</f>
        <v>2</v>
      </c>
      <c r="G270" s="381">
        <f>'Concept-Level Data'!AB22</f>
        <v>2</v>
      </c>
    </row>
    <row r="271" spans="1:7" hidden="1" x14ac:dyDescent="0.25">
      <c r="A271" s="11"/>
      <c r="B271" s="227" t="str">
        <f>'Concept-Level Data'!A23</f>
        <v>Respondent 2</v>
      </c>
      <c r="C271" s="793" t="str">
        <f>'Concept-Level Data'!B23</f>
        <v>Firm Water Supply Agreements</v>
      </c>
      <c r="D271" s="794"/>
      <c r="E271" s="378">
        <f>'Concept-Level Data'!Z23</f>
        <v>3</v>
      </c>
      <c r="F271" s="387">
        <f>'Concept-Level Data'!AA23</f>
        <v>3</v>
      </c>
      <c r="G271" s="381">
        <f>'Concept-Level Data'!AB23</f>
        <v>3</v>
      </c>
    </row>
    <row r="272" spans="1:7" hidden="1" x14ac:dyDescent="0.25">
      <c r="A272" s="11"/>
      <c r="B272" s="227" t="str">
        <f>'Concept-Level Data'!A24</f>
        <v>Respondent 2</v>
      </c>
      <c r="C272" s="793" t="str">
        <f>'Concept-Level Data'!B24</f>
        <v>Gray Water Use</v>
      </c>
      <c r="D272" s="794"/>
      <c r="E272" s="378">
        <f>'Concept-Level Data'!Z24</f>
        <v>3</v>
      </c>
      <c r="F272" s="387">
        <f>'Concept-Level Data'!AA24</f>
        <v>3</v>
      </c>
      <c r="G272" s="381">
        <f>'Concept-Level Data'!AB24</f>
        <v>3</v>
      </c>
    </row>
    <row r="273" spans="1:7" hidden="1" x14ac:dyDescent="0.25">
      <c r="A273" s="11"/>
      <c r="B273" s="227" t="str">
        <f>'Concept-Level Data'!A25</f>
        <v>Respondent 2</v>
      </c>
      <c r="C273" s="793" t="str">
        <f>'Concept-Level Data'!B25</f>
        <v>Groundwater</v>
      </c>
      <c r="D273" s="794"/>
      <c r="E273" s="378">
        <f>'Concept-Level Data'!Z25</f>
        <v>3</v>
      </c>
      <c r="F273" s="387">
        <f>'Concept-Level Data'!AA25</f>
        <v>3</v>
      </c>
      <c r="G273" s="381">
        <f>'Concept-Level Data'!AB25</f>
        <v>3</v>
      </c>
    </row>
    <row r="274" spans="1:7" hidden="1" x14ac:dyDescent="0.25">
      <c r="A274" s="11"/>
      <c r="B274" s="227" t="str">
        <f>'Concept-Level Data'!A26</f>
        <v>Respondent 2</v>
      </c>
      <c r="C274" s="793" t="str">
        <f>'Concept-Level Data'!B26</f>
        <v>Imported Water Purchases</v>
      </c>
      <c r="D274" s="794"/>
      <c r="E274" s="378">
        <f>'Concept-Level Data'!Z26</f>
        <v>3</v>
      </c>
      <c r="F274" s="387">
        <f>'Concept-Level Data'!AA26</f>
        <v>3</v>
      </c>
      <c r="G274" s="381">
        <f>'Concept-Level Data'!AB26</f>
        <v>3</v>
      </c>
    </row>
    <row r="275" spans="1:7" hidden="1" x14ac:dyDescent="0.25">
      <c r="A275" s="11"/>
      <c r="B275" s="227" t="str">
        <f>'Concept-Level Data'!A27</f>
        <v>Respondent 2</v>
      </c>
      <c r="C275" s="793" t="str">
        <f>'Concept-Level Data'!B27</f>
        <v>Local Surface Water Reservoirs</v>
      </c>
      <c r="D275" s="794"/>
      <c r="E275" s="378">
        <f>'Concept-Level Data'!Z27</f>
        <v>4</v>
      </c>
      <c r="F275" s="387">
        <f>'Concept-Level Data'!AA27</f>
        <v>4</v>
      </c>
      <c r="G275" s="381">
        <f>'Concept-Level Data'!AB27</f>
        <v>4</v>
      </c>
    </row>
    <row r="276" spans="1:7" hidden="1" x14ac:dyDescent="0.25">
      <c r="A276" s="11"/>
      <c r="B276" s="227" t="str">
        <f>'Concept-Level Data'!A28</f>
        <v>Respondent 2</v>
      </c>
      <c r="C276" s="793" t="str">
        <f>'Concept-Level Data'!B28</f>
        <v>Potable Reuse</v>
      </c>
      <c r="D276" s="794"/>
      <c r="E276" s="378">
        <f>'Concept-Level Data'!Z28</f>
        <v>3</v>
      </c>
      <c r="F276" s="387">
        <f>'Concept-Level Data'!AA28</f>
        <v>3</v>
      </c>
      <c r="G276" s="381">
        <f>'Concept-Level Data'!AB28</f>
        <v>4</v>
      </c>
    </row>
    <row r="277" spans="1:7" hidden="1" x14ac:dyDescent="0.25">
      <c r="A277" s="11"/>
      <c r="B277" s="227" t="str">
        <f>'Concept-Level Data'!A29</f>
        <v>Respondent 2</v>
      </c>
      <c r="C277" s="793" t="str">
        <f>'Concept-Level Data'!B29</f>
        <v>Recycled Water</v>
      </c>
      <c r="D277" s="794"/>
      <c r="E277" s="378">
        <f>'Concept-Level Data'!Z29</f>
        <v>4</v>
      </c>
      <c r="F277" s="387">
        <f>'Concept-Level Data'!AA29</f>
        <v>4</v>
      </c>
      <c r="G277" s="381">
        <f>'Concept-Level Data'!AB29</f>
        <v>4</v>
      </c>
    </row>
    <row r="278" spans="1:7" hidden="1" x14ac:dyDescent="0.25">
      <c r="A278" s="11"/>
      <c r="B278" s="227" t="str">
        <f>'Concept-Level Data'!A30</f>
        <v>Respondent 2</v>
      </c>
      <c r="C278" s="793" t="str">
        <f>'Concept-Level Data'!B30</f>
        <v>Seawater Desalination</v>
      </c>
      <c r="D278" s="794"/>
      <c r="E278" s="378">
        <f>'Concept-Level Data'!Z30</f>
        <v>3</v>
      </c>
      <c r="F278" s="387">
        <f>'Concept-Level Data'!AA30</f>
        <v>3</v>
      </c>
      <c r="G278" s="381">
        <f>'Concept-Level Data'!AB30</f>
        <v>3</v>
      </c>
    </row>
    <row r="279" spans="1:7" hidden="1" x14ac:dyDescent="0.25">
      <c r="A279" s="11"/>
      <c r="B279" s="227" t="str">
        <f>'Concept-Level Data'!A31</f>
        <v>Respondent 2</v>
      </c>
      <c r="C279" s="793" t="str">
        <f>'Concept-Level Data'!B31</f>
        <v>Stormwater BMPs</v>
      </c>
      <c r="D279" s="794"/>
      <c r="E279" s="378">
        <f>'Concept-Level Data'!Z31</f>
        <v>4</v>
      </c>
      <c r="F279" s="387">
        <f>'Concept-Level Data'!AA31</f>
        <v>4</v>
      </c>
      <c r="G279" s="381">
        <f>'Concept-Level Data'!AB31</f>
        <v>4</v>
      </c>
    </row>
    <row r="280" spans="1:7" hidden="1" x14ac:dyDescent="0.25">
      <c r="A280" s="11"/>
      <c r="B280" s="227" t="str">
        <f>'Concept-Level Data'!A32</f>
        <v>Respondent 2</v>
      </c>
      <c r="C280" s="793" t="str">
        <f>'Concept-Level Data'!B32</f>
        <v>Stormwater Capture</v>
      </c>
      <c r="D280" s="794"/>
      <c r="E280" s="378">
        <f>'Concept-Level Data'!Z32</f>
        <v>3</v>
      </c>
      <c r="F280" s="387">
        <f>'Concept-Level Data'!AA32</f>
        <v>3</v>
      </c>
      <c r="G280" s="381">
        <f>'Concept-Level Data'!AB32</f>
        <v>3</v>
      </c>
    </row>
    <row r="281" spans="1:7" hidden="1" x14ac:dyDescent="0.25">
      <c r="A281" s="11"/>
      <c r="B281" s="227" t="str">
        <f>'Concept-Level Data'!A33</f>
        <v>Respondent 2</v>
      </c>
      <c r="C281" s="793" t="str">
        <f>'Concept-Level Data'!B33</f>
        <v>Urban and Agricultural Water Use Efficiency</v>
      </c>
      <c r="D281" s="794"/>
      <c r="E281" s="378">
        <f>'Concept-Level Data'!Z33</f>
        <v>3</v>
      </c>
      <c r="F281" s="387">
        <f>'Concept-Level Data'!AA33</f>
        <v>4</v>
      </c>
      <c r="G281" s="381">
        <f>'Concept-Level Data'!AB33</f>
        <v>3</v>
      </c>
    </row>
    <row r="282" spans="1:7" hidden="1" x14ac:dyDescent="0.25">
      <c r="A282" s="11"/>
      <c r="B282" s="227" t="str">
        <f>'Concept-Level Data'!A34</f>
        <v>Respondent 2</v>
      </c>
      <c r="C282" s="793" t="str">
        <f>'Concept-Level Data'!B34</f>
        <v>Watershed and Ecosystem Management</v>
      </c>
      <c r="D282" s="794"/>
      <c r="E282" s="378">
        <f>'Concept-Level Data'!Z34</f>
        <v>4</v>
      </c>
      <c r="F282" s="387">
        <f>'Concept-Level Data'!AA34</f>
        <v>4</v>
      </c>
      <c r="G282" s="381">
        <f>'Concept-Level Data'!AB34</f>
        <v>4</v>
      </c>
    </row>
    <row r="283" spans="1:7" hidden="1" x14ac:dyDescent="0.25">
      <c r="A283" s="11"/>
      <c r="B283" s="227" t="str">
        <f>'Concept-Level Data'!A35</f>
        <v>Respondent 3</v>
      </c>
      <c r="C283" s="793" t="str">
        <f>'Concept-Level Data'!B35</f>
        <v>Conveyance Improvement</v>
      </c>
      <c r="D283" s="794"/>
      <c r="E283" s="378">
        <f>'Concept-Level Data'!Z35</f>
        <v>3</v>
      </c>
      <c r="F283" s="387">
        <f>'Concept-Level Data'!AA35</f>
        <v>4</v>
      </c>
      <c r="G283" s="381">
        <f>'Concept-Level Data'!AB35</f>
        <v>3</v>
      </c>
    </row>
    <row r="284" spans="1:7" hidden="1" x14ac:dyDescent="0.25">
      <c r="A284" s="11"/>
      <c r="B284" s="227" t="str">
        <f>'Concept-Level Data'!A36</f>
        <v>Respondent 3</v>
      </c>
      <c r="C284" s="793" t="str">
        <f>'Concept-Level Data'!B36</f>
        <v>Drought Restriction/Allocation</v>
      </c>
      <c r="D284" s="794"/>
      <c r="E284" s="378">
        <f>'Concept-Level Data'!Z36</f>
        <v>2</v>
      </c>
      <c r="F284" s="387">
        <f>'Concept-Level Data'!AA36</f>
        <v>2</v>
      </c>
      <c r="G284" s="381">
        <f>'Concept-Level Data'!AB36</f>
        <v>2</v>
      </c>
    </row>
    <row r="285" spans="1:7" hidden="1" x14ac:dyDescent="0.25">
      <c r="A285" s="11"/>
      <c r="B285" s="227" t="str">
        <f>'Concept-Level Data'!A37</f>
        <v>Respondent 3</v>
      </c>
      <c r="C285" s="793" t="str">
        <f>'Concept-Level Data'!B37</f>
        <v>Firm Water Supply Agreements</v>
      </c>
      <c r="D285" s="794"/>
      <c r="E285" s="378">
        <f>'Concept-Level Data'!Z37</f>
        <v>3</v>
      </c>
      <c r="F285" s="387">
        <f>'Concept-Level Data'!AA37</f>
        <v>3</v>
      </c>
      <c r="G285" s="381">
        <f>'Concept-Level Data'!AB37</f>
        <v>3</v>
      </c>
    </row>
    <row r="286" spans="1:7" hidden="1" x14ac:dyDescent="0.25">
      <c r="A286" s="11"/>
      <c r="B286" s="227" t="str">
        <f>'Concept-Level Data'!A38</f>
        <v>Respondent 3</v>
      </c>
      <c r="C286" s="793" t="str">
        <f>'Concept-Level Data'!B38</f>
        <v>Gray Water Use</v>
      </c>
      <c r="D286" s="794"/>
      <c r="E286" s="378">
        <f>'Concept-Level Data'!Z38</f>
        <v>3</v>
      </c>
      <c r="F286" s="387">
        <f>'Concept-Level Data'!AA38</f>
        <v>2</v>
      </c>
      <c r="G286" s="381">
        <f>'Concept-Level Data'!AB38</f>
        <v>3</v>
      </c>
    </row>
    <row r="287" spans="1:7" hidden="1" x14ac:dyDescent="0.25">
      <c r="B287" s="227" t="str">
        <f>'Concept-Level Data'!A39</f>
        <v>Respondent 3</v>
      </c>
      <c r="C287" s="793" t="str">
        <f>'Concept-Level Data'!B39</f>
        <v>Groundwater</v>
      </c>
      <c r="D287" s="794"/>
      <c r="E287" s="378">
        <f>'Concept-Level Data'!Z39</f>
        <v>3</v>
      </c>
      <c r="F287" s="387">
        <f>'Concept-Level Data'!AA39</f>
        <v>3</v>
      </c>
      <c r="G287" s="381">
        <f>'Concept-Level Data'!AB39</f>
        <v>3</v>
      </c>
    </row>
    <row r="288" spans="1:7" hidden="1" x14ac:dyDescent="0.25">
      <c r="B288" s="227" t="str">
        <f>'Concept-Level Data'!A40</f>
        <v>Respondent 3</v>
      </c>
      <c r="C288" s="793" t="str">
        <f>'Concept-Level Data'!B40</f>
        <v>Imported Water Purchases</v>
      </c>
      <c r="D288" s="794"/>
      <c r="E288" s="378">
        <f>'Concept-Level Data'!Z40</f>
        <v>3</v>
      </c>
      <c r="F288" s="387">
        <f>'Concept-Level Data'!AA40</f>
        <v>4</v>
      </c>
      <c r="G288" s="381">
        <f>'Concept-Level Data'!AB40</f>
        <v>3</v>
      </c>
    </row>
    <row r="289" spans="2:7" hidden="1" x14ac:dyDescent="0.25">
      <c r="B289" s="227" t="str">
        <f>'Concept-Level Data'!A41</f>
        <v>Respondent 3</v>
      </c>
      <c r="C289" s="793" t="str">
        <f>'Concept-Level Data'!B41</f>
        <v>Local Surface Water Reservoirs</v>
      </c>
      <c r="D289" s="794"/>
      <c r="E289" s="378">
        <f>'Concept-Level Data'!Z41</f>
        <v>2</v>
      </c>
      <c r="F289" s="387">
        <f>'Concept-Level Data'!AA41</f>
        <v>3</v>
      </c>
      <c r="G289" s="381">
        <f>'Concept-Level Data'!AB41</f>
        <v>4</v>
      </c>
    </row>
    <row r="290" spans="2:7" hidden="1" x14ac:dyDescent="0.25">
      <c r="B290" s="227" t="str">
        <f>'Concept-Level Data'!A42</f>
        <v>Respondent 3</v>
      </c>
      <c r="C290" s="793" t="str">
        <f>'Concept-Level Data'!B42</f>
        <v>Potable Reuse</v>
      </c>
      <c r="D290" s="794"/>
      <c r="E290" s="378">
        <f>'Concept-Level Data'!Z42</f>
        <v>3</v>
      </c>
      <c r="F290" s="387">
        <f>'Concept-Level Data'!AA42</f>
        <v>3</v>
      </c>
      <c r="G290" s="381">
        <f>'Concept-Level Data'!AB42</f>
        <v>2</v>
      </c>
    </row>
    <row r="291" spans="2:7" hidden="1" x14ac:dyDescent="0.25">
      <c r="B291" s="227" t="str">
        <f>'Concept-Level Data'!A43</f>
        <v>Respondent 3</v>
      </c>
      <c r="C291" s="793" t="str">
        <f>'Concept-Level Data'!B43</f>
        <v>Recycled Water</v>
      </c>
      <c r="D291" s="794"/>
      <c r="E291" s="378">
        <f>'Concept-Level Data'!Z43</f>
        <v>4</v>
      </c>
      <c r="F291" s="387">
        <f>'Concept-Level Data'!AA43</f>
        <v>3</v>
      </c>
      <c r="G291" s="381">
        <f>'Concept-Level Data'!AB43</f>
        <v>3</v>
      </c>
    </row>
    <row r="292" spans="2:7" hidden="1" x14ac:dyDescent="0.25">
      <c r="B292" s="227" t="str">
        <f>'Concept-Level Data'!A44</f>
        <v>Respondent 3</v>
      </c>
      <c r="C292" s="793" t="str">
        <f>'Concept-Level Data'!B44</f>
        <v>Seawater Desalination</v>
      </c>
      <c r="D292" s="794"/>
      <c r="E292" s="378">
        <f>'Concept-Level Data'!Z44</f>
        <v>3</v>
      </c>
      <c r="F292" s="387">
        <f>'Concept-Level Data'!AA44</f>
        <v>4</v>
      </c>
      <c r="G292" s="381">
        <f>'Concept-Level Data'!AB44</f>
        <v>3</v>
      </c>
    </row>
    <row r="293" spans="2:7" hidden="1" x14ac:dyDescent="0.25">
      <c r="B293" s="227" t="str">
        <f>'Concept-Level Data'!A45</f>
        <v>Respondent 3</v>
      </c>
      <c r="C293" s="793" t="str">
        <f>'Concept-Level Data'!B45</f>
        <v>Stormwater BMPs</v>
      </c>
      <c r="D293" s="794"/>
      <c r="E293" s="378">
        <f>'Concept-Level Data'!Z45</f>
        <v>4</v>
      </c>
      <c r="F293" s="387">
        <f>'Concept-Level Data'!AA45</f>
        <v>3</v>
      </c>
      <c r="G293" s="381">
        <f>'Concept-Level Data'!AB45</f>
        <v>3</v>
      </c>
    </row>
    <row r="294" spans="2:7" hidden="1" x14ac:dyDescent="0.25">
      <c r="B294" s="227" t="str">
        <f>'Concept-Level Data'!A46</f>
        <v>Respondent 3</v>
      </c>
      <c r="C294" s="793" t="str">
        <f>'Concept-Level Data'!B46</f>
        <v>Stormwater Capture</v>
      </c>
      <c r="D294" s="794"/>
      <c r="E294" s="378">
        <f>'Concept-Level Data'!Z46</f>
        <v>3</v>
      </c>
      <c r="F294" s="387">
        <f>'Concept-Level Data'!AA46</f>
        <v>3</v>
      </c>
      <c r="G294" s="381">
        <f>'Concept-Level Data'!AB46</f>
        <v>3</v>
      </c>
    </row>
    <row r="295" spans="2:7" hidden="1" x14ac:dyDescent="0.25">
      <c r="B295" s="227" t="str">
        <f>'Concept-Level Data'!A47</f>
        <v>Respondent 3</v>
      </c>
      <c r="C295" s="793" t="str">
        <f>'Concept-Level Data'!B47</f>
        <v>Urban and Agricultural Water Use Efficiency</v>
      </c>
      <c r="D295" s="794"/>
      <c r="E295" s="378">
        <f>'Concept-Level Data'!Z47</f>
        <v>3</v>
      </c>
      <c r="F295" s="387">
        <f>'Concept-Level Data'!AA47</f>
        <v>3</v>
      </c>
      <c r="G295" s="381">
        <f>'Concept-Level Data'!AB47</f>
        <v>3</v>
      </c>
    </row>
    <row r="296" spans="2:7" hidden="1" x14ac:dyDescent="0.25">
      <c r="B296" s="227" t="str">
        <f>'Concept-Level Data'!A48</f>
        <v>Respondent 3</v>
      </c>
      <c r="C296" s="793" t="str">
        <f>'Concept-Level Data'!B48</f>
        <v>Watershed and Ecosystem Management</v>
      </c>
      <c r="D296" s="794"/>
      <c r="E296" s="378">
        <f>'Concept-Level Data'!Z48</f>
        <v>4</v>
      </c>
      <c r="F296" s="387">
        <f>'Concept-Level Data'!AA48</f>
        <v>4</v>
      </c>
      <c r="G296" s="381">
        <f>'Concept-Level Data'!AB48</f>
        <v>3</v>
      </c>
    </row>
    <row r="297" spans="2:7" hidden="1" x14ac:dyDescent="0.25">
      <c r="B297" s="227" t="str">
        <f>'Concept-Level Data'!A49</f>
        <v>Respondent 4</v>
      </c>
      <c r="C297" s="793" t="str">
        <f>'Concept-Level Data'!B49</f>
        <v>Conveyance Improvement</v>
      </c>
      <c r="D297" s="794"/>
      <c r="E297" s="378">
        <f>'Concept-Level Data'!Z49</f>
        <v>1</v>
      </c>
      <c r="F297" s="387">
        <f>'Concept-Level Data'!AA49</f>
        <v>3</v>
      </c>
      <c r="G297" s="381">
        <f>'Concept-Level Data'!AB49</f>
        <v>3</v>
      </c>
    </row>
    <row r="298" spans="2:7" hidden="1" x14ac:dyDescent="0.25">
      <c r="B298" s="227" t="str">
        <f>'Concept-Level Data'!A50</f>
        <v>Respondent 4</v>
      </c>
      <c r="C298" s="793" t="str">
        <f>'Concept-Level Data'!B50</f>
        <v>Drought Restriction/Allocation</v>
      </c>
      <c r="D298" s="794"/>
      <c r="E298" s="378">
        <f>'Concept-Level Data'!Z50</f>
        <v>3</v>
      </c>
      <c r="F298" s="387">
        <f>'Concept-Level Data'!AA50</f>
        <v>3</v>
      </c>
      <c r="G298" s="381">
        <f>'Concept-Level Data'!AB50</f>
        <v>3</v>
      </c>
    </row>
    <row r="299" spans="2:7" hidden="1" x14ac:dyDescent="0.25">
      <c r="B299" s="227" t="str">
        <f>'Concept-Level Data'!A51</f>
        <v>Respondent 4</v>
      </c>
      <c r="C299" s="793" t="str">
        <f>'Concept-Level Data'!B51</f>
        <v>Firm Water Supply Agreements</v>
      </c>
      <c r="D299" s="794"/>
      <c r="E299" s="378">
        <f>'Concept-Level Data'!Z51</f>
        <v>3</v>
      </c>
      <c r="F299" s="387">
        <f>'Concept-Level Data'!AA51</f>
        <v>3</v>
      </c>
      <c r="G299" s="381">
        <f>'Concept-Level Data'!AB51</f>
        <v>3</v>
      </c>
    </row>
    <row r="300" spans="2:7" hidden="1" x14ac:dyDescent="0.25">
      <c r="B300" s="227" t="str">
        <f>'Concept-Level Data'!A52</f>
        <v>Respondent 4</v>
      </c>
      <c r="C300" s="793" t="str">
        <f>'Concept-Level Data'!B52</f>
        <v>Gray Water Use</v>
      </c>
      <c r="D300" s="794"/>
      <c r="E300" s="378">
        <f>'Concept-Level Data'!Z52</f>
        <v>4</v>
      </c>
      <c r="F300" s="387">
        <f>'Concept-Level Data'!AA52</f>
        <v>4</v>
      </c>
      <c r="G300" s="381">
        <f>'Concept-Level Data'!AB52</f>
        <v>3</v>
      </c>
    </row>
    <row r="301" spans="2:7" hidden="1" x14ac:dyDescent="0.25">
      <c r="B301" s="227" t="str">
        <f>'Concept-Level Data'!A53</f>
        <v>Respondent 4</v>
      </c>
      <c r="C301" s="793" t="str">
        <f>'Concept-Level Data'!B53</f>
        <v>Groundwater</v>
      </c>
      <c r="D301" s="794"/>
      <c r="E301" s="378">
        <f>'Concept-Level Data'!Z53</f>
        <v>4</v>
      </c>
      <c r="F301" s="387">
        <f>'Concept-Level Data'!AA53</f>
        <v>3</v>
      </c>
      <c r="G301" s="381">
        <f>'Concept-Level Data'!AB53</f>
        <v>3</v>
      </c>
    </row>
    <row r="302" spans="2:7" hidden="1" x14ac:dyDescent="0.25">
      <c r="B302" s="227" t="str">
        <f>'Concept-Level Data'!A54</f>
        <v>Respondent 4</v>
      </c>
      <c r="C302" s="793" t="str">
        <f>'Concept-Level Data'!B54</f>
        <v>Imported Water Purchases</v>
      </c>
      <c r="D302" s="794"/>
      <c r="E302" s="378">
        <f>'Concept-Level Data'!Z54</f>
        <v>3</v>
      </c>
      <c r="F302" s="387">
        <f>'Concept-Level Data'!AA54</f>
        <v>3</v>
      </c>
      <c r="G302" s="381">
        <f>'Concept-Level Data'!AB54</f>
        <v>3</v>
      </c>
    </row>
    <row r="303" spans="2:7" hidden="1" x14ac:dyDescent="0.25">
      <c r="B303" s="227" t="str">
        <f>'Concept-Level Data'!A55</f>
        <v>Respondent 4</v>
      </c>
      <c r="C303" s="793" t="str">
        <f>'Concept-Level Data'!B55</f>
        <v>Local Surface Water Reservoirs</v>
      </c>
      <c r="D303" s="794"/>
      <c r="E303" s="378">
        <f>'Concept-Level Data'!Z55</f>
        <v>2</v>
      </c>
      <c r="F303" s="387">
        <f>'Concept-Level Data'!AA55</f>
        <v>4</v>
      </c>
      <c r="G303" s="381">
        <f>'Concept-Level Data'!AB55</f>
        <v>4</v>
      </c>
    </row>
    <row r="304" spans="2:7" hidden="1" x14ac:dyDescent="0.25">
      <c r="B304" s="227" t="str">
        <f>'Concept-Level Data'!A56</f>
        <v>Respondent 4</v>
      </c>
      <c r="C304" s="793" t="str">
        <f>'Concept-Level Data'!B56</f>
        <v>Potable Reuse</v>
      </c>
      <c r="D304" s="794"/>
      <c r="E304" s="378">
        <f>'Concept-Level Data'!Z56</f>
        <v>4</v>
      </c>
      <c r="F304" s="387">
        <f>'Concept-Level Data'!AA56</f>
        <v>5</v>
      </c>
      <c r="G304" s="381">
        <f>'Concept-Level Data'!AB56</f>
        <v>3</v>
      </c>
    </row>
    <row r="305" spans="2:7" hidden="1" x14ac:dyDescent="0.25">
      <c r="B305" s="227" t="str">
        <f>'Concept-Level Data'!A57</f>
        <v>Respondent 4</v>
      </c>
      <c r="C305" s="793" t="str">
        <f>'Concept-Level Data'!B57</f>
        <v>Recycled Water</v>
      </c>
      <c r="D305" s="794"/>
      <c r="E305" s="378">
        <f>'Concept-Level Data'!Z57</f>
        <v>4</v>
      </c>
      <c r="F305" s="387">
        <f>'Concept-Level Data'!AA57</f>
        <v>5</v>
      </c>
      <c r="G305" s="381">
        <f>'Concept-Level Data'!AB57</f>
        <v>3</v>
      </c>
    </row>
    <row r="306" spans="2:7" hidden="1" x14ac:dyDescent="0.25">
      <c r="B306" s="227" t="str">
        <f>'Concept-Level Data'!A58</f>
        <v>Respondent 4</v>
      </c>
      <c r="C306" s="793" t="str">
        <f>'Concept-Level Data'!B58</f>
        <v>Seawater Desalination</v>
      </c>
      <c r="D306" s="794"/>
      <c r="E306" s="378">
        <f>'Concept-Level Data'!Z58</f>
        <v>2</v>
      </c>
      <c r="F306" s="387">
        <f>'Concept-Level Data'!AA58</f>
        <v>5</v>
      </c>
      <c r="G306" s="381">
        <f>'Concept-Level Data'!AB58</f>
        <v>3</v>
      </c>
    </row>
    <row r="307" spans="2:7" hidden="1" x14ac:dyDescent="0.25">
      <c r="B307" s="227" t="str">
        <f>'Concept-Level Data'!A59</f>
        <v>Respondent 4</v>
      </c>
      <c r="C307" s="793" t="str">
        <f>'Concept-Level Data'!B59</f>
        <v>Stormwater BMPs</v>
      </c>
      <c r="D307" s="794"/>
      <c r="E307" s="378">
        <f>'Concept-Level Data'!Z59</f>
        <v>5</v>
      </c>
      <c r="F307" s="387">
        <f>'Concept-Level Data'!AA59</f>
        <v>5</v>
      </c>
      <c r="G307" s="381">
        <f>'Concept-Level Data'!AB59</f>
        <v>3</v>
      </c>
    </row>
    <row r="308" spans="2:7" hidden="1" x14ac:dyDescent="0.25">
      <c r="B308" s="227" t="str">
        <f>'Concept-Level Data'!A60</f>
        <v>Respondent 4</v>
      </c>
      <c r="C308" s="793" t="str">
        <f>'Concept-Level Data'!B60</f>
        <v>Stormwater Capture</v>
      </c>
      <c r="D308" s="794"/>
      <c r="E308" s="378">
        <f>'Concept-Level Data'!Z60</f>
        <v>3</v>
      </c>
      <c r="F308" s="387">
        <f>'Concept-Level Data'!AA60</f>
        <v>3</v>
      </c>
      <c r="G308" s="381">
        <f>'Concept-Level Data'!AB60</f>
        <v>3</v>
      </c>
    </row>
    <row r="309" spans="2:7" hidden="1" x14ac:dyDescent="0.25">
      <c r="B309" s="227" t="str">
        <f>'Concept-Level Data'!A61</f>
        <v>Respondent 4</v>
      </c>
      <c r="C309" s="793" t="str">
        <f>'Concept-Level Data'!B61</f>
        <v>Urban and Agricultural Water Use Efficiency</v>
      </c>
      <c r="D309" s="794"/>
      <c r="E309" s="378">
        <f>'Concept-Level Data'!Z61</f>
        <v>5</v>
      </c>
      <c r="F309" s="387">
        <f>'Concept-Level Data'!AA61</f>
        <v>5</v>
      </c>
      <c r="G309" s="381">
        <f>'Concept-Level Data'!AB61</f>
        <v>3</v>
      </c>
    </row>
    <row r="310" spans="2:7" hidden="1" x14ac:dyDescent="0.25">
      <c r="B310" s="227" t="str">
        <f>'Concept-Level Data'!A62</f>
        <v>Respondent 4</v>
      </c>
      <c r="C310" s="793" t="str">
        <f>'Concept-Level Data'!B62</f>
        <v>Watershed and Ecosystem Management</v>
      </c>
      <c r="D310" s="794"/>
      <c r="E310" s="378">
        <f>'Concept-Level Data'!Z62</f>
        <v>5</v>
      </c>
      <c r="F310" s="387">
        <f>'Concept-Level Data'!AA62</f>
        <v>5</v>
      </c>
      <c r="G310" s="381">
        <f>'Concept-Level Data'!AB62</f>
        <v>5</v>
      </c>
    </row>
    <row r="311" spans="2:7" hidden="1" x14ac:dyDescent="0.25">
      <c r="B311" s="227" t="str">
        <f>'Concept-Level Data'!A63</f>
        <v>Respondent 5</v>
      </c>
      <c r="C311" s="793" t="str">
        <f>'Concept-Level Data'!B63</f>
        <v>Conveyance Improvement</v>
      </c>
      <c r="D311" s="794"/>
      <c r="E311" s="378">
        <f>'Concept-Level Data'!Z63</f>
        <v>2</v>
      </c>
      <c r="F311" s="387">
        <f>'Concept-Level Data'!AA63</f>
        <v>2</v>
      </c>
      <c r="G311" s="381">
        <f>'Concept-Level Data'!AB63</f>
        <v>3</v>
      </c>
    </row>
    <row r="312" spans="2:7" hidden="1" x14ac:dyDescent="0.25">
      <c r="B312" s="227" t="str">
        <f>'Concept-Level Data'!A64</f>
        <v>Respondent 5</v>
      </c>
      <c r="C312" s="793" t="str">
        <f>'Concept-Level Data'!B64</f>
        <v>Drought Restriction/Allocation</v>
      </c>
      <c r="D312" s="794"/>
      <c r="E312" s="378">
        <f>'Concept-Level Data'!Z64</f>
        <v>2</v>
      </c>
      <c r="F312" s="387">
        <f>'Concept-Level Data'!AA64</f>
        <v>2</v>
      </c>
      <c r="G312" s="381">
        <f>'Concept-Level Data'!AB64</f>
        <v>3</v>
      </c>
    </row>
    <row r="313" spans="2:7" hidden="1" x14ac:dyDescent="0.25">
      <c r="B313" s="227" t="str">
        <f>'Concept-Level Data'!A65</f>
        <v>Respondent 5</v>
      </c>
      <c r="C313" s="793" t="str">
        <f>'Concept-Level Data'!B65</f>
        <v>Firm Water Supply Agreements</v>
      </c>
      <c r="D313" s="794"/>
      <c r="E313" s="378">
        <f>'Concept-Level Data'!Z65</f>
        <v>3</v>
      </c>
      <c r="F313" s="387">
        <f>'Concept-Level Data'!AA65</f>
        <v>3</v>
      </c>
      <c r="G313" s="381">
        <f>'Concept-Level Data'!AB65</f>
        <v>3</v>
      </c>
    </row>
    <row r="314" spans="2:7" hidden="1" x14ac:dyDescent="0.25">
      <c r="B314" s="227" t="str">
        <f>'Concept-Level Data'!A66</f>
        <v>Respondent 5</v>
      </c>
      <c r="C314" s="793" t="str">
        <f>'Concept-Level Data'!B66</f>
        <v>Gray Water Use</v>
      </c>
      <c r="D314" s="794"/>
      <c r="E314" s="378">
        <f>'Concept-Level Data'!Z66</f>
        <v>3</v>
      </c>
      <c r="F314" s="387">
        <f>'Concept-Level Data'!AA66</f>
        <v>3</v>
      </c>
      <c r="G314" s="381">
        <f>'Concept-Level Data'!AB66</f>
        <v>3</v>
      </c>
    </row>
    <row r="315" spans="2:7" hidden="1" x14ac:dyDescent="0.25">
      <c r="B315" s="227" t="str">
        <f>'Concept-Level Data'!A67</f>
        <v>Respondent 5</v>
      </c>
      <c r="C315" s="793" t="str">
        <f>'Concept-Level Data'!B67</f>
        <v>Groundwater</v>
      </c>
      <c r="D315" s="794"/>
      <c r="E315" s="378">
        <f>'Concept-Level Data'!Z67</f>
        <v>3</v>
      </c>
      <c r="F315" s="387">
        <f>'Concept-Level Data'!AA67</f>
        <v>3</v>
      </c>
      <c r="G315" s="381">
        <f>'Concept-Level Data'!AB67</f>
        <v>3</v>
      </c>
    </row>
    <row r="316" spans="2:7" hidden="1" x14ac:dyDescent="0.25">
      <c r="B316" s="227" t="str">
        <f>'Concept-Level Data'!A68</f>
        <v>Respondent 5</v>
      </c>
      <c r="C316" s="793" t="str">
        <f>'Concept-Level Data'!B68</f>
        <v>Imported Water Purchases</v>
      </c>
      <c r="D316" s="794"/>
      <c r="E316" s="378">
        <f>'Concept-Level Data'!Z68</f>
        <v>3</v>
      </c>
      <c r="F316" s="387">
        <f>'Concept-Level Data'!AA68</f>
        <v>3</v>
      </c>
      <c r="G316" s="381">
        <f>'Concept-Level Data'!AB68</f>
        <v>3</v>
      </c>
    </row>
    <row r="317" spans="2:7" hidden="1" x14ac:dyDescent="0.25">
      <c r="B317" s="227" t="str">
        <f>'Concept-Level Data'!A69</f>
        <v>Respondent 5</v>
      </c>
      <c r="C317" s="793" t="str">
        <f>'Concept-Level Data'!B69</f>
        <v>Local Surface Water Reservoirs</v>
      </c>
      <c r="D317" s="794"/>
      <c r="E317" s="378">
        <f>'Concept-Level Data'!Z69</f>
        <v>3</v>
      </c>
      <c r="F317" s="387">
        <f>'Concept-Level Data'!AA69</f>
        <v>3</v>
      </c>
      <c r="G317" s="381">
        <f>'Concept-Level Data'!AB69</f>
        <v>3</v>
      </c>
    </row>
    <row r="318" spans="2:7" hidden="1" x14ac:dyDescent="0.25">
      <c r="B318" s="227" t="str">
        <f>'Concept-Level Data'!A70</f>
        <v>Respondent 5</v>
      </c>
      <c r="C318" s="793" t="str">
        <f>'Concept-Level Data'!B70</f>
        <v>Potable Reuse</v>
      </c>
      <c r="D318" s="794"/>
      <c r="E318" s="378">
        <f>'Concept-Level Data'!Z70</f>
        <v>3</v>
      </c>
      <c r="F318" s="387">
        <f>'Concept-Level Data'!AA70</f>
        <v>3</v>
      </c>
      <c r="G318" s="381">
        <f>'Concept-Level Data'!AB70</f>
        <v>3</v>
      </c>
    </row>
    <row r="319" spans="2:7" hidden="1" x14ac:dyDescent="0.25">
      <c r="B319" s="227" t="str">
        <f>'Concept-Level Data'!A71</f>
        <v>Respondent 5</v>
      </c>
      <c r="C319" s="793" t="str">
        <f>'Concept-Level Data'!B71</f>
        <v>Recycled Water</v>
      </c>
      <c r="D319" s="794"/>
      <c r="E319" s="378">
        <f>'Concept-Level Data'!Z71</f>
        <v>5</v>
      </c>
      <c r="F319" s="387">
        <f>'Concept-Level Data'!AA71</f>
        <v>3</v>
      </c>
      <c r="G319" s="381">
        <f>'Concept-Level Data'!AB71</f>
        <v>3</v>
      </c>
    </row>
    <row r="320" spans="2:7" hidden="1" x14ac:dyDescent="0.25">
      <c r="B320" s="227" t="str">
        <f>'Concept-Level Data'!A72</f>
        <v>Respondent 5</v>
      </c>
      <c r="C320" s="793" t="str">
        <f>'Concept-Level Data'!B72</f>
        <v>Seawater Desalination</v>
      </c>
      <c r="D320" s="794"/>
      <c r="E320" s="378">
        <f>'Concept-Level Data'!Z72</f>
        <v>3</v>
      </c>
      <c r="F320" s="387">
        <f>'Concept-Level Data'!AA72</f>
        <v>2</v>
      </c>
      <c r="G320" s="381">
        <f>'Concept-Level Data'!AB72</f>
        <v>3</v>
      </c>
    </row>
    <row r="321" spans="2:7" hidden="1" x14ac:dyDescent="0.25">
      <c r="B321" s="227" t="str">
        <f>'Concept-Level Data'!A73</f>
        <v>Respondent 5</v>
      </c>
      <c r="C321" s="793" t="str">
        <f>'Concept-Level Data'!B73</f>
        <v>Stormwater BMPs</v>
      </c>
      <c r="D321" s="794"/>
      <c r="E321" s="378">
        <f>'Concept-Level Data'!Z73</f>
        <v>5</v>
      </c>
      <c r="F321" s="387">
        <f>'Concept-Level Data'!AA73</f>
        <v>5</v>
      </c>
      <c r="G321" s="381">
        <f>'Concept-Level Data'!AB73</f>
        <v>5</v>
      </c>
    </row>
    <row r="322" spans="2:7" hidden="1" x14ac:dyDescent="0.25">
      <c r="B322" s="227" t="str">
        <f>'Concept-Level Data'!A74</f>
        <v>Respondent 5</v>
      </c>
      <c r="C322" s="793" t="str">
        <f>'Concept-Level Data'!B74</f>
        <v>Stormwater Capture</v>
      </c>
      <c r="D322" s="794"/>
      <c r="E322" s="378">
        <f>'Concept-Level Data'!Z74</f>
        <v>5</v>
      </c>
      <c r="F322" s="387">
        <f>'Concept-Level Data'!AA74</f>
        <v>3</v>
      </c>
      <c r="G322" s="381">
        <f>'Concept-Level Data'!AB74</f>
        <v>3</v>
      </c>
    </row>
    <row r="323" spans="2:7" hidden="1" x14ac:dyDescent="0.25">
      <c r="B323" s="227" t="str">
        <f>'Concept-Level Data'!A75</f>
        <v>Respondent 5</v>
      </c>
      <c r="C323" s="793" t="str">
        <f>'Concept-Level Data'!B75</f>
        <v>Urban and Agricultural Water Use Efficiency</v>
      </c>
      <c r="D323" s="794"/>
      <c r="E323" s="378">
        <f>'Concept-Level Data'!Z75</f>
        <v>5</v>
      </c>
      <c r="F323" s="387">
        <f>'Concept-Level Data'!AA75</f>
        <v>5</v>
      </c>
      <c r="G323" s="381">
        <f>'Concept-Level Data'!AB75</f>
        <v>3</v>
      </c>
    </row>
    <row r="324" spans="2:7" hidden="1" x14ac:dyDescent="0.25">
      <c r="B324" s="227" t="str">
        <f>'Concept-Level Data'!A76</f>
        <v>Respondent 5</v>
      </c>
      <c r="C324" s="793" t="str">
        <f>'Concept-Level Data'!B76</f>
        <v>Watershed and Ecosystem Management</v>
      </c>
      <c r="D324" s="794"/>
      <c r="E324" s="378">
        <f>'Concept-Level Data'!Z76</f>
        <v>5</v>
      </c>
      <c r="F324" s="387">
        <f>'Concept-Level Data'!AA76</f>
        <v>5</v>
      </c>
      <c r="G324" s="381">
        <f>'Concept-Level Data'!AB76</f>
        <v>5</v>
      </c>
    </row>
    <row r="325" spans="2:7" hidden="1" x14ac:dyDescent="0.25">
      <c r="B325" s="227" t="str">
        <f>'Concept-Level Data'!A77</f>
        <v>Respondent 6</v>
      </c>
      <c r="C325" s="793" t="str">
        <f>'Concept-Level Data'!B77</f>
        <v>Conveyance Improvement</v>
      </c>
      <c r="D325" s="794"/>
      <c r="E325" s="378">
        <f>'Concept-Level Data'!Z77</f>
        <v>3</v>
      </c>
      <c r="F325" s="387">
        <f>'Concept-Level Data'!AA77</f>
        <v>5</v>
      </c>
      <c r="G325" s="381">
        <f>'Concept-Level Data'!AB77</f>
        <v>3</v>
      </c>
    </row>
    <row r="326" spans="2:7" hidden="1" x14ac:dyDescent="0.25">
      <c r="B326" s="227" t="str">
        <f>'Concept-Level Data'!A78</f>
        <v>Respondent 6</v>
      </c>
      <c r="C326" s="793" t="str">
        <f>'Concept-Level Data'!B78</f>
        <v>Drought Restriction/Allocation</v>
      </c>
      <c r="D326" s="794"/>
      <c r="E326" s="378">
        <f>'Concept-Level Data'!Z78</f>
        <v>3</v>
      </c>
      <c r="F326" s="387">
        <f>'Concept-Level Data'!AA78</f>
        <v>2</v>
      </c>
      <c r="G326" s="381">
        <f>'Concept-Level Data'!AB78</f>
        <v>3</v>
      </c>
    </row>
    <row r="327" spans="2:7" hidden="1" x14ac:dyDescent="0.25">
      <c r="B327" s="227" t="str">
        <f>'Concept-Level Data'!A79</f>
        <v>Respondent 6</v>
      </c>
      <c r="C327" s="793" t="str">
        <f>'Concept-Level Data'!B79</f>
        <v>Firm Water Supply Agreements</v>
      </c>
      <c r="D327" s="794"/>
      <c r="E327" s="378">
        <f>'Concept-Level Data'!Z79</f>
        <v>3</v>
      </c>
      <c r="F327" s="387">
        <f>'Concept-Level Data'!AA79</f>
        <v>4</v>
      </c>
      <c r="G327" s="381">
        <f>'Concept-Level Data'!AB79</f>
        <v>3</v>
      </c>
    </row>
    <row r="328" spans="2:7" hidden="1" x14ac:dyDescent="0.25">
      <c r="B328" s="227" t="str">
        <f>'Concept-Level Data'!A80</f>
        <v>Respondent 6</v>
      </c>
      <c r="C328" s="793" t="str">
        <f>'Concept-Level Data'!B80</f>
        <v>Gray Water Use</v>
      </c>
      <c r="D328" s="794"/>
      <c r="E328" s="378">
        <f>'Concept-Level Data'!Z80</f>
        <v>3</v>
      </c>
      <c r="F328" s="387">
        <f>'Concept-Level Data'!AA80</f>
        <v>3</v>
      </c>
      <c r="G328" s="381">
        <f>'Concept-Level Data'!AB80</f>
        <v>3</v>
      </c>
    </row>
    <row r="329" spans="2:7" hidden="1" x14ac:dyDescent="0.25">
      <c r="B329" s="227" t="str">
        <f>'Concept-Level Data'!A81</f>
        <v>Respondent 6</v>
      </c>
      <c r="C329" s="793" t="str">
        <f>'Concept-Level Data'!B81</f>
        <v>Groundwater</v>
      </c>
      <c r="D329" s="794"/>
      <c r="E329" s="378">
        <f>'Concept-Level Data'!Z81</f>
        <v>3</v>
      </c>
      <c r="F329" s="387">
        <f>'Concept-Level Data'!AA81</f>
        <v>3</v>
      </c>
      <c r="G329" s="381">
        <f>'Concept-Level Data'!AB81</f>
        <v>3</v>
      </c>
    </row>
    <row r="330" spans="2:7" hidden="1" x14ac:dyDescent="0.25">
      <c r="B330" s="227" t="str">
        <f>'Concept-Level Data'!A82</f>
        <v>Respondent 6</v>
      </c>
      <c r="C330" s="793" t="str">
        <f>'Concept-Level Data'!B82</f>
        <v>Imported Water Purchases</v>
      </c>
      <c r="D330" s="794"/>
      <c r="E330" s="378">
        <f>'Concept-Level Data'!Z82</f>
        <v>3</v>
      </c>
      <c r="F330" s="387">
        <f>'Concept-Level Data'!AA82</f>
        <v>3</v>
      </c>
      <c r="G330" s="381">
        <f>'Concept-Level Data'!AB82</f>
        <v>3</v>
      </c>
    </row>
    <row r="331" spans="2:7" hidden="1" x14ac:dyDescent="0.25">
      <c r="B331" s="227" t="str">
        <f>'Concept-Level Data'!A83</f>
        <v>Respondent 6</v>
      </c>
      <c r="C331" s="793" t="str">
        <f>'Concept-Level Data'!B83</f>
        <v>Local Surface Water Reservoirs</v>
      </c>
      <c r="D331" s="794"/>
      <c r="E331" s="378">
        <f>'Concept-Level Data'!Z83</f>
        <v>3</v>
      </c>
      <c r="F331" s="387">
        <f>'Concept-Level Data'!AA83</f>
        <v>5</v>
      </c>
      <c r="G331" s="381">
        <f>'Concept-Level Data'!AB83</f>
        <v>3</v>
      </c>
    </row>
    <row r="332" spans="2:7" hidden="1" x14ac:dyDescent="0.25">
      <c r="B332" s="227" t="str">
        <f>'Concept-Level Data'!A84</f>
        <v>Respondent 6</v>
      </c>
      <c r="C332" s="793" t="str">
        <f>'Concept-Level Data'!B84</f>
        <v>Potable Reuse</v>
      </c>
      <c r="D332" s="794"/>
      <c r="E332" s="378">
        <f>'Concept-Level Data'!Z84</f>
        <v>3</v>
      </c>
      <c r="F332" s="387">
        <f>'Concept-Level Data'!AA84</f>
        <v>3</v>
      </c>
      <c r="G332" s="381">
        <f>'Concept-Level Data'!AB84</f>
        <v>3</v>
      </c>
    </row>
    <row r="333" spans="2:7" hidden="1" x14ac:dyDescent="0.25">
      <c r="B333" s="227" t="str">
        <f>'Concept-Level Data'!A85</f>
        <v>Respondent 6</v>
      </c>
      <c r="C333" s="793" t="str">
        <f>'Concept-Level Data'!B85</f>
        <v>Recycled Water</v>
      </c>
      <c r="D333" s="794"/>
      <c r="E333" s="378">
        <f>'Concept-Level Data'!Z85</f>
        <v>3</v>
      </c>
      <c r="F333" s="387">
        <f>'Concept-Level Data'!AA85</f>
        <v>3</v>
      </c>
      <c r="G333" s="381">
        <f>'Concept-Level Data'!AB85</f>
        <v>3</v>
      </c>
    </row>
    <row r="334" spans="2:7" hidden="1" x14ac:dyDescent="0.25">
      <c r="B334" s="227" t="str">
        <f>'Concept-Level Data'!A86</f>
        <v>Respondent 6</v>
      </c>
      <c r="C334" s="793" t="str">
        <f>'Concept-Level Data'!B86</f>
        <v>Seawater Desalination</v>
      </c>
      <c r="D334" s="794"/>
      <c r="E334" s="378">
        <f>'Concept-Level Data'!Z86</f>
        <v>3</v>
      </c>
      <c r="F334" s="387">
        <f>'Concept-Level Data'!AA86</f>
        <v>4</v>
      </c>
      <c r="G334" s="381">
        <f>'Concept-Level Data'!AB86</f>
        <v>3</v>
      </c>
    </row>
    <row r="335" spans="2:7" hidden="1" x14ac:dyDescent="0.25">
      <c r="B335" s="227" t="str">
        <f>'Concept-Level Data'!A87</f>
        <v>Respondent 6</v>
      </c>
      <c r="C335" s="793" t="str">
        <f>'Concept-Level Data'!B87</f>
        <v>Stormwater BMPs</v>
      </c>
      <c r="D335" s="794"/>
      <c r="E335" s="378">
        <f>'Concept-Level Data'!Z87</f>
        <v>3</v>
      </c>
      <c r="F335" s="387">
        <f>'Concept-Level Data'!AA87</f>
        <v>5</v>
      </c>
      <c r="G335" s="381">
        <f>'Concept-Level Data'!AB87</f>
        <v>3</v>
      </c>
    </row>
    <row r="336" spans="2:7" hidden="1" x14ac:dyDescent="0.25">
      <c r="B336" s="227" t="str">
        <f>'Concept-Level Data'!A88</f>
        <v>Respondent 6</v>
      </c>
      <c r="C336" s="793" t="str">
        <f>'Concept-Level Data'!B88</f>
        <v>Stormwater Capture</v>
      </c>
      <c r="D336" s="794"/>
      <c r="E336" s="378">
        <f>'Concept-Level Data'!Z88</f>
        <v>3</v>
      </c>
      <c r="F336" s="387">
        <f>'Concept-Level Data'!AA88</f>
        <v>3</v>
      </c>
      <c r="G336" s="381">
        <f>'Concept-Level Data'!AB88</f>
        <v>3</v>
      </c>
    </row>
    <row r="337" spans="2:7" hidden="1" x14ac:dyDescent="0.25">
      <c r="B337" s="227" t="str">
        <f>'Concept-Level Data'!A89</f>
        <v>Respondent 6</v>
      </c>
      <c r="C337" s="793" t="str">
        <f>'Concept-Level Data'!B89</f>
        <v>Urban and Agricultural Water Use Efficiency</v>
      </c>
      <c r="D337" s="794"/>
      <c r="E337" s="378">
        <f>'Concept-Level Data'!Z89</f>
        <v>3</v>
      </c>
      <c r="F337" s="387">
        <f>'Concept-Level Data'!AA89</f>
        <v>3</v>
      </c>
      <c r="G337" s="381">
        <f>'Concept-Level Data'!AB89</f>
        <v>3</v>
      </c>
    </row>
    <row r="338" spans="2:7" hidden="1" x14ac:dyDescent="0.25">
      <c r="B338" s="227" t="str">
        <f>'Concept-Level Data'!A90</f>
        <v>Respondent 6</v>
      </c>
      <c r="C338" s="793" t="str">
        <f>'Concept-Level Data'!B90</f>
        <v>Watershed and Ecosystem Management</v>
      </c>
      <c r="D338" s="794"/>
      <c r="E338" s="378">
        <f>'Concept-Level Data'!Z90</f>
        <v>5</v>
      </c>
      <c r="F338" s="387">
        <f>'Concept-Level Data'!AA90</f>
        <v>5</v>
      </c>
      <c r="G338" s="381">
        <f>'Concept-Level Data'!AB90</f>
        <v>5</v>
      </c>
    </row>
    <row r="339" spans="2:7" hidden="1" x14ac:dyDescent="0.25">
      <c r="B339" s="227" t="str">
        <f>'Concept-Level Data'!A91</f>
        <v>Respondent 7</v>
      </c>
      <c r="C339" s="793" t="str">
        <f>'Concept-Level Data'!B91</f>
        <v>Conveyance Improvement</v>
      </c>
      <c r="D339" s="794"/>
      <c r="E339" s="378">
        <f>'Concept-Level Data'!Z91</f>
        <v>3</v>
      </c>
      <c r="F339" s="387">
        <f>'Concept-Level Data'!AA91</f>
        <v>5</v>
      </c>
      <c r="G339" s="381">
        <f>'Concept-Level Data'!AB91</f>
        <v>3</v>
      </c>
    </row>
    <row r="340" spans="2:7" hidden="1" x14ac:dyDescent="0.25">
      <c r="B340" s="227" t="str">
        <f>'Concept-Level Data'!A92</f>
        <v>Respondent 7</v>
      </c>
      <c r="C340" s="793" t="str">
        <f>'Concept-Level Data'!B92</f>
        <v>Drought Restriction/Allocation</v>
      </c>
      <c r="D340" s="794"/>
      <c r="E340" s="378">
        <f>'Concept-Level Data'!Z92</f>
        <v>4</v>
      </c>
      <c r="F340" s="387">
        <f>'Concept-Level Data'!AA92</f>
        <v>3</v>
      </c>
      <c r="G340" s="381">
        <f>'Concept-Level Data'!AB92</f>
        <v>3</v>
      </c>
    </row>
    <row r="341" spans="2:7" hidden="1" x14ac:dyDescent="0.25">
      <c r="B341" s="227" t="str">
        <f>'Concept-Level Data'!A93</f>
        <v>Respondent 7</v>
      </c>
      <c r="C341" s="793" t="str">
        <f>'Concept-Level Data'!B93</f>
        <v>Firm Water Supply Agreements</v>
      </c>
      <c r="D341" s="794"/>
      <c r="E341" s="378">
        <f>'Concept-Level Data'!Z93</f>
        <v>3</v>
      </c>
      <c r="F341" s="387">
        <f>'Concept-Level Data'!AA93</f>
        <v>3</v>
      </c>
      <c r="G341" s="381">
        <f>'Concept-Level Data'!AB93</f>
        <v>3</v>
      </c>
    </row>
    <row r="342" spans="2:7" hidden="1" x14ac:dyDescent="0.25">
      <c r="B342" s="227" t="str">
        <f>'Concept-Level Data'!A94</f>
        <v>Respondent 7</v>
      </c>
      <c r="C342" s="793" t="str">
        <f>'Concept-Level Data'!B94</f>
        <v>Gray Water Use</v>
      </c>
      <c r="D342" s="794"/>
      <c r="E342" s="378">
        <f>'Concept-Level Data'!Z94</f>
        <v>3</v>
      </c>
      <c r="F342" s="387">
        <f>'Concept-Level Data'!AA94</f>
        <v>4</v>
      </c>
      <c r="G342" s="381">
        <f>'Concept-Level Data'!AB94</f>
        <v>3</v>
      </c>
    </row>
    <row r="343" spans="2:7" hidden="1" x14ac:dyDescent="0.25">
      <c r="B343" s="227" t="str">
        <f>'Concept-Level Data'!A95</f>
        <v>Respondent 7</v>
      </c>
      <c r="C343" s="793" t="str">
        <f>'Concept-Level Data'!B95</f>
        <v>Groundwater</v>
      </c>
      <c r="D343" s="794"/>
      <c r="E343" s="378">
        <f>'Concept-Level Data'!Z95</f>
        <v>2</v>
      </c>
      <c r="F343" s="387">
        <f>'Concept-Level Data'!AA95</f>
        <v>3</v>
      </c>
      <c r="G343" s="381">
        <f>'Concept-Level Data'!AB95</f>
        <v>1</v>
      </c>
    </row>
    <row r="344" spans="2:7" hidden="1" x14ac:dyDescent="0.25">
      <c r="B344" s="227" t="str">
        <f>'Concept-Level Data'!A96</f>
        <v>Respondent 7</v>
      </c>
      <c r="C344" s="793" t="str">
        <f>'Concept-Level Data'!B96</f>
        <v>Imported Water Purchases</v>
      </c>
      <c r="D344" s="794"/>
      <c r="E344" s="378">
        <f>'Concept-Level Data'!Z96</f>
        <v>3</v>
      </c>
      <c r="F344" s="387">
        <f>'Concept-Level Data'!AA96</f>
        <v>3</v>
      </c>
      <c r="G344" s="381">
        <f>'Concept-Level Data'!AB96</f>
        <v>3</v>
      </c>
    </row>
    <row r="345" spans="2:7" hidden="1" x14ac:dyDescent="0.25">
      <c r="B345" s="227" t="str">
        <f>'Concept-Level Data'!A97</f>
        <v>Respondent 7</v>
      </c>
      <c r="C345" s="793" t="str">
        <f>'Concept-Level Data'!B97</f>
        <v>Local Surface Water Reservoirs</v>
      </c>
      <c r="D345" s="794"/>
      <c r="E345" s="378">
        <f>'Concept-Level Data'!Z97</f>
        <v>4</v>
      </c>
      <c r="F345" s="387">
        <f>'Concept-Level Data'!AA97</f>
        <v>4</v>
      </c>
      <c r="G345" s="381">
        <f>'Concept-Level Data'!AB97</f>
        <v>5</v>
      </c>
    </row>
    <row r="346" spans="2:7" hidden="1" x14ac:dyDescent="0.25">
      <c r="B346" s="227" t="str">
        <f>'Concept-Level Data'!A98</f>
        <v>Respondent 7</v>
      </c>
      <c r="C346" s="793" t="str">
        <f>'Concept-Level Data'!B98</f>
        <v>Potable Reuse</v>
      </c>
      <c r="D346" s="794"/>
      <c r="E346" s="378">
        <f>'Concept-Level Data'!Z98</f>
        <v>4</v>
      </c>
      <c r="F346" s="387">
        <f>'Concept-Level Data'!AA98</f>
        <v>4</v>
      </c>
      <c r="G346" s="381">
        <f>'Concept-Level Data'!AB98</f>
        <v>3</v>
      </c>
    </row>
    <row r="347" spans="2:7" hidden="1" x14ac:dyDescent="0.25">
      <c r="B347" s="227" t="str">
        <f>'Concept-Level Data'!A99</f>
        <v>Respondent 7</v>
      </c>
      <c r="C347" s="793" t="str">
        <f>'Concept-Level Data'!B99</f>
        <v>Recycled Water</v>
      </c>
      <c r="D347" s="794"/>
      <c r="E347" s="378">
        <f>'Concept-Level Data'!Z99</f>
        <v>5</v>
      </c>
      <c r="F347" s="387">
        <f>'Concept-Level Data'!AA99</f>
        <v>5</v>
      </c>
      <c r="G347" s="381">
        <f>'Concept-Level Data'!AB99</f>
        <v>5</v>
      </c>
    </row>
    <row r="348" spans="2:7" hidden="1" x14ac:dyDescent="0.25">
      <c r="B348" s="227" t="str">
        <f>'Concept-Level Data'!A100</f>
        <v>Respondent 7</v>
      </c>
      <c r="C348" s="793" t="str">
        <f>'Concept-Level Data'!B100</f>
        <v>Seawater Desalination</v>
      </c>
      <c r="D348" s="794"/>
      <c r="E348" s="378">
        <f>'Concept-Level Data'!Z100</f>
        <v>3</v>
      </c>
      <c r="F348" s="387">
        <f>'Concept-Level Data'!AA100</f>
        <v>1</v>
      </c>
      <c r="G348" s="381">
        <f>'Concept-Level Data'!AB100</f>
        <v>1</v>
      </c>
    </row>
    <row r="349" spans="2:7" hidden="1" x14ac:dyDescent="0.25">
      <c r="B349" s="227" t="str">
        <f>'Concept-Level Data'!A101</f>
        <v>Respondent 7</v>
      </c>
      <c r="C349" s="793" t="str">
        <f>'Concept-Level Data'!B101</f>
        <v>Stormwater BMPs</v>
      </c>
      <c r="D349" s="794"/>
      <c r="E349" s="378">
        <f>'Concept-Level Data'!Z101</f>
        <v>5</v>
      </c>
      <c r="F349" s="387">
        <f>'Concept-Level Data'!AA101</f>
        <v>5</v>
      </c>
      <c r="G349" s="381" t="str">
        <f>'Concept-Level Data'!AB101</f>
        <v>MISSING</v>
      </c>
    </row>
    <row r="350" spans="2:7" hidden="1" x14ac:dyDescent="0.25">
      <c r="B350" s="227" t="str">
        <f>'Concept-Level Data'!A102</f>
        <v>Respondent 7</v>
      </c>
      <c r="C350" s="793" t="str">
        <f>'Concept-Level Data'!B102</f>
        <v>Stormwater Capture</v>
      </c>
      <c r="D350" s="794"/>
      <c r="E350" s="378">
        <f>'Concept-Level Data'!Z102</f>
        <v>3</v>
      </c>
      <c r="F350" s="387">
        <f>'Concept-Level Data'!AA102</f>
        <v>4</v>
      </c>
      <c r="G350" s="381">
        <f>'Concept-Level Data'!AB102</f>
        <v>4</v>
      </c>
    </row>
    <row r="351" spans="2:7" hidden="1" x14ac:dyDescent="0.25">
      <c r="B351" s="227" t="str">
        <f>'Concept-Level Data'!A103</f>
        <v>Respondent 7</v>
      </c>
      <c r="C351" s="793" t="str">
        <f>'Concept-Level Data'!B103</f>
        <v>Urban and Agricultural Water Use Efficiency</v>
      </c>
      <c r="D351" s="794"/>
      <c r="E351" s="378">
        <f>'Concept-Level Data'!Z103</f>
        <v>4</v>
      </c>
      <c r="F351" s="387">
        <f>'Concept-Level Data'!AA103</f>
        <v>5</v>
      </c>
      <c r="G351" s="381">
        <f>'Concept-Level Data'!AB103</f>
        <v>4</v>
      </c>
    </row>
    <row r="352" spans="2:7" hidden="1" x14ac:dyDescent="0.25">
      <c r="B352" s="227" t="str">
        <f>'Concept-Level Data'!A104</f>
        <v>Respondent 7</v>
      </c>
      <c r="C352" s="793" t="str">
        <f>'Concept-Level Data'!B104</f>
        <v>Watershed and Ecosystem Management</v>
      </c>
      <c r="D352" s="794"/>
      <c r="E352" s="378">
        <f>'Concept-Level Data'!Z104</f>
        <v>5</v>
      </c>
      <c r="F352" s="387">
        <f>'Concept-Level Data'!AA104</f>
        <v>5</v>
      </c>
      <c r="G352" s="381">
        <f>'Concept-Level Data'!AB104</f>
        <v>5</v>
      </c>
    </row>
    <row r="353" spans="2:7" hidden="1" x14ac:dyDescent="0.25">
      <c r="B353" s="227" t="str">
        <f>'Concept-Level Data'!A105</f>
        <v>Respondent 8</v>
      </c>
      <c r="C353" s="793" t="str">
        <f>'Concept-Level Data'!B105</f>
        <v>Conveyance Improvement</v>
      </c>
      <c r="D353" s="794"/>
      <c r="E353" s="378" t="str">
        <f>'Concept-Level Data'!Z105</f>
        <v>MISSING</v>
      </c>
      <c r="F353" s="387" t="str">
        <f>'Concept-Level Data'!AA105</f>
        <v>MISSING</v>
      </c>
      <c r="G353" s="381" t="str">
        <f>'Concept-Level Data'!AB105</f>
        <v>MISSING</v>
      </c>
    </row>
    <row r="354" spans="2:7" hidden="1" x14ac:dyDescent="0.25">
      <c r="B354" s="227" t="str">
        <f>'Concept-Level Data'!A106</f>
        <v>Respondent 8</v>
      </c>
      <c r="C354" s="793" t="str">
        <f>'Concept-Level Data'!B106</f>
        <v>Drought Restriction/Allocation</v>
      </c>
      <c r="D354" s="794"/>
      <c r="E354" s="378" t="str">
        <f>'Concept-Level Data'!Z106</f>
        <v>MISSING</v>
      </c>
      <c r="F354" s="387" t="str">
        <f>'Concept-Level Data'!AA106</f>
        <v>MISSING</v>
      </c>
      <c r="G354" s="381" t="str">
        <f>'Concept-Level Data'!AB106</f>
        <v>MISSING</v>
      </c>
    </row>
    <row r="355" spans="2:7" hidden="1" x14ac:dyDescent="0.25">
      <c r="B355" s="227" t="str">
        <f>'Concept-Level Data'!A107</f>
        <v>Respondent 8</v>
      </c>
      <c r="C355" s="793" t="str">
        <f>'Concept-Level Data'!B107</f>
        <v>Firm Water Supply Agreements</v>
      </c>
      <c r="D355" s="794"/>
      <c r="E355" s="378" t="str">
        <f>'Concept-Level Data'!Z107</f>
        <v>MISSING</v>
      </c>
      <c r="F355" s="387" t="str">
        <f>'Concept-Level Data'!AA107</f>
        <v>MISSING</v>
      </c>
      <c r="G355" s="381" t="str">
        <f>'Concept-Level Data'!AB107</f>
        <v>MISSING</v>
      </c>
    </row>
    <row r="356" spans="2:7" hidden="1" x14ac:dyDescent="0.25">
      <c r="B356" s="227" t="str">
        <f>'Concept-Level Data'!A108</f>
        <v>Respondent 8</v>
      </c>
      <c r="C356" s="793" t="str">
        <f>'Concept-Level Data'!B108</f>
        <v>Gray Water Use</v>
      </c>
      <c r="D356" s="794"/>
      <c r="E356" s="378" t="str">
        <f>'Concept-Level Data'!Z108</f>
        <v>MISSING</v>
      </c>
      <c r="F356" s="387" t="str">
        <f>'Concept-Level Data'!AA108</f>
        <v>MISSING</v>
      </c>
      <c r="G356" s="381" t="str">
        <f>'Concept-Level Data'!AB108</f>
        <v>MISSING</v>
      </c>
    </row>
    <row r="357" spans="2:7" hidden="1" x14ac:dyDescent="0.25">
      <c r="B357" s="227" t="str">
        <f>'Concept-Level Data'!A109</f>
        <v>Respondent 8</v>
      </c>
      <c r="C357" s="793" t="str">
        <f>'Concept-Level Data'!B109</f>
        <v>Groundwater</v>
      </c>
      <c r="D357" s="794"/>
      <c r="E357" s="378" t="str">
        <f>'Concept-Level Data'!Z109</f>
        <v>MISSING</v>
      </c>
      <c r="F357" s="387" t="str">
        <f>'Concept-Level Data'!AA109</f>
        <v>MISSING</v>
      </c>
      <c r="G357" s="381" t="str">
        <f>'Concept-Level Data'!AB109</f>
        <v>MISSING</v>
      </c>
    </row>
    <row r="358" spans="2:7" hidden="1" x14ac:dyDescent="0.25">
      <c r="B358" s="227" t="str">
        <f>'Concept-Level Data'!A110</f>
        <v>Respondent 8</v>
      </c>
      <c r="C358" s="793" t="str">
        <f>'Concept-Level Data'!B110</f>
        <v>Imported Water Purchases</v>
      </c>
      <c r="D358" s="794"/>
      <c r="E358" s="378" t="str">
        <f>'Concept-Level Data'!Z110</f>
        <v>MISSING</v>
      </c>
      <c r="F358" s="387" t="str">
        <f>'Concept-Level Data'!AA110</f>
        <v>MISSING</v>
      </c>
      <c r="G358" s="381" t="str">
        <f>'Concept-Level Data'!AB110</f>
        <v>MISSING</v>
      </c>
    </row>
    <row r="359" spans="2:7" hidden="1" x14ac:dyDescent="0.25">
      <c r="B359" s="227" t="str">
        <f>'Concept-Level Data'!A111</f>
        <v>Respondent 8</v>
      </c>
      <c r="C359" s="793" t="str">
        <f>'Concept-Level Data'!B111</f>
        <v>Local Surface Water Reservoirs</v>
      </c>
      <c r="D359" s="794"/>
      <c r="E359" s="378" t="str">
        <f>'Concept-Level Data'!Z111</f>
        <v>MISSING</v>
      </c>
      <c r="F359" s="387" t="str">
        <f>'Concept-Level Data'!AA111</f>
        <v>MISSING</v>
      </c>
      <c r="G359" s="381" t="str">
        <f>'Concept-Level Data'!AB111</f>
        <v>MISSING</v>
      </c>
    </row>
    <row r="360" spans="2:7" hidden="1" x14ac:dyDescent="0.25">
      <c r="B360" s="227" t="str">
        <f>'Concept-Level Data'!A112</f>
        <v>Respondent 8</v>
      </c>
      <c r="C360" s="793" t="str">
        <f>'Concept-Level Data'!B112</f>
        <v>Potable Reuse</v>
      </c>
      <c r="D360" s="794"/>
      <c r="E360" s="378" t="str">
        <f>'Concept-Level Data'!Z112</f>
        <v>MISSING</v>
      </c>
      <c r="F360" s="387" t="str">
        <f>'Concept-Level Data'!AA112</f>
        <v>MISSING</v>
      </c>
      <c r="G360" s="381" t="str">
        <f>'Concept-Level Data'!AB112</f>
        <v>MISSING</v>
      </c>
    </row>
    <row r="361" spans="2:7" hidden="1" x14ac:dyDescent="0.25">
      <c r="B361" s="227" t="str">
        <f>'Concept-Level Data'!A113</f>
        <v>Respondent 8</v>
      </c>
      <c r="C361" s="793" t="str">
        <f>'Concept-Level Data'!B113</f>
        <v>Recycled Water</v>
      </c>
      <c r="D361" s="794"/>
      <c r="E361" s="378" t="str">
        <f>'Concept-Level Data'!Z113</f>
        <v>MISSING</v>
      </c>
      <c r="F361" s="387" t="str">
        <f>'Concept-Level Data'!AA113</f>
        <v>MISSING</v>
      </c>
      <c r="G361" s="381" t="str">
        <f>'Concept-Level Data'!AB113</f>
        <v>MISSING</v>
      </c>
    </row>
    <row r="362" spans="2:7" hidden="1" x14ac:dyDescent="0.25">
      <c r="B362" s="227" t="str">
        <f>'Concept-Level Data'!A114</f>
        <v>Respondent 8</v>
      </c>
      <c r="C362" s="793" t="str">
        <f>'Concept-Level Data'!B114</f>
        <v>Seawater Desalination</v>
      </c>
      <c r="D362" s="794"/>
      <c r="E362" s="378" t="str">
        <f>'Concept-Level Data'!Z114</f>
        <v>MISSING</v>
      </c>
      <c r="F362" s="387" t="str">
        <f>'Concept-Level Data'!AA114</f>
        <v>MISSING</v>
      </c>
      <c r="G362" s="381" t="str">
        <f>'Concept-Level Data'!AB114</f>
        <v>MISSING</v>
      </c>
    </row>
    <row r="363" spans="2:7" hidden="1" x14ac:dyDescent="0.25">
      <c r="B363" s="227" t="str">
        <f>'Concept-Level Data'!A115</f>
        <v>Respondent 8</v>
      </c>
      <c r="C363" s="793" t="str">
        <f>'Concept-Level Data'!B115</f>
        <v>Stormwater BMPs</v>
      </c>
      <c r="D363" s="794"/>
      <c r="E363" s="378" t="str">
        <f>'Concept-Level Data'!Z115</f>
        <v>MISSING</v>
      </c>
      <c r="F363" s="387" t="str">
        <f>'Concept-Level Data'!AA115</f>
        <v>MISSING</v>
      </c>
      <c r="G363" s="381" t="str">
        <f>'Concept-Level Data'!AB115</f>
        <v>MISSING</v>
      </c>
    </row>
    <row r="364" spans="2:7" hidden="1" x14ac:dyDescent="0.25">
      <c r="B364" s="227" t="str">
        <f>'Concept-Level Data'!A116</f>
        <v>Respondent 8</v>
      </c>
      <c r="C364" s="793" t="str">
        <f>'Concept-Level Data'!B116</f>
        <v>Stormwater Capture</v>
      </c>
      <c r="D364" s="794"/>
      <c r="E364" s="378" t="str">
        <f>'Concept-Level Data'!Z116</f>
        <v>MISSING</v>
      </c>
      <c r="F364" s="387" t="str">
        <f>'Concept-Level Data'!AA116</f>
        <v>MISSING</v>
      </c>
      <c r="G364" s="381" t="str">
        <f>'Concept-Level Data'!AB116</f>
        <v>MISSING</v>
      </c>
    </row>
    <row r="365" spans="2:7" hidden="1" x14ac:dyDescent="0.25">
      <c r="B365" s="227" t="str">
        <f>'Concept-Level Data'!A117</f>
        <v>Respondent 8</v>
      </c>
      <c r="C365" s="793" t="str">
        <f>'Concept-Level Data'!B117</f>
        <v>Urban and Agricultural Water Use Efficiency</v>
      </c>
      <c r="D365" s="794"/>
      <c r="E365" s="378" t="str">
        <f>'Concept-Level Data'!Z117</f>
        <v>MISSING</v>
      </c>
      <c r="F365" s="387" t="str">
        <f>'Concept-Level Data'!AA117</f>
        <v>MISSING</v>
      </c>
      <c r="G365" s="381" t="str">
        <f>'Concept-Level Data'!AB117</f>
        <v>MISSING</v>
      </c>
    </row>
    <row r="366" spans="2:7" hidden="1" x14ac:dyDescent="0.25">
      <c r="B366" s="227" t="str">
        <f>'Concept-Level Data'!A118</f>
        <v>Respondent 8</v>
      </c>
      <c r="C366" s="793" t="str">
        <f>'Concept-Level Data'!B118</f>
        <v>Watershed and Ecosystem Management</v>
      </c>
      <c r="D366" s="794"/>
      <c r="E366" s="378" t="str">
        <f>'Concept-Level Data'!Z118</f>
        <v>MISSING</v>
      </c>
      <c r="F366" s="387" t="str">
        <f>'Concept-Level Data'!AA118</f>
        <v>MISSING</v>
      </c>
      <c r="G366" s="381" t="str">
        <f>'Concept-Level Data'!AB118</f>
        <v>MISSING</v>
      </c>
    </row>
    <row r="367" spans="2:7" hidden="1" x14ac:dyDescent="0.25">
      <c r="B367" s="227" t="str">
        <f>'Concept-Level Data'!A119</f>
        <v>Respondent 9</v>
      </c>
      <c r="C367" s="793" t="str">
        <f>'Concept-Level Data'!B119</f>
        <v>Conveyance Improvement</v>
      </c>
      <c r="D367" s="794"/>
      <c r="E367" s="378">
        <f>'Concept-Level Data'!Z119</f>
        <v>5</v>
      </c>
      <c r="F367" s="387">
        <f>'Concept-Level Data'!AA119</f>
        <v>4</v>
      </c>
      <c r="G367" s="381">
        <f>'Concept-Level Data'!AB119</f>
        <v>4</v>
      </c>
    </row>
    <row r="368" spans="2:7" hidden="1" x14ac:dyDescent="0.25">
      <c r="B368" s="227" t="str">
        <f>'Concept-Level Data'!A120</f>
        <v>Respondent 9</v>
      </c>
      <c r="C368" s="793" t="str">
        <f>'Concept-Level Data'!B120</f>
        <v>Drought Restriction/Allocation</v>
      </c>
      <c r="D368" s="794"/>
      <c r="E368" s="378">
        <f>'Concept-Level Data'!Z120</f>
        <v>2</v>
      </c>
      <c r="F368" s="387">
        <f>'Concept-Level Data'!AA120</f>
        <v>3</v>
      </c>
      <c r="G368" s="381">
        <f>'Concept-Level Data'!AB120</f>
        <v>3</v>
      </c>
    </row>
    <row r="369" spans="2:7" hidden="1" x14ac:dyDescent="0.25">
      <c r="B369" s="227" t="str">
        <f>'Concept-Level Data'!A121</f>
        <v>Respondent 9</v>
      </c>
      <c r="C369" s="793" t="str">
        <f>'Concept-Level Data'!B121</f>
        <v>Firm Water Supply Agreements</v>
      </c>
      <c r="D369" s="794"/>
      <c r="E369" s="378">
        <f>'Concept-Level Data'!Z121</f>
        <v>3</v>
      </c>
      <c r="F369" s="387">
        <f>'Concept-Level Data'!AA121</f>
        <v>1</v>
      </c>
      <c r="G369" s="381">
        <f>'Concept-Level Data'!AB121</f>
        <v>3</v>
      </c>
    </row>
    <row r="370" spans="2:7" hidden="1" x14ac:dyDescent="0.25">
      <c r="B370" s="227" t="str">
        <f>'Concept-Level Data'!A122</f>
        <v>Respondent 9</v>
      </c>
      <c r="C370" s="793" t="str">
        <f>'Concept-Level Data'!B122</f>
        <v>Gray Water Use</v>
      </c>
      <c r="D370" s="794"/>
      <c r="E370" s="378">
        <f>'Concept-Level Data'!Z122</f>
        <v>4</v>
      </c>
      <c r="F370" s="387">
        <f>'Concept-Level Data'!AA122</f>
        <v>3</v>
      </c>
      <c r="G370" s="381">
        <f>'Concept-Level Data'!AB122</f>
        <v>3</v>
      </c>
    </row>
    <row r="371" spans="2:7" hidden="1" x14ac:dyDescent="0.25">
      <c r="B371" s="227" t="str">
        <f>'Concept-Level Data'!A123</f>
        <v>Respondent 9</v>
      </c>
      <c r="C371" s="793" t="str">
        <f>'Concept-Level Data'!B123</f>
        <v>Groundwater</v>
      </c>
      <c r="D371" s="794"/>
      <c r="E371" s="378">
        <f>'Concept-Level Data'!Z123</f>
        <v>3</v>
      </c>
      <c r="F371" s="387">
        <f>'Concept-Level Data'!AA123</f>
        <v>1</v>
      </c>
      <c r="G371" s="381">
        <f>'Concept-Level Data'!AB123</f>
        <v>3</v>
      </c>
    </row>
    <row r="372" spans="2:7" hidden="1" x14ac:dyDescent="0.25">
      <c r="B372" s="227" t="str">
        <f>'Concept-Level Data'!A124</f>
        <v>Respondent 9</v>
      </c>
      <c r="C372" s="793" t="str">
        <f>'Concept-Level Data'!B124</f>
        <v>Imported Water Purchases</v>
      </c>
      <c r="D372" s="794"/>
      <c r="E372" s="378">
        <f>'Concept-Level Data'!Z124</f>
        <v>3</v>
      </c>
      <c r="F372" s="387">
        <f>'Concept-Level Data'!AA124</f>
        <v>1</v>
      </c>
      <c r="G372" s="381">
        <f>'Concept-Level Data'!AB124</f>
        <v>3</v>
      </c>
    </row>
    <row r="373" spans="2:7" hidden="1" x14ac:dyDescent="0.25">
      <c r="B373" s="227" t="str">
        <f>'Concept-Level Data'!A125</f>
        <v>Respondent 9</v>
      </c>
      <c r="C373" s="793" t="str">
        <f>'Concept-Level Data'!B125</f>
        <v>Local Surface Water Reservoirs</v>
      </c>
      <c r="D373" s="794"/>
      <c r="E373" s="378">
        <f>'Concept-Level Data'!Z125</f>
        <v>3</v>
      </c>
      <c r="F373" s="387">
        <f>'Concept-Level Data'!AA125</f>
        <v>4</v>
      </c>
      <c r="G373" s="381">
        <f>'Concept-Level Data'!AB125</f>
        <v>5</v>
      </c>
    </row>
    <row r="374" spans="2:7" hidden="1" x14ac:dyDescent="0.25">
      <c r="B374" s="227" t="str">
        <f>'Concept-Level Data'!A126</f>
        <v>Respondent 9</v>
      </c>
      <c r="C374" s="793" t="str">
        <f>'Concept-Level Data'!B126</f>
        <v>Potable Reuse</v>
      </c>
      <c r="D374" s="794"/>
      <c r="E374" s="378">
        <f>'Concept-Level Data'!Z126</f>
        <v>3</v>
      </c>
      <c r="F374" s="387">
        <f>'Concept-Level Data'!AA126</f>
        <v>4</v>
      </c>
      <c r="G374" s="381">
        <f>'Concept-Level Data'!AB126</f>
        <v>3</v>
      </c>
    </row>
    <row r="375" spans="2:7" hidden="1" x14ac:dyDescent="0.25">
      <c r="B375" s="227" t="str">
        <f>'Concept-Level Data'!A127</f>
        <v>Respondent 9</v>
      </c>
      <c r="C375" s="793" t="str">
        <f>'Concept-Level Data'!B127</f>
        <v>Recycled Water</v>
      </c>
      <c r="D375" s="794"/>
      <c r="E375" s="378">
        <f>'Concept-Level Data'!Z127</f>
        <v>5</v>
      </c>
      <c r="F375" s="387">
        <f>'Concept-Level Data'!AA127</f>
        <v>4</v>
      </c>
      <c r="G375" s="381">
        <f>'Concept-Level Data'!AB127</f>
        <v>3</v>
      </c>
    </row>
    <row r="376" spans="2:7" hidden="1" x14ac:dyDescent="0.25">
      <c r="B376" s="227" t="str">
        <f>'Concept-Level Data'!A128</f>
        <v>Respondent 9</v>
      </c>
      <c r="C376" s="793" t="str">
        <f>'Concept-Level Data'!B128</f>
        <v>Seawater Desalination</v>
      </c>
      <c r="D376" s="794"/>
      <c r="E376" s="378">
        <f>'Concept-Level Data'!Z128</f>
        <v>3</v>
      </c>
      <c r="F376" s="387">
        <f>'Concept-Level Data'!AA128</f>
        <v>2</v>
      </c>
      <c r="G376" s="381">
        <f>'Concept-Level Data'!AB128</f>
        <v>1</v>
      </c>
    </row>
    <row r="377" spans="2:7" hidden="1" x14ac:dyDescent="0.25">
      <c r="B377" s="227" t="str">
        <f>'Concept-Level Data'!A129</f>
        <v>Respondent 9</v>
      </c>
      <c r="C377" s="793" t="str">
        <f>'Concept-Level Data'!B129</f>
        <v>Stormwater BMPs</v>
      </c>
      <c r="D377" s="794"/>
      <c r="E377" s="378">
        <f>'Concept-Level Data'!Z129</f>
        <v>4</v>
      </c>
      <c r="F377" s="387">
        <f>'Concept-Level Data'!AA129</f>
        <v>5</v>
      </c>
      <c r="G377" s="381">
        <f>'Concept-Level Data'!AB129</f>
        <v>5</v>
      </c>
    </row>
    <row r="378" spans="2:7" hidden="1" x14ac:dyDescent="0.25">
      <c r="B378" s="227" t="str">
        <f>'Concept-Level Data'!A130</f>
        <v>Respondent 9</v>
      </c>
      <c r="C378" s="793" t="str">
        <f>'Concept-Level Data'!B130</f>
        <v>Stormwater Capture</v>
      </c>
      <c r="D378" s="794"/>
      <c r="E378" s="378">
        <f>'Concept-Level Data'!Z130</f>
        <v>4</v>
      </c>
      <c r="F378" s="387">
        <f>'Concept-Level Data'!AA130</f>
        <v>4</v>
      </c>
      <c r="G378" s="381">
        <f>'Concept-Level Data'!AB130</f>
        <v>3</v>
      </c>
    </row>
    <row r="379" spans="2:7" hidden="1" x14ac:dyDescent="0.25">
      <c r="B379" s="227" t="str">
        <f>'Concept-Level Data'!A131</f>
        <v>Respondent 9</v>
      </c>
      <c r="C379" s="793" t="str">
        <f>'Concept-Level Data'!B131</f>
        <v>Urban and Agricultural Water Use Efficiency</v>
      </c>
      <c r="D379" s="794"/>
      <c r="E379" s="378">
        <f>'Concept-Level Data'!Z131</f>
        <v>4</v>
      </c>
      <c r="F379" s="387">
        <f>'Concept-Level Data'!AA131</f>
        <v>4</v>
      </c>
      <c r="G379" s="381">
        <f>'Concept-Level Data'!AB131</f>
        <v>3</v>
      </c>
    </row>
    <row r="380" spans="2:7" hidden="1" x14ac:dyDescent="0.25">
      <c r="B380" s="227" t="str">
        <f>'Concept-Level Data'!A132</f>
        <v>Respondent 9</v>
      </c>
      <c r="C380" s="793" t="str">
        <f>'Concept-Level Data'!B132</f>
        <v>Watershed and Ecosystem Management</v>
      </c>
      <c r="D380" s="794"/>
      <c r="E380" s="378">
        <f>'Concept-Level Data'!Z132</f>
        <v>5</v>
      </c>
      <c r="F380" s="387">
        <f>'Concept-Level Data'!AA132</f>
        <v>5</v>
      </c>
      <c r="G380" s="381">
        <f>'Concept-Level Data'!AB132</f>
        <v>5</v>
      </c>
    </row>
    <row r="381" spans="2:7" hidden="1" x14ac:dyDescent="0.25">
      <c r="B381" s="251" t="str">
        <f>'Concept-Level Data'!A133</f>
        <v>Respondent 10</v>
      </c>
      <c r="C381" s="793" t="str">
        <f>'Concept-Level Data'!B133</f>
        <v>Conveyance Improvement</v>
      </c>
      <c r="D381" s="794"/>
      <c r="E381" s="378">
        <f>'Concept-Level Data'!Z133</f>
        <v>3</v>
      </c>
      <c r="F381" s="387">
        <f>'Concept-Level Data'!AA133</f>
        <v>5</v>
      </c>
      <c r="G381" s="381">
        <f>'Concept-Level Data'!AB133</f>
        <v>3</v>
      </c>
    </row>
    <row r="382" spans="2:7" hidden="1" x14ac:dyDescent="0.25">
      <c r="B382" s="251" t="str">
        <f>'Concept-Level Data'!A134</f>
        <v>Respondent 10</v>
      </c>
      <c r="C382" s="793" t="str">
        <f>'Concept-Level Data'!B134</f>
        <v>Drought Restriction/Allocation</v>
      </c>
      <c r="D382" s="794"/>
      <c r="E382" s="378">
        <f>'Concept-Level Data'!Z134</f>
        <v>2</v>
      </c>
      <c r="F382" s="387">
        <f>'Concept-Level Data'!AA134</f>
        <v>2</v>
      </c>
      <c r="G382" s="381">
        <f>'Concept-Level Data'!AB134</f>
        <v>2</v>
      </c>
    </row>
    <row r="383" spans="2:7" hidden="1" x14ac:dyDescent="0.25">
      <c r="B383" s="251" t="str">
        <f>'Concept-Level Data'!A135</f>
        <v>Respondent 10</v>
      </c>
      <c r="C383" s="793" t="str">
        <f>'Concept-Level Data'!B135</f>
        <v>Firm Water Supply Agreements</v>
      </c>
      <c r="D383" s="794"/>
      <c r="E383" s="378">
        <f>'Concept-Level Data'!Z135</f>
        <v>4</v>
      </c>
      <c r="F383" s="387">
        <f>'Concept-Level Data'!AA135</f>
        <v>5</v>
      </c>
      <c r="G383" s="381">
        <f>'Concept-Level Data'!AB135</f>
        <v>5</v>
      </c>
    </row>
    <row r="384" spans="2:7" hidden="1" x14ac:dyDescent="0.25">
      <c r="B384" s="251" t="str">
        <f>'Concept-Level Data'!A136</f>
        <v>Respondent 10</v>
      </c>
      <c r="C384" s="793" t="str">
        <f>'Concept-Level Data'!B136</f>
        <v>Gray Water Use</v>
      </c>
      <c r="D384" s="794"/>
      <c r="E384" s="378">
        <f>'Concept-Level Data'!Z136</f>
        <v>4</v>
      </c>
      <c r="F384" s="387">
        <f>'Concept-Level Data'!AA136</f>
        <v>4</v>
      </c>
      <c r="G384" s="381">
        <f>'Concept-Level Data'!AB136</f>
        <v>3</v>
      </c>
    </row>
    <row r="385" spans="2:7" hidden="1" x14ac:dyDescent="0.25">
      <c r="B385" s="251" t="str">
        <f>'Concept-Level Data'!A137</f>
        <v>Respondent 10</v>
      </c>
      <c r="C385" s="793" t="str">
        <f>'Concept-Level Data'!B137</f>
        <v>Groundwater</v>
      </c>
      <c r="D385" s="794"/>
      <c r="E385" s="378">
        <f>'Concept-Level Data'!Z137</f>
        <v>4</v>
      </c>
      <c r="F385" s="387">
        <f>'Concept-Level Data'!AA137</f>
        <v>5</v>
      </c>
      <c r="G385" s="381">
        <f>'Concept-Level Data'!AB137</f>
        <v>3</v>
      </c>
    </row>
    <row r="386" spans="2:7" hidden="1" x14ac:dyDescent="0.25">
      <c r="B386" s="251" t="str">
        <f>'Concept-Level Data'!A138</f>
        <v>Respondent 10</v>
      </c>
      <c r="C386" s="793" t="str">
        <f>'Concept-Level Data'!B138</f>
        <v>Imported Water Purchases</v>
      </c>
      <c r="D386" s="794"/>
      <c r="E386" s="378">
        <f>'Concept-Level Data'!Z138</f>
        <v>4</v>
      </c>
      <c r="F386" s="387">
        <f>'Concept-Level Data'!AA138</f>
        <v>5</v>
      </c>
      <c r="G386" s="381">
        <f>'Concept-Level Data'!AB138</f>
        <v>3</v>
      </c>
    </row>
    <row r="387" spans="2:7" hidden="1" x14ac:dyDescent="0.25">
      <c r="B387" s="251" t="str">
        <f>'Concept-Level Data'!A139</f>
        <v>Respondent 10</v>
      </c>
      <c r="C387" s="793" t="str">
        <f>'Concept-Level Data'!B139</f>
        <v>Local Surface Water Reservoirs</v>
      </c>
      <c r="D387" s="794"/>
      <c r="E387" s="378">
        <f>'Concept-Level Data'!Z139</f>
        <v>4</v>
      </c>
      <c r="F387" s="387">
        <f>'Concept-Level Data'!AA139</f>
        <v>5</v>
      </c>
      <c r="G387" s="381">
        <f>'Concept-Level Data'!AB139</f>
        <v>5</v>
      </c>
    </row>
    <row r="388" spans="2:7" hidden="1" x14ac:dyDescent="0.25">
      <c r="B388" s="251" t="str">
        <f>'Concept-Level Data'!A140</f>
        <v>Respondent 10</v>
      </c>
      <c r="C388" s="793" t="str">
        <f>'Concept-Level Data'!B140</f>
        <v>Potable Reuse</v>
      </c>
      <c r="D388" s="794"/>
      <c r="E388" s="378">
        <f>'Concept-Level Data'!Z140</f>
        <v>4</v>
      </c>
      <c r="F388" s="387">
        <f>'Concept-Level Data'!AA140</f>
        <v>5</v>
      </c>
      <c r="G388" s="381">
        <f>'Concept-Level Data'!AB140</f>
        <v>3</v>
      </c>
    </row>
    <row r="389" spans="2:7" hidden="1" x14ac:dyDescent="0.25">
      <c r="B389" s="251" t="str">
        <f>'Concept-Level Data'!A141</f>
        <v>Respondent 10</v>
      </c>
      <c r="C389" s="793" t="str">
        <f>'Concept-Level Data'!B141</f>
        <v>Recycled Water</v>
      </c>
      <c r="D389" s="794"/>
      <c r="E389" s="378">
        <f>'Concept-Level Data'!Z141</f>
        <v>5</v>
      </c>
      <c r="F389" s="387">
        <f>'Concept-Level Data'!AA141</f>
        <v>5</v>
      </c>
      <c r="G389" s="381">
        <f>'Concept-Level Data'!AB141</f>
        <v>5</v>
      </c>
    </row>
    <row r="390" spans="2:7" hidden="1" x14ac:dyDescent="0.25">
      <c r="B390" s="251" t="str">
        <f>'Concept-Level Data'!A142</f>
        <v>Respondent 10</v>
      </c>
      <c r="C390" s="793" t="str">
        <f>'Concept-Level Data'!B142</f>
        <v>Seawater Desalination</v>
      </c>
      <c r="D390" s="794"/>
      <c r="E390" s="378">
        <f>'Concept-Level Data'!Z142</f>
        <v>4</v>
      </c>
      <c r="F390" s="387">
        <f>'Concept-Level Data'!AA142</f>
        <v>5</v>
      </c>
      <c r="G390" s="381">
        <f>'Concept-Level Data'!AB142</f>
        <v>3</v>
      </c>
    </row>
    <row r="391" spans="2:7" hidden="1" x14ac:dyDescent="0.25">
      <c r="B391" s="251" t="str">
        <f>'Concept-Level Data'!A143</f>
        <v>Respondent 10</v>
      </c>
      <c r="C391" s="793" t="str">
        <f>'Concept-Level Data'!B143</f>
        <v>Stormwater BMPs</v>
      </c>
      <c r="D391" s="794"/>
      <c r="E391" s="378">
        <f>'Concept-Level Data'!Z143</f>
        <v>4</v>
      </c>
      <c r="F391" s="387">
        <f>'Concept-Level Data'!AA143</f>
        <v>5</v>
      </c>
      <c r="G391" s="381">
        <f>'Concept-Level Data'!AB143</f>
        <v>4</v>
      </c>
    </row>
    <row r="392" spans="2:7" hidden="1" x14ac:dyDescent="0.25">
      <c r="B392" s="251" t="str">
        <f>'Concept-Level Data'!A144</f>
        <v>Respondent 10</v>
      </c>
      <c r="C392" s="793" t="str">
        <f>'Concept-Level Data'!B144</f>
        <v>Stormwater Capture</v>
      </c>
      <c r="D392" s="794"/>
      <c r="E392" s="378">
        <f>'Concept-Level Data'!Z144</f>
        <v>2</v>
      </c>
      <c r="F392" s="387">
        <f>'Concept-Level Data'!AA144</f>
        <v>5</v>
      </c>
      <c r="G392" s="381">
        <f>'Concept-Level Data'!AB144</f>
        <v>4</v>
      </c>
    </row>
    <row r="393" spans="2:7" hidden="1" x14ac:dyDescent="0.25">
      <c r="B393" s="251" t="str">
        <f>'Concept-Level Data'!A145</f>
        <v>Respondent 10</v>
      </c>
      <c r="C393" s="793" t="str">
        <f>'Concept-Level Data'!B145</f>
        <v>Urban and Agricultural Water Use Efficiency</v>
      </c>
      <c r="D393" s="794"/>
      <c r="E393" s="378">
        <f>'Concept-Level Data'!Z145</f>
        <v>3</v>
      </c>
      <c r="F393" s="387">
        <f>'Concept-Level Data'!AA145</f>
        <v>5</v>
      </c>
      <c r="G393" s="381">
        <f>'Concept-Level Data'!AB145</f>
        <v>3</v>
      </c>
    </row>
    <row r="394" spans="2:7" hidden="1" x14ac:dyDescent="0.25">
      <c r="B394" s="251" t="str">
        <f>'Concept-Level Data'!A146</f>
        <v>Respondent 10</v>
      </c>
      <c r="C394" s="793" t="str">
        <f>'Concept-Level Data'!B146</f>
        <v>Watershed and Ecosystem Management</v>
      </c>
      <c r="D394" s="794"/>
      <c r="E394" s="378">
        <f>'Concept-Level Data'!Z146</f>
        <v>5</v>
      </c>
      <c r="F394" s="387">
        <f>'Concept-Level Data'!AA146</f>
        <v>5</v>
      </c>
      <c r="G394" s="381">
        <f>'Concept-Level Data'!AB146</f>
        <v>5</v>
      </c>
    </row>
    <row r="395" spans="2:7" hidden="1" x14ac:dyDescent="0.25">
      <c r="B395" s="251" t="str">
        <f>'Concept-Level Data'!A147</f>
        <v>Respondent 11</v>
      </c>
      <c r="C395" s="793" t="str">
        <f>'Concept-Level Data'!B147</f>
        <v>Conveyance Improvement</v>
      </c>
      <c r="D395" s="794"/>
      <c r="E395" s="378">
        <f>'Concept-Level Data'!Z147</f>
        <v>3</v>
      </c>
      <c r="F395" s="387">
        <f>'Concept-Level Data'!AA147</f>
        <v>3</v>
      </c>
      <c r="G395" s="381">
        <f>'Concept-Level Data'!AB147</f>
        <v>3</v>
      </c>
    </row>
    <row r="396" spans="2:7" hidden="1" x14ac:dyDescent="0.25">
      <c r="B396" s="251" t="str">
        <f>'Concept-Level Data'!A148</f>
        <v>Respondent 11</v>
      </c>
      <c r="C396" s="793" t="str">
        <f>'Concept-Level Data'!B148</f>
        <v>Drought Restriction/Allocation</v>
      </c>
      <c r="D396" s="794"/>
      <c r="E396" s="378">
        <f>'Concept-Level Data'!Z148</f>
        <v>3</v>
      </c>
      <c r="F396" s="387">
        <f>'Concept-Level Data'!AA148</f>
        <v>1</v>
      </c>
      <c r="G396" s="381">
        <f>'Concept-Level Data'!AB148</f>
        <v>2</v>
      </c>
    </row>
    <row r="397" spans="2:7" hidden="1" x14ac:dyDescent="0.25">
      <c r="B397" s="251" t="str">
        <f>'Concept-Level Data'!A149</f>
        <v>Respondent 11</v>
      </c>
      <c r="C397" s="793" t="str">
        <f>'Concept-Level Data'!B149</f>
        <v>Firm Water Supply Agreements</v>
      </c>
      <c r="D397" s="794"/>
      <c r="E397" s="378">
        <f>'Concept-Level Data'!Z149</f>
        <v>3</v>
      </c>
      <c r="F397" s="387">
        <f>'Concept-Level Data'!AA149</f>
        <v>3</v>
      </c>
      <c r="G397" s="381">
        <f>'Concept-Level Data'!AB149</f>
        <v>3</v>
      </c>
    </row>
    <row r="398" spans="2:7" hidden="1" x14ac:dyDescent="0.25">
      <c r="B398" s="251" t="str">
        <f>'Concept-Level Data'!A150</f>
        <v>Respondent 11</v>
      </c>
      <c r="C398" s="793" t="str">
        <f>'Concept-Level Data'!B150</f>
        <v>Gray Water Use</v>
      </c>
      <c r="D398" s="794"/>
      <c r="E398" s="378">
        <f>'Concept-Level Data'!Z150</f>
        <v>3</v>
      </c>
      <c r="F398" s="387">
        <f>'Concept-Level Data'!AA150</f>
        <v>3</v>
      </c>
      <c r="G398" s="381">
        <f>'Concept-Level Data'!AB150</f>
        <v>3</v>
      </c>
    </row>
    <row r="399" spans="2:7" hidden="1" x14ac:dyDescent="0.25">
      <c r="B399" s="251" t="str">
        <f>'Concept-Level Data'!A151</f>
        <v>Respondent 11</v>
      </c>
      <c r="C399" s="793" t="str">
        <f>'Concept-Level Data'!B151</f>
        <v>Groundwater</v>
      </c>
      <c r="D399" s="794"/>
      <c r="E399" s="378">
        <f>'Concept-Level Data'!Z151</f>
        <v>3</v>
      </c>
      <c r="F399" s="387">
        <f>'Concept-Level Data'!AA151</f>
        <v>3</v>
      </c>
      <c r="G399" s="381">
        <f>'Concept-Level Data'!AB151</f>
        <v>3</v>
      </c>
    </row>
    <row r="400" spans="2:7" hidden="1" x14ac:dyDescent="0.25">
      <c r="B400" s="251" t="str">
        <f>'Concept-Level Data'!A152</f>
        <v>Respondent 11</v>
      </c>
      <c r="C400" s="793" t="str">
        <f>'Concept-Level Data'!B152</f>
        <v>Imported Water Purchases</v>
      </c>
      <c r="D400" s="794"/>
      <c r="E400" s="378">
        <f>'Concept-Level Data'!Z152</f>
        <v>3</v>
      </c>
      <c r="F400" s="387">
        <f>'Concept-Level Data'!AA152</f>
        <v>3</v>
      </c>
      <c r="G400" s="381">
        <f>'Concept-Level Data'!AB152</f>
        <v>3</v>
      </c>
    </row>
    <row r="401" spans="2:7" hidden="1" x14ac:dyDescent="0.25">
      <c r="B401" s="251" t="str">
        <f>'Concept-Level Data'!A153</f>
        <v>Respondent 11</v>
      </c>
      <c r="C401" s="793" t="str">
        <f>'Concept-Level Data'!B153</f>
        <v>Local Surface Water Reservoirs</v>
      </c>
      <c r="D401" s="794"/>
      <c r="E401" s="378">
        <f>'Concept-Level Data'!Z153</f>
        <v>1</v>
      </c>
      <c r="F401" s="387">
        <f>'Concept-Level Data'!AA153</f>
        <v>2</v>
      </c>
      <c r="G401" s="381">
        <f>'Concept-Level Data'!AB153</f>
        <v>4</v>
      </c>
    </row>
    <row r="402" spans="2:7" hidden="1" x14ac:dyDescent="0.25">
      <c r="B402" s="251" t="str">
        <f>'Concept-Level Data'!A154</f>
        <v>Respondent 11</v>
      </c>
      <c r="C402" s="793" t="str">
        <f>'Concept-Level Data'!B154</f>
        <v>Potable Reuse</v>
      </c>
      <c r="D402" s="794"/>
      <c r="E402" s="378">
        <f>'Concept-Level Data'!Z154</f>
        <v>3</v>
      </c>
      <c r="F402" s="387">
        <f>'Concept-Level Data'!AA154</f>
        <v>4</v>
      </c>
      <c r="G402" s="381">
        <f>'Concept-Level Data'!AB154</f>
        <v>3</v>
      </c>
    </row>
    <row r="403" spans="2:7" hidden="1" x14ac:dyDescent="0.25">
      <c r="B403" s="251" t="str">
        <f>'Concept-Level Data'!A155</f>
        <v>Respondent 11</v>
      </c>
      <c r="C403" s="793" t="str">
        <f>'Concept-Level Data'!B155</f>
        <v>Recycled Water</v>
      </c>
      <c r="D403" s="794"/>
      <c r="E403" s="378">
        <f>'Concept-Level Data'!Z155</f>
        <v>3</v>
      </c>
      <c r="F403" s="387">
        <f>'Concept-Level Data'!AA155</f>
        <v>4</v>
      </c>
      <c r="G403" s="381">
        <f>'Concept-Level Data'!AB155</f>
        <v>3</v>
      </c>
    </row>
    <row r="404" spans="2:7" hidden="1" x14ac:dyDescent="0.25">
      <c r="B404" s="251" t="str">
        <f>'Concept-Level Data'!A156</f>
        <v>Respondent 11</v>
      </c>
      <c r="C404" s="793" t="str">
        <f>'Concept-Level Data'!B156</f>
        <v>Seawater Desalination</v>
      </c>
      <c r="D404" s="794"/>
      <c r="E404" s="378">
        <f>'Concept-Level Data'!Z156</f>
        <v>3</v>
      </c>
      <c r="F404" s="387">
        <f>'Concept-Level Data'!AA156</f>
        <v>4</v>
      </c>
      <c r="G404" s="381">
        <f>'Concept-Level Data'!AB156</f>
        <v>3</v>
      </c>
    </row>
    <row r="405" spans="2:7" hidden="1" x14ac:dyDescent="0.25">
      <c r="B405" s="251" t="str">
        <f>'Concept-Level Data'!A157</f>
        <v>Respondent 11</v>
      </c>
      <c r="C405" s="793" t="str">
        <f>'Concept-Level Data'!B157</f>
        <v>Stormwater BMPs</v>
      </c>
      <c r="D405" s="794"/>
      <c r="E405" s="378">
        <f>'Concept-Level Data'!Z157</f>
        <v>3</v>
      </c>
      <c r="F405" s="387">
        <f>'Concept-Level Data'!AA157</f>
        <v>4</v>
      </c>
      <c r="G405" s="381">
        <f>'Concept-Level Data'!AB157</f>
        <v>3</v>
      </c>
    </row>
    <row r="406" spans="2:7" hidden="1" x14ac:dyDescent="0.25">
      <c r="B406" s="251" t="str">
        <f>'Concept-Level Data'!A158</f>
        <v>Respondent 11</v>
      </c>
      <c r="C406" s="793" t="str">
        <f>'Concept-Level Data'!B158</f>
        <v>Stormwater Capture</v>
      </c>
      <c r="D406" s="794"/>
      <c r="E406" s="378">
        <f>'Concept-Level Data'!Z158</f>
        <v>3</v>
      </c>
      <c r="F406" s="387">
        <f>'Concept-Level Data'!AA158</f>
        <v>4</v>
      </c>
      <c r="G406" s="381">
        <f>'Concept-Level Data'!AB158</f>
        <v>3</v>
      </c>
    </row>
    <row r="407" spans="2:7" hidden="1" x14ac:dyDescent="0.25">
      <c r="B407" s="251" t="str">
        <f>'Concept-Level Data'!A159</f>
        <v>Respondent 11</v>
      </c>
      <c r="C407" s="793" t="str">
        <f>'Concept-Level Data'!B159</f>
        <v>Urban and Agricultural Water Use Efficiency</v>
      </c>
      <c r="D407" s="794"/>
      <c r="E407" s="378">
        <f>'Concept-Level Data'!Z159</f>
        <v>3</v>
      </c>
      <c r="F407" s="387">
        <f>'Concept-Level Data'!AA159</f>
        <v>3</v>
      </c>
      <c r="G407" s="381">
        <f>'Concept-Level Data'!AB159</f>
        <v>3</v>
      </c>
    </row>
    <row r="408" spans="2:7" hidden="1" x14ac:dyDescent="0.25">
      <c r="B408" s="251" t="str">
        <f>'Concept-Level Data'!A160</f>
        <v>Respondent 11</v>
      </c>
      <c r="C408" s="793" t="str">
        <f>'Concept-Level Data'!B160</f>
        <v>Watershed and Ecosystem Management</v>
      </c>
      <c r="D408" s="794"/>
      <c r="E408" s="378">
        <f>'Concept-Level Data'!Z160</f>
        <v>3</v>
      </c>
      <c r="F408" s="387">
        <f>'Concept-Level Data'!AA160</f>
        <v>3</v>
      </c>
      <c r="G408" s="381">
        <f>'Concept-Level Data'!AB160</f>
        <v>3</v>
      </c>
    </row>
    <row r="409" spans="2:7" hidden="1" x14ac:dyDescent="0.25">
      <c r="B409" s="251" t="str">
        <f>'Concept-Level Data'!A161</f>
        <v>Respondent 12</v>
      </c>
      <c r="C409" s="793" t="str">
        <f>'Concept-Level Data'!B161</f>
        <v>Conveyance Improvement</v>
      </c>
      <c r="D409" s="794"/>
      <c r="E409" s="378">
        <f>'Concept-Level Data'!Z161</f>
        <v>3</v>
      </c>
      <c r="F409" s="387">
        <f>'Concept-Level Data'!AA161</f>
        <v>3</v>
      </c>
      <c r="G409" s="381">
        <f>'Concept-Level Data'!AB161</f>
        <v>3</v>
      </c>
    </row>
    <row r="410" spans="2:7" hidden="1" x14ac:dyDescent="0.25">
      <c r="B410" s="251" t="str">
        <f>'Concept-Level Data'!A162</f>
        <v>Respondent 12</v>
      </c>
      <c r="C410" s="793" t="str">
        <f>'Concept-Level Data'!B162</f>
        <v>Drought Restriction/Allocation</v>
      </c>
      <c r="D410" s="794"/>
      <c r="E410" s="378">
        <f>'Concept-Level Data'!Z162</f>
        <v>3</v>
      </c>
      <c r="F410" s="387">
        <f>'Concept-Level Data'!AA162</f>
        <v>2</v>
      </c>
      <c r="G410" s="381">
        <f>'Concept-Level Data'!AB162</f>
        <v>3</v>
      </c>
    </row>
    <row r="411" spans="2:7" hidden="1" x14ac:dyDescent="0.25">
      <c r="B411" s="251" t="str">
        <f>'Concept-Level Data'!A163</f>
        <v>Respondent 12</v>
      </c>
      <c r="C411" s="793" t="str">
        <f>'Concept-Level Data'!B163</f>
        <v>Firm Water Supply Agreements</v>
      </c>
      <c r="D411" s="794"/>
      <c r="E411" s="378">
        <f>'Concept-Level Data'!Z163</f>
        <v>3</v>
      </c>
      <c r="F411" s="387">
        <f>'Concept-Level Data'!AA163</f>
        <v>3</v>
      </c>
      <c r="G411" s="381">
        <f>'Concept-Level Data'!AB163</f>
        <v>3</v>
      </c>
    </row>
    <row r="412" spans="2:7" hidden="1" x14ac:dyDescent="0.25">
      <c r="B412" s="251" t="str">
        <f>'Concept-Level Data'!A164</f>
        <v>Respondent 12</v>
      </c>
      <c r="C412" s="793" t="str">
        <f>'Concept-Level Data'!B164</f>
        <v>Gray Water Use</v>
      </c>
      <c r="D412" s="794"/>
      <c r="E412" s="378">
        <f>'Concept-Level Data'!Z164</f>
        <v>3</v>
      </c>
      <c r="F412" s="387">
        <f>'Concept-Level Data'!AA164</f>
        <v>3</v>
      </c>
      <c r="G412" s="381">
        <f>'Concept-Level Data'!AB164</f>
        <v>3</v>
      </c>
    </row>
    <row r="413" spans="2:7" hidden="1" x14ac:dyDescent="0.25">
      <c r="B413" s="251" t="str">
        <f>'Concept-Level Data'!A165</f>
        <v>Respondent 12</v>
      </c>
      <c r="C413" s="793" t="str">
        <f>'Concept-Level Data'!B165</f>
        <v>Groundwater</v>
      </c>
      <c r="D413" s="794"/>
      <c r="E413" s="378">
        <f>'Concept-Level Data'!Z165</f>
        <v>3</v>
      </c>
      <c r="F413" s="387">
        <f>'Concept-Level Data'!AA165</f>
        <v>3</v>
      </c>
      <c r="G413" s="381">
        <f>'Concept-Level Data'!AB165</f>
        <v>3</v>
      </c>
    </row>
    <row r="414" spans="2:7" hidden="1" x14ac:dyDescent="0.25">
      <c r="B414" s="251" t="str">
        <f>'Concept-Level Data'!A166</f>
        <v>Respondent 12</v>
      </c>
      <c r="C414" s="793" t="str">
        <f>'Concept-Level Data'!B166</f>
        <v>Imported Water Purchases</v>
      </c>
      <c r="D414" s="794"/>
      <c r="E414" s="378">
        <f>'Concept-Level Data'!Z166</f>
        <v>3</v>
      </c>
      <c r="F414" s="387">
        <f>'Concept-Level Data'!AA166</f>
        <v>3</v>
      </c>
      <c r="G414" s="381">
        <f>'Concept-Level Data'!AB166</f>
        <v>3</v>
      </c>
    </row>
    <row r="415" spans="2:7" hidden="1" x14ac:dyDescent="0.25">
      <c r="B415" s="251" t="str">
        <f>'Concept-Level Data'!A167</f>
        <v>Respondent 12</v>
      </c>
      <c r="C415" s="793" t="str">
        <f>'Concept-Level Data'!B167</f>
        <v>Local Surface Water Reservoirs</v>
      </c>
      <c r="D415" s="794"/>
      <c r="E415" s="378">
        <f>'Concept-Level Data'!Z167</f>
        <v>3</v>
      </c>
      <c r="F415" s="387">
        <f>'Concept-Level Data'!AA167</f>
        <v>2</v>
      </c>
      <c r="G415" s="381">
        <f>'Concept-Level Data'!AB167</f>
        <v>3</v>
      </c>
    </row>
    <row r="416" spans="2:7" hidden="1" x14ac:dyDescent="0.25">
      <c r="B416" s="251" t="str">
        <f>'Concept-Level Data'!A168</f>
        <v>Respondent 12</v>
      </c>
      <c r="C416" s="793" t="str">
        <f>'Concept-Level Data'!B168</f>
        <v>Potable Reuse</v>
      </c>
      <c r="D416" s="794"/>
      <c r="E416" s="378">
        <f>'Concept-Level Data'!Z168</f>
        <v>3</v>
      </c>
      <c r="F416" s="387">
        <f>'Concept-Level Data'!AA168</f>
        <v>3</v>
      </c>
      <c r="G416" s="381">
        <f>'Concept-Level Data'!AB168</f>
        <v>3</v>
      </c>
    </row>
    <row r="417" spans="2:7" hidden="1" x14ac:dyDescent="0.25">
      <c r="B417" s="251" t="str">
        <f>'Concept-Level Data'!A169</f>
        <v>Respondent 12</v>
      </c>
      <c r="C417" s="793" t="str">
        <f>'Concept-Level Data'!B169</f>
        <v>Recycled Water</v>
      </c>
      <c r="D417" s="794"/>
      <c r="E417" s="378">
        <f>'Concept-Level Data'!Z169</f>
        <v>3</v>
      </c>
      <c r="F417" s="387">
        <f>'Concept-Level Data'!AA169</f>
        <v>3</v>
      </c>
      <c r="G417" s="381">
        <f>'Concept-Level Data'!AB169</f>
        <v>3</v>
      </c>
    </row>
    <row r="418" spans="2:7" hidden="1" x14ac:dyDescent="0.25">
      <c r="B418" s="251" t="str">
        <f>'Concept-Level Data'!A170</f>
        <v>Respondent 12</v>
      </c>
      <c r="C418" s="793" t="str">
        <f>'Concept-Level Data'!B170</f>
        <v>Seawater Desalination</v>
      </c>
      <c r="D418" s="794"/>
      <c r="E418" s="378">
        <f>'Concept-Level Data'!Z170</f>
        <v>3</v>
      </c>
      <c r="F418" s="387">
        <f>'Concept-Level Data'!AA170</f>
        <v>3</v>
      </c>
      <c r="G418" s="381">
        <f>'Concept-Level Data'!AB170</f>
        <v>3</v>
      </c>
    </row>
    <row r="419" spans="2:7" hidden="1" x14ac:dyDescent="0.25">
      <c r="B419" s="251" t="str">
        <f>'Concept-Level Data'!A171</f>
        <v>Respondent 12</v>
      </c>
      <c r="C419" s="793" t="str">
        <f>'Concept-Level Data'!B171</f>
        <v>Stormwater BMPs</v>
      </c>
      <c r="D419" s="794"/>
      <c r="E419" s="378">
        <f>'Concept-Level Data'!Z171</f>
        <v>3</v>
      </c>
      <c r="F419" s="387">
        <f>'Concept-Level Data'!AA171</f>
        <v>4</v>
      </c>
      <c r="G419" s="381">
        <f>'Concept-Level Data'!AB171</f>
        <v>3</v>
      </c>
    </row>
    <row r="420" spans="2:7" hidden="1" x14ac:dyDescent="0.25">
      <c r="B420" s="251" t="str">
        <f>'Concept-Level Data'!A172</f>
        <v>Respondent 12</v>
      </c>
      <c r="C420" s="793" t="str">
        <f>'Concept-Level Data'!B172</f>
        <v>Stormwater Capture</v>
      </c>
      <c r="D420" s="794"/>
      <c r="E420" s="378">
        <f>'Concept-Level Data'!Z172</f>
        <v>3</v>
      </c>
      <c r="F420" s="387">
        <f>'Concept-Level Data'!AA172</f>
        <v>4</v>
      </c>
      <c r="G420" s="381">
        <f>'Concept-Level Data'!AB172</f>
        <v>3</v>
      </c>
    </row>
    <row r="421" spans="2:7" hidden="1" x14ac:dyDescent="0.25">
      <c r="B421" s="251" t="str">
        <f>'Concept-Level Data'!A173</f>
        <v>Respondent 12</v>
      </c>
      <c r="C421" s="793" t="str">
        <f>'Concept-Level Data'!B173</f>
        <v>Urban and Agricultural Water Use Efficiency</v>
      </c>
      <c r="D421" s="794"/>
      <c r="E421" s="378">
        <f>'Concept-Level Data'!Z173</f>
        <v>3</v>
      </c>
      <c r="F421" s="387">
        <f>'Concept-Level Data'!AA173</f>
        <v>5</v>
      </c>
      <c r="G421" s="381">
        <f>'Concept-Level Data'!AB173</f>
        <v>3</v>
      </c>
    </row>
    <row r="422" spans="2:7" hidden="1" x14ac:dyDescent="0.25">
      <c r="B422" s="251" t="str">
        <f>'Concept-Level Data'!A174</f>
        <v>Respondent 12</v>
      </c>
      <c r="C422" s="793" t="str">
        <f>'Concept-Level Data'!B174</f>
        <v>Watershed and Ecosystem Management</v>
      </c>
      <c r="D422" s="794"/>
      <c r="E422" s="378">
        <f>'Concept-Level Data'!Z174</f>
        <v>5</v>
      </c>
      <c r="F422" s="387">
        <f>'Concept-Level Data'!AA174</f>
        <v>5</v>
      </c>
      <c r="G422" s="381">
        <f>'Concept-Level Data'!AB174</f>
        <v>5</v>
      </c>
    </row>
    <row r="423" spans="2:7" hidden="1" x14ac:dyDescent="0.25">
      <c r="B423" s="251" t="str">
        <f>'Concept-Level Data'!A175</f>
        <v>Respondent 13</v>
      </c>
      <c r="C423" s="793" t="str">
        <f>'Concept-Level Data'!B175</f>
        <v>Conveyance Improvement</v>
      </c>
      <c r="D423" s="794"/>
      <c r="E423" s="378">
        <f>'Concept-Level Data'!Z175</f>
        <v>2</v>
      </c>
      <c r="F423" s="387">
        <f>'Concept-Level Data'!AA175</f>
        <v>4</v>
      </c>
      <c r="G423" s="381">
        <f>'Concept-Level Data'!AB175</f>
        <v>3</v>
      </c>
    </row>
    <row r="424" spans="2:7" hidden="1" x14ac:dyDescent="0.25">
      <c r="B424" s="251" t="str">
        <f>'Concept-Level Data'!A176</f>
        <v>Respondent 13</v>
      </c>
      <c r="C424" s="793" t="str">
        <f>'Concept-Level Data'!B176</f>
        <v>Drought Restriction/Allocation</v>
      </c>
      <c r="D424" s="794"/>
      <c r="E424" s="378">
        <f>'Concept-Level Data'!Z176</f>
        <v>3</v>
      </c>
      <c r="F424" s="387">
        <f>'Concept-Level Data'!AA176</f>
        <v>2</v>
      </c>
      <c r="G424" s="381">
        <f>'Concept-Level Data'!AB176</f>
        <v>3</v>
      </c>
    </row>
    <row r="425" spans="2:7" hidden="1" x14ac:dyDescent="0.25">
      <c r="B425" s="251" t="str">
        <f>'Concept-Level Data'!A177</f>
        <v>Respondent 13</v>
      </c>
      <c r="C425" s="793" t="str">
        <f>'Concept-Level Data'!B177</f>
        <v>Firm Water Supply Agreements</v>
      </c>
      <c r="D425" s="794"/>
      <c r="E425" s="378">
        <f>'Concept-Level Data'!Z177</f>
        <v>3</v>
      </c>
      <c r="F425" s="387">
        <f>'Concept-Level Data'!AA177</f>
        <v>3</v>
      </c>
      <c r="G425" s="381">
        <f>'Concept-Level Data'!AB177</f>
        <v>3</v>
      </c>
    </row>
    <row r="426" spans="2:7" hidden="1" x14ac:dyDescent="0.25">
      <c r="B426" s="251" t="str">
        <f>'Concept-Level Data'!A178</f>
        <v>Respondent 13</v>
      </c>
      <c r="C426" s="793" t="str">
        <f>'Concept-Level Data'!B178</f>
        <v>Gray Water Use</v>
      </c>
      <c r="D426" s="794"/>
      <c r="E426" s="378">
        <f>'Concept-Level Data'!Z178</f>
        <v>3</v>
      </c>
      <c r="F426" s="387">
        <f>'Concept-Level Data'!AA178</f>
        <v>3</v>
      </c>
      <c r="G426" s="381">
        <f>'Concept-Level Data'!AB178</f>
        <v>3</v>
      </c>
    </row>
    <row r="427" spans="2:7" hidden="1" x14ac:dyDescent="0.25">
      <c r="B427" s="251" t="str">
        <f>'Concept-Level Data'!A179</f>
        <v>Respondent 13</v>
      </c>
      <c r="C427" s="793" t="str">
        <f>'Concept-Level Data'!B179</f>
        <v>Groundwater</v>
      </c>
      <c r="D427" s="794"/>
      <c r="E427" s="378">
        <f>'Concept-Level Data'!Z179</f>
        <v>2</v>
      </c>
      <c r="F427" s="387">
        <f>'Concept-Level Data'!AA179</f>
        <v>3</v>
      </c>
      <c r="G427" s="381">
        <f>'Concept-Level Data'!AB179</f>
        <v>3</v>
      </c>
    </row>
    <row r="428" spans="2:7" hidden="1" x14ac:dyDescent="0.25">
      <c r="B428" s="251" t="str">
        <f>'Concept-Level Data'!A180</f>
        <v>Respondent 13</v>
      </c>
      <c r="C428" s="793" t="str">
        <f>'Concept-Level Data'!B180</f>
        <v>Imported Water Purchases</v>
      </c>
      <c r="D428" s="794"/>
      <c r="E428" s="378">
        <f>'Concept-Level Data'!Z180</f>
        <v>3</v>
      </c>
      <c r="F428" s="387">
        <f>'Concept-Level Data'!AA180</f>
        <v>3</v>
      </c>
      <c r="G428" s="381">
        <f>'Concept-Level Data'!AB180</f>
        <v>3</v>
      </c>
    </row>
    <row r="429" spans="2:7" hidden="1" x14ac:dyDescent="0.25">
      <c r="B429" s="251" t="str">
        <f>'Concept-Level Data'!A181</f>
        <v>Respondent 13</v>
      </c>
      <c r="C429" s="793" t="str">
        <f>'Concept-Level Data'!B181</f>
        <v>Local Surface Water Reservoirs</v>
      </c>
      <c r="D429" s="794"/>
      <c r="E429" s="378">
        <f>'Concept-Level Data'!Z181</f>
        <v>3</v>
      </c>
      <c r="F429" s="387">
        <f>'Concept-Level Data'!AA181</f>
        <v>4</v>
      </c>
      <c r="G429" s="381">
        <f>'Concept-Level Data'!AB181</f>
        <v>4</v>
      </c>
    </row>
    <row r="430" spans="2:7" hidden="1" x14ac:dyDescent="0.25">
      <c r="B430" s="251" t="str">
        <f>'Concept-Level Data'!A182</f>
        <v>Respondent 13</v>
      </c>
      <c r="C430" s="793" t="str">
        <f>'Concept-Level Data'!B182</f>
        <v>Potable Reuse</v>
      </c>
      <c r="D430" s="794"/>
      <c r="E430" s="378">
        <f>'Concept-Level Data'!Z182</f>
        <v>2</v>
      </c>
      <c r="F430" s="387">
        <f>'Concept-Level Data'!AA182</f>
        <v>3</v>
      </c>
      <c r="G430" s="381">
        <f>'Concept-Level Data'!AB182</f>
        <v>2</v>
      </c>
    </row>
    <row r="431" spans="2:7" hidden="1" x14ac:dyDescent="0.25">
      <c r="B431" s="251" t="str">
        <f>'Concept-Level Data'!A183</f>
        <v>Respondent 13</v>
      </c>
      <c r="C431" s="793" t="str">
        <f>'Concept-Level Data'!B183</f>
        <v>Recycled Water</v>
      </c>
      <c r="D431" s="794"/>
      <c r="E431" s="378">
        <f>'Concept-Level Data'!Z183</f>
        <v>3</v>
      </c>
      <c r="F431" s="387">
        <f>'Concept-Level Data'!AA183</f>
        <v>3</v>
      </c>
      <c r="G431" s="381">
        <f>'Concept-Level Data'!AB183</f>
        <v>3</v>
      </c>
    </row>
    <row r="432" spans="2:7" hidden="1" x14ac:dyDescent="0.25">
      <c r="B432" s="251" t="str">
        <f>'Concept-Level Data'!A184</f>
        <v>Respondent 13</v>
      </c>
      <c r="C432" s="793" t="str">
        <f>'Concept-Level Data'!B184</f>
        <v>Seawater Desalination</v>
      </c>
      <c r="D432" s="794"/>
      <c r="E432" s="378">
        <f>'Concept-Level Data'!Z184</f>
        <v>2</v>
      </c>
      <c r="F432" s="387">
        <f>'Concept-Level Data'!AA184</f>
        <v>3</v>
      </c>
      <c r="G432" s="381">
        <f>'Concept-Level Data'!AB184</f>
        <v>2</v>
      </c>
    </row>
    <row r="433" spans="2:7" hidden="1" x14ac:dyDescent="0.25">
      <c r="B433" s="251" t="str">
        <f>'Concept-Level Data'!A185</f>
        <v>Respondent 13</v>
      </c>
      <c r="C433" s="793" t="str">
        <f>'Concept-Level Data'!B185</f>
        <v>Stormwater BMPs</v>
      </c>
      <c r="D433" s="794"/>
      <c r="E433" s="378">
        <f>'Concept-Level Data'!Z185</f>
        <v>5</v>
      </c>
      <c r="F433" s="387">
        <f>'Concept-Level Data'!AA185</f>
        <v>4</v>
      </c>
      <c r="G433" s="381">
        <f>'Concept-Level Data'!AB185</f>
        <v>2</v>
      </c>
    </row>
    <row r="434" spans="2:7" hidden="1" x14ac:dyDescent="0.25">
      <c r="B434" s="251" t="str">
        <f>'Concept-Level Data'!A186</f>
        <v>Respondent 13</v>
      </c>
      <c r="C434" s="793" t="str">
        <f>'Concept-Level Data'!B186</f>
        <v>Stormwater Capture</v>
      </c>
      <c r="D434" s="794"/>
      <c r="E434" s="378">
        <f>'Concept-Level Data'!Z186</f>
        <v>4</v>
      </c>
      <c r="F434" s="387">
        <f>'Concept-Level Data'!AA186</f>
        <v>4</v>
      </c>
      <c r="G434" s="381">
        <f>'Concept-Level Data'!AB186</f>
        <v>2</v>
      </c>
    </row>
    <row r="435" spans="2:7" hidden="1" x14ac:dyDescent="0.25">
      <c r="B435" s="251" t="str">
        <f>'Concept-Level Data'!A187</f>
        <v>Respondent 13</v>
      </c>
      <c r="C435" s="793" t="str">
        <f>'Concept-Level Data'!B187</f>
        <v>Urban and Agricultural Water Use Efficiency</v>
      </c>
      <c r="D435" s="794"/>
      <c r="E435" s="378">
        <f>'Concept-Level Data'!Z187</f>
        <v>3</v>
      </c>
      <c r="F435" s="387">
        <f>'Concept-Level Data'!AA187</f>
        <v>4</v>
      </c>
      <c r="G435" s="381">
        <f>'Concept-Level Data'!AB187</f>
        <v>3</v>
      </c>
    </row>
    <row r="436" spans="2:7" hidden="1" x14ac:dyDescent="0.25">
      <c r="B436" s="251" t="str">
        <f>'Concept-Level Data'!A188</f>
        <v>Respondent 13</v>
      </c>
      <c r="C436" s="793" t="str">
        <f>'Concept-Level Data'!B188</f>
        <v>Watershed and Ecosystem Management</v>
      </c>
      <c r="D436" s="794"/>
      <c r="E436" s="378">
        <f>'Concept-Level Data'!Z188</f>
        <v>5</v>
      </c>
      <c r="F436" s="387">
        <f>'Concept-Level Data'!AA188</f>
        <v>4</v>
      </c>
      <c r="G436" s="381">
        <f>'Concept-Level Data'!AB188</f>
        <v>3</v>
      </c>
    </row>
    <row r="437" spans="2:7" hidden="1" x14ac:dyDescent="0.25">
      <c r="B437" s="251" t="str">
        <f>'Concept-Level Data'!A189</f>
        <v>Respondent 14</v>
      </c>
      <c r="C437" s="793" t="str">
        <f>'Concept-Level Data'!B189</f>
        <v>Conveyance Improvement</v>
      </c>
      <c r="D437" s="794"/>
      <c r="E437" s="378">
        <f>'Concept-Level Data'!Z189</f>
        <v>3</v>
      </c>
      <c r="F437" s="387">
        <f>'Concept-Level Data'!AA189</f>
        <v>2</v>
      </c>
      <c r="G437" s="381" t="str">
        <f>'Concept-Level Data'!AB189</f>
        <v>MISSING</v>
      </c>
    </row>
    <row r="438" spans="2:7" hidden="1" x14ac:dyDescent="0.25">
      <c r="B438" s="251" t="str">
        <f>'Concept-Level Data'!A190</f>
        <v>Respondent 14</v>
      </c>
      <c r="C438" s="793" t="str">
        <f>'Concept-Level Data'!B190</f>
        <v>Drought Restriction/Allocation</v>
      </c>
      <c r="D438" s="794"/>
      <c r="E438" s="378">
        <f>'Concept-Level Data'!Z190</f>
        <v>3</v>
      </c>
      <c r="F438" s="387">
        <f>'Concept-Level Data'!AA190</f>
        <v>4</v>
      </c>
      <c r="G438" s="381">
        <f>'Concept-Level Data'!AB190</f>
        <v>3</v>
      </c>
    </row>
    <row r="439" spans="2:7" hidden="1" x14ac:dyDescent="0.25">
      <c r="B439" s="251" t="str">
        <f>'Concept-Level Data'!A191</f>
        <v>Respondent 14</v>
      </c>
      <c r="C439" s="793" t="str">
        <f>'Concept-Level Data'!B191</f>
        <v>Firm Water Supply Agreements</v>
      </c>
      <c r="D439" s="794"/>
      <c r="E439" s="378">
        <f>'Concept-Level Data'!Z191</f>
        <v>3</v>
      </c>
      <c r="F439" s="387">
        <f>'Concept-Level Data'!AA191</f>
        <v>4</v>
      </c>
      <c r="G439" s="381">
        <f>'Concept-Level Data'!AB191</f>
        <v>3</v>
      </c>
    </row>
    <row r="440" spans="2:7" hidden="1" x14ac:dyDescent="0.25">
      <c r="B440" s="251" t="str">
        <f>'Concept-Level Data'!A192</f>
        <v>Respondent 14</v>
      </c>
      <c r="C440" s="793" t="str">
        <f>'Concept-Level Data'!B192</f>
        <v>Gray Water Use</v>
      </c>
      <c r="D440" s="794"/>
      <c r="E440" s="378">
        <f>'Concept-Level Data'!Z192</f>
        <v>3</v>
      </c>
      <c r="F440" s="387">
        <f>'Concept-Level Data'!AA192</f>
        <v>3</v>
      </c>
      <c r="G440" s="381">
        <f>'Concept-Level Data'!AB192</f>
        <v>3</v>
      </c>
    </row>
    <row r="441" spans="2:7" hidden="1" x14ac:dyDescent="0.25">
      <c r="B441" s="251" t="str">
        <f>'Concept-Level Data'!A193</f>
        <v>Respondent 14</v>
      </c>
      <c r="C441" s="793" t="str">
        <f>'Concept-Level Data'!B193</f>
        <v>Groundwater</v>
      </c>
      <c r="D441" s="794"/>
      <c r="E441" s="378">
        <f>'Concept-Level Data'!Z193</f>
        <v>3</v>
      </c>
      <c r="F441" s="387">
        <f>'Concept-Level Data'!AA193</f>
        <v>3</v>
      </c>
      <c r="G441" s="381">
        <f>'Concept-Level Data'!AB193</f>
        <v>3</v>
      </c>
    </row>
    <row r="442" spans="2:7" hidden="1" x14ac:dyDescent="0.25">
      <c r="B442" s="251" t="str">
        <f>'Concept-Level Data'!A194</f>
        <v>Respondent 14</v>
      </c>
      <c r="C442" s="793" t="str">
        <f>'Concept-Level Data'!B194</f>
        <v>Imported Water Purchases</v>
      </c>
      <c r="D442" s="794"/>
      <c r="E442" s="378">
        <f>'Concept-Level Data'!Z194</f>
        <v>3</v>
      </c>
      <c r="F442" s="387">
        <f>'Concept-Level Data'!AA194</f>
        <v>3</v>
      </c>
      <c r="G442" s="381">
        <f>'Concept-Level Data'!AB194</f>
        <v>3</v>
      </c>
    </row>
    <row r="443" spans="2:7" hidden="1" x14ac:dyDescent="0.25">
      <c r="B443" s="251" t="str">
        <f>'Concept-Level Data'!A195</f>
        <v>Respondent 14</v>
      </c>
      <c r="C443" s="793" t="str">
        <f>'Concept-Level Data'!B195</f>
        <v>Local Surface Water Reservoirs</v>
      </c>
      <c r="D443" s="794"/>
      <c r="E443" s="378">
        <f>'Concept-Level Data'!Z195</f>
        <v>3</v>
      </c>
      <c r="F443" s="387">
        <f>'Concept-Level Data'!AA195</f>
        <v>3</v>
      </c>
      <c r="G443" s="381">
        <f>'Concept-Level Data'!AB195</f>
        <v>3</v>
      </c>
    </row>
    <row r="444" spans="2:7" hidden="1" x14ac:dyDescent="0.25">
      <c r="B444" s="251" t="str">
        <f>'Concept-Level Data'!A196</f>
        <v>Respondent 14</v>
      </c>
      <c r="C444" s="793" t="str">
        <f>'Concept-Level Data'!B196</f>
        <v>Potable Reuse</v>
      </c>
      <c r="D444" s="794"/>
      <c r="E444" s="378">
        <f>'Concept-Level Data'!Z196</f>
        <v>3</v>
      </c>
      <c r="F444" s="387">
        <f>'Concept-Level Data'!AA196</f>
        <v>5</v>
      </c>
      <c r="G444" s="381">
        <f>'Concept-Level Data'!AB196</f>
        <v>4</v>
      </c>
    </row>
    <row r="445" spans="2:7" hidden="1" x14ac:dyDescent="0.25">
      <c r="B445" s="251" t="str">
        <f>'Concept-Level Data'!A197</f>
        <v>Respondent 14</v>
      </c>
      <c r="C445" s="793" t="str">
        <f>'Concept-Level Data'!B197</f>
        <v>Recycled Water</v>
      </c>
      <c r="D445" s="794"/>
      <c r="E445" s="378">
        <f>'Concept-Level Data'!Z197</f>
        <v>3</v>
      </c>
      <c r="F445" s="387">
        <f>'Concept-Level Data'!AA197</f>
        <v>5</v>
      </c>
      <c r="G445" s="381">
        <f>'Concept-Level Data'!AB197</f>
        <v>5</v>
      </c>
    </row>
    <row r="446" spans="2:7" hidden="1" x14ac:dyDescent="0.25">
      <c r="B446" s="251" t="str">
        <f>'Concept-Level Data'!A198</f>
        <v>Respondent 14</v>
      </c>
      <c r="C446" s="793" t="str">
        <f>'Concept-Level Data'!B198</f>
        <v>Seawater Desalination</v>
      </c>
      <c r="D446" s="794"/>
      <c r="E446" s="378">
        <f>'Concept-Level Data'!Z198</f>
        <v>3</v>
      </c>
      <c r="F446" s="387">
        <f>'Concept-Level Data'!AA198</f>
        <v>4</v>
      </c>
      <c r="G446" s="381">
        <f>'Concept-Level Data'!AB198</f>
        <v>4</v>
      </c>
    </row>
    <row r="447" spans="2:7" hidden="1" x14ac:dyDescent="0.25">
      <c r="B447" s="251" t="str">
        <f>'Concept-Level Data'!A199</f>
        <v>Respondent 14</v>
      </c>
      <c r="C447" s="793" t="str">
        <f>'Concept-Level Data'!B199</f>
        <v>Stormwater BMPs</v>
      </c>
      <c r="D447" s="794"/>
      <c r="E447" s="378">
        <f>'Concept-Level Data'!Z199</f>
        <v>4</v>
      </c>
      <c r="F447" s="387">
        <f>'Concept-Level Data'!AA199</f>
        <v>5</v>
      </c>
      <c r="G447" s="381">
        <f>'Concept-Level Data'!AB199</f>
        <v>5</v>
      </c>
    </row>
    <row r="448" spans="2:7" hidden="1" x14ac:dyDescent="0.25">
      <c r="B448" s="251" t="str">
        <f>'Concept-Level Data'!A200</f>
        <v>Respondent 14</v>
      </c>
      <c r="C448" s="793" t="str">
        <f>'Concept-Level Data'!B200</f>
        <v>Stormwater Capture</v>
      </c>
      <c r="D448" s="794"/>
      <c r="E448" s="378">
        <f>'Concept-Level Data'!Z200</f>
        <v>4</v>
      </c>
      <c r="F448" s="387">
        <f>'Concept-Level Data'!AA200</f>
        <v>4</v>
      </c>
      <c r="G448" s="381">
        <f>'Concept-Level Data'!AB200</f>
        <v>4</v>
      </c>
    </row>
    <row r="449" spans="2:7" hidden="1" x14ac:dyDescent="0.25">
      <c r="B449" s="251" t="str">
        <f>'Concept-Level Data'!A201</f>
        <v>Respondent 14</v>
      </c>
      <c r="C449" s="793" t="str">
        <f>'Concept-Level Data'!B201</f>
        <v>Urban and Agricultural Water Use Efficiency</v>
      </c>
      <c r="D449" s="794"/>
      <c r="E449" s="378">
        <f>'Concept-Level Data'!Z201</f>
        <v>3</v>
      </c>
      <c r="F449" s="387">
        <f>'Concept-Level Data'!AA201</f>
        <v>3</v>
      </c>
      <c r="G449" s="381">
        <f>'Concept-Level Data'!AB201</f>
        <v>3</v>
      </c>
    </row>
    <row r="450" spans="2:7" hidden="1" x14ac:dyDescent="0.25">
      <c r="B450" s="251" t="str">
        <f>'Concept-Level Data'!A202</f>
        <v>Respondent 14</v>
      </c>
      <c r="C450" s="793" t="str">
        <f>'Concept-Level Data'!B202</f>
        <v>Watershed and Ecosystem Management</v>
      </c>
      <c r="D450" s="794"/>
      <c r="E450" s="378">
        <f>'Concept-Level Data'!Z202</f>
        <v>5</v>
      </c>
      <c r="F450" s="387">
        <f>'Concept-Level Data'!AA202</f>
        <v>5</v>
      </c>
      <c r="G450" s="381">
        <f>'Concept-Level Data'!AB202</f>
        <v>5</v>
      </c>
    </row>
    <row r="451" spans="2:7" hidden="1" x14ac:dyDescent="0.25">
      <c r="B451" s="251" t="str">
        <f>'Concept-Level Data'!A203</f>
        <v>Respondent 15</v>
      </c>
      <c r="C451" s="793" t="str">
        <f>'Concept-Level Data'!B203</f>
        <v>Conveyance Improvement</v>
      </c>
      <c r="D451" s="794"/>
      <c r="E451" s="378">
        <f>'Concept-Level Data'!Z203</f>
        <v>3</v>
      </c>
      <c r="F451" s="387">
        <f>'Concept-Level Data'!AA203</f>
        <v>3</v>
      </c>
      <c r="G451" s="381">
        <f>'Concept-Level Data'!AB203</f>
        <v>3</v>
      </c>
    </row>
    <row r="452" spans="2:7" hidden="1" x14ac:dyDescent="0.25">
      <c r="B452" s="251" t="str">
        <f>'Concept-Level Data'!A204</f>
        <v>Respondent 15</v>
      </c>
      <c r="C452" s="793" t="str">
        <f>'Concept-Level Data'!B204</f>
        <v>Drought Restriction/Allocation</v>
      </c>
      <c r="D452" s="794"/>
      <c r="E452" s="378">
        <f>'Concept-Level Data'!Z204</f>
        <v>3</v>
      </c>
      <c r="F452" s="387">
        <f>'Concept-Level Data'!AA204</f>
        <v>3</v>
      </c>
      <c r="G452" s="381">
        <f>'Concept-Level Data'!AB204</f>
        <v>3</v>
      </c>
    </row>
    <row r="453" spans="2:7" hidden="1" x14ac:dyDescent="0.25">
      <c r="B453" s="251" t="str">
        <f>'Concept-Level Data'!A205</f>
        <v>Respondent 15</v>
      </c>
      <c r="C453" s="793" t="str">
        <f>'Concept-Level Data'!B205</f>
        <v>Firm Water Supply Agreements</v>
      </c>
      <c r="D453" s="794"/>
      <c r="E453" s="378">
        <f>'Concept-Level Data'!Z205</f>
        <v>4</v>
      </c>
      <c r="F453" s="387">
        <f>'Concept-Level Data'!AA205</f>
        <v>3</v>
      </c>
      <c r="G453" s="381">
        <f>'Concept-Level Data'!AB205</f>
        <v>3</v>
      </c>
    </row>
    <row r="454" spans="2:7" hidden="1" x14ac:dyDescent="0.25">
      <c r="B454" s="251" t="str">
        <f>'Concept-Level Data'!A206</f>
        <v>Respondent 15</v>
      </c>
      <c r="C454" s="793" t="str">
        <f>'Concept-Level Data'!B206</f>
        <v>Gray Water Use</v>
      </c>
      <c r="D454" s="794"/>
      <c r="E454" s="378">
        <f>'Concept-Level Data'!Z206</f>
        <v>4</v>
      </c>
      <c r="F454" s="387">
        <f>'Concept-Level Data'!AA206</f>
        <v>5</v>
      </c>
      <c r="G454" s="381">
        <f>'Concept-Level Data'!AB206</f>
        <v>3</v>
      </c>
    </row>
    <row r="455" spans="2:7" hidden="1" x14ac:dyDescent="0.25">
      <c r="B455" s="251" t="str">
        <f>'Concept-Level Data'!A207</f>
        <v>Respondent 15</v>
      </c>
      <c r="C455" s="793" t="str">
        <f>'Concept-Level Data'!B207</f>
        <v>Groundwater</v>
      </c>
      <c r="D455" s="794"/>
      <c r="E455" s="378">
        <f>'Concept-Level Data'!Z207</f>
        <v>4</v>
      </c>
      <c r="F455" s="387">
        <f>'Concept-Level Data'!AA207</f>
        <v>3</v>
      </c>
      <c r="G455" s="381">
        <f>'Concept-Level Data'!AB207</f>
        <v>3</v>
      </c>
    </row>
    <row r="456" spans="2:7" hidden="1" x14ac:dyDescent="0.25">
      <c r="B456" s="251" t="str">
        <f>'Concept-Level Data'!A208</f>
        <v>Respondent 15</v>
      </c>
      <c r="C456" s="793" t="str">
        <f>'Concept-Level Data'!B208</f>
        <v>Imported Water Purchases</v>
      </c>
      <c r="D456" s="794"/>
      <c r="E456" s="378">
        <f>'Concept-Level Data'!Z208</f>
        <v>3</v>
      </c>
      <c r="F456" s="387">
        <f>'Concept-Level Data'!AA208</f>
        <v>3</v>
      </c>
      <c r="G456" s="381">
        <f>'Concept-Level Data'!AB208</f>
        <v>2</v>
      </c>
    </row>
    <row r="457" spans="2:7" hidden="1" x14ac:dyDescent="0.25">
      <c r="B457" s="251" t="str">
        <f>'Concept-Level Data'!A209</f>
        <v>Respondent 15</v>
      </c>
      <c r="C457" s="793" t="str">
        <f>'Concept-Level Data'!B209</f>
        <v>Local Surface Water Reservoirs</v>
      </c>
      <c r="D457" s="794"/>
      <c r="E457" s="378">
        <f>'Concept-Level Data'!Z209</f>
        <v>4</v>
      </c>
      <c r="F457" s="387">
        <f>'Concept-Level Data'!AA209</f>
        <v>3</v>
      </c>
      <c r="G457" s="381">
        <f>'Concept-Level Data'!AB209</f>
        <v>5</v>
      </c>
    </row>
    <row r="458" spans="2:7" hidden="1" x14ac:dyDescent="0.25">
      <c r="B458" s="251" t="str">
        <f>'Concept-Level Data'!A210</f>
        <v>Respondent 15</v>
      </c>
      <c r="C458" s="793" t="str">
        <f>'Concept-Level Data'!B210</f>
        <v>Potable Reuse</v>
      </c>
      <c r="D458" s="794"/>
      <c r="E458" s="378">
        <f>'Concept-Level Data'!Z210</f>
        <v>3</v>
      </c>
      <c r="F458" s="387">
        <f>'Concept-Level Data'!AA210</f>
        <v>3</v>
      </c>
      <c r="G458" s="381">
        <f>'Concept-Level Data'!AB210</f>
        <v>3</v>
      </c>
    </row>
    <row r="459" spans="2:7" hidden="1" x14ac:dyDescent="0.25">
      <c r="B459" s="251" t="str">
        <f>'Concept-Level Data'!A211</f>
        <v>Respondent 15</v>
      </c>
      <c r="C459" s="793" t="str">
        <f>'Concept-Level Data'!B211</f>
        <v>Recycled Water</v>
      </c>
      <c r="D459" s="794"/>
      <c r="E459" s="378">
        <f>'Concept-Level Data'!Z211</f>
        <v>4</v>
      </c>
      <c r="F459" s="387">
        <f>'Concept-Level Data'!AA211</f>
        <v>3</v>
      </c>
      <c r="G459" s="381">
        <f>'Concept-Level Data'!AB211</f>
        <v>3</v>
      </c>
    </row>
    <row r="460" spans="2:7" hidden="1" x14ac:dyDescent="0.25">
      <c r="B460" s="251" t="str">
        <f>'Concept-Level Data'!A212</f>
        <v>Respondent 15</v>
      </c>
      <c r="C460" s="793" t="str">
        <f>'Concept-Level Data'!B212</f>
        <v>Seawater Desalination</v>
      </c>
      <c r="D460" s="794"/>
      <c r="E460" s="378">
        <f>'Concept-Level Data'!Z212</f>
        <v>3</v>
      </c>
      <c r="F460" s="387">
        <f>'Concept-Level Data'!AA212</f>
        <v>3</v>
      </c>
      <c r="G460" s="381">
        <f>'Concept-Level Data'!AB212</f>
        <v>3</v>
      </c>
    </row>
    <row r="461" spans="2:7" hidden="1" x14ac:dyDescent="0.25">
      <c r="B461" s="251" t="str">
        <f>'Concept-Level Data'!A213</f>
        <v>Respondent 15</v>
      </c>
      <c r="C461" s="793" t="str">
        <f>'Concept-Level Data'!B213</f>
        <v>Stormwater BMPs</v>
      </c>
      <c r="D461" s="794"/>
      <c r="E461" s="378">
        <f>'Concept-Level Data'!Z213</f>
        <v>5</v>
      </c>
      <c r="F461" s="387">
        <f>'Concept-Level Data'!AA213</f>
        <v>5</v>
      </c>
      <c r="G461" s="381">
        <f>'Concept-Level Data'!AB213</f>
        <v>3</v>
      </c>
    </row>
    <row r="462" spans="2:7" hidden="1" x14ac:dyDescent="0.25">
      <c r="B462" s="251" t="str">
        <f>'Concept-Level Data'!A214</f>
        <v>Respondent 15</v>
      </c>
      <c r="C462" s="793" t="str">
        <f>'Concept-Level Data'!B214</f>
        <v>Stormwater Capture</v>
      </c>
      <c r="D462" s="794"/>
      <c r="E462" s="378">
        <f>'Concept-Level Data'!Z214</f>
        <v>3</v>
      </c>
      <c r="F462" s="387">
        <f>'Concept-Level Data'!AA214</f>
        <v>3</v>
      </c>
      <c r="G462" s="381">
        <f>'Concept-Level Data'!AB214</f>
        <v>3</v>
      </c>
    </row>
    <row r="463" spans="2:7" hidden="1" x14ac:dyDescent="0.25">
      <c r="B463" s="251" t="str">
        <f>'Concept-Level Data'!A215</f>
        <v>Respondent 15</v>
      </c>
      <c r="C463" s="793" t="str">
        <f>'Concept-Level Data'!B215</f>
        <v>Urban and Agricultural Water Use Efficiency</v>
      </c>
      <c r="D463" s="794"/>
      <c r="E463" s="378">
        <f>'Concept-Level Data'!Z215</f>
        <v>4</v>
      </c>
      <c r="F463" s="387">
        <f>'Concept-Level Data'!AA215</f>
        <v>5</v>
      </c>
      <c r="G463" s="381">
        <f>'Concept-Level Data'!AB215</f>
        <v>3</v>
      </c>
    </row>
    <row r="464" spans="2:7" hidden="1" x14ac:dyDescent="0.25">
      <c r="B464" s="251" t="str">
        <f>'Concept-Level Data'!A216</f>
        <v>Respondent 15</v>
      </c>
      <c r="C464" s="793" t="str">
        <f>'Concept-Level Data'!B216</f>
        <v>Watershed and Ecosystem Management</v>
      </c>
      <c r="D464" s="794"/>
      <c r="E464" s="378">
        <f>'Concept-Level Data'!Z216</f>
        <v>5</v>
      </c>
      <c r="F464" s="387">
        <f>'Concept-Level Data'!AA216</f>
        <v>5</v>
      </c>
      <c r="G464" s="381">
        <f>'Concept-Level Data'!AB216</f>
        <v>5</v>
      </c>
    </row>
    <row r="465" spans="2:7" hidden="1" x14ac:dyDescent="0.25">
      <c r="B465" s="251" t="str">
        <f>'Concept-Level Data'!A217</f>
        <v>Respondent 16</v>
      </c>
      <c r="C465" s="793" t="str">
        <f>'Concept-Level Data'!B217</f>
        <v>Conveyance Improvement</v>
      </c>
      <c r="D465" s="794"/>
      <c r="E465" s="378">
        <f>'Concept-Level Data'!Z217</f>
        <v>3</v>
      </c>
      <c r="F465" s="387">
        <f>'Concept-Level Data'!AA217</f>
        <v>3</v>
      </c>
      <c r="G465" s="381">
        <f>'Concept-Level Data'!AB217</f>
        <v>3</v>
      </c>
    </row>
    <row r="466" spans="2:7" hidden="1" x14ac:dyDescent="0.25">
      <c r="B466" s="251" t="str">
        <f>'Concept-Level Data'!A218</f>
        <v>Respondent 16</v>
      </c>
      <c r="C466" s="793" t="str">
        <f>'Concept-Level Data'!B218</f>
        <v>Drought Restriction/Allocation</v>
      </c>
      <c r="D466" s="794"/>
      <c r="E466" s="378">
        <f>'Concept-Level Data'!Z218</f>
        <v>2</v>
      </c>
      <c r="F466" s="387">
        <f>'Concept-Level Data'!AA218</f>
        <v>2</v>
      </c>
      <c r="G466" s="381">
        <f>'Concept-Level Data'!AB218</f>
        <v>2</v>
      </c>
    </row>
    <row r="467" spans="2:7" hidden="1" x14ac:dyDescent="0.25">
      <c r="B467" s="251" t="str">
        <f>'Concept-Level Data'!A219</f>
        <v>Respondent 16</v>
      </c>
      <c r="C467" s="793" t="str">
        <f>'Concept-Level Data'!B219</f>
        <v>Firm Water Supply Agreements</v>
      </c>
      <c r="D467" s="794"/>
      <c r="E467" s="378">
        <f>'Concept-Level Data'!Z219</f>
        <v>3</v>
      </c>
      <c r="F467" s="387">
        <f>'Concept-Level Data'!AA219</f>
        <v>3</v>
      </c>
      <c r="G467" s="381">
        <f>'Concept-Level Data'!AB219</f>
        <v>3</v>
      </c>
    </row>
    <row r="468" spans="2:7" hidden="1" x14ac:dyDescent="0.25">
      <c r="B468" s="251" t="str">
        <f>'Concept-Level Data'!A220</f>
        <v>Respondent 16</v>
      </c>
      <c r="C468" s="793" t="str">
        <f>'Concept-Level Data'!B220</f>
        <v>Gray Water Use</v>
      </c>
      <c r="D468" s="794"/>
      <c r="E468" s="378">
        <f>'Concept-Level Data'!Z220</f>
        <v>3</v>
      </c>
      <c r="F468" s="387">
        <f>'Concept-Level Data'!AA220</f>
        <v>3</v>
      </c>
      <c r="G468" s="381">
        <f>'Concept-Level Data'!AB220</f>
        <v>3</v>
      </c>
    </row>
    <row r="469" spans="2:7" hidden="1" x14ac:dyDescent="0.25">
      <c r="B469" s="251" t="str">
        <f>'Concept-Level Data'!A221</f>
        <v>Respondent 16</v>
      </c>
      <c r="C469" s="793" t="str">
        <f>'Concept-Level Data'!B221</f>
        <v>Groundwater</v>
      </c>
      <c r="D469" s="794"/>
      <c r="E469" s="378">
        <f>'Concept-Level Data'!Z221</f>
        <v>3</v>
      </c>
      <c r="F469" s="387">
        <f>'Concept-Level Data'!AA221</f>
        <v>3</v>
      </c>
      <c r="G469" s="381">
        <f>'Concept-Level Data'!AB221</f>
        <v>3</v>
      </c>
    </row>
    <row r="470" spans="2:7" hidden="1" x14ac:dyDescent="0.25">
      <c r="B470" s="251" t="str">
        <f>'Concept-Level Data'!A222</f>
        <v>Respondent 16</v>
      </c>
      <c r="C470" s="793" t="str">
        <f>'Concept-Level Data'!B222</f>
        <v>Imported Water Purchases</v>
      </c>
      <c r="D470" s="794"/>
      <c r="E470" s="378">
        <f>'Concept-Level Data'!Z222</f>
        <v>3</v>
      </c>
      <c r="F470" s="387">
        <f>'Concept-Level Data'!AA222</f>
        <v>3</v>
      </c>
      <c r="G470" s="381">
        <f>'Concept-Level Data'!AB222</f>
        <v>3</v>
      </c>
    </row>
    <row r="471" spans="2:7" hidden="1" x14ac:dyDescent="0.25">
      <c r="B471" s="251" t="str">
        <f>'Concept-Level Data'!A223</f>
        <v>Respondent 16</v>
      </c>
      <c r="C471" s="793" t="str">
        <f>'Concept-Level Data'!B223</f>
        <v>Local Surface Water Reservoirs</v>
      </c>
      <c r="D471" s="794"/>
      <c r="E471" s="378">
        <f>'Concept-Level Data'!Z223</f>
        <v>3</v>
      </c>
      <c r="F471" s="387">
        <f>'Concept-Level Data'!AA223</f>
        <v>3</v>
      </c>
      <c r="G471" s="381">
        <f>'Concept-Level Data'!AB223</f>
        <v>3</v>
      </c>
    </row>
    <row r="472" spans="2:7" hidden="1" x14ac:dyDescent="0.25">
      <c r="B472" s="251" t="str">
        <f>'Concept-Level Data'!A224</f>
        <v>Respondent 16</v>
      </c>
      <c r="C472" s="793" t="str">
        <f>'Concept-Level Data'!B224</f>
        <v>Potable Reuse</v>
      </c>
      <c r="D472" s="794"/>
      <c r="E472" s="378">
        <f>'Concept-Level Data'!Z224</f>
        <v>3</v>
      </c>
      <c r="F472" s="387">
        <f>'Concept-Level Data'!AA224</f>
        <v>3</v>
      </c>
      <c r="G472" s="381">
        <f>'Concept-Level Data'!AB224</f>
        <v>3</v>
      </c>
    </row>
    <row r="473" spans="2:7" hidden="1" x14ac:dyDescent="0.25">
      <c r="B473" s="251" t="str">
        <f>'Concept-Level Data'!A225</f>
        <v>Respondent 16</v>
      </c>
      <c r="C473" s="793" t="str">
        <f>'Concept-Level Data'!B225</f>
        <v>Recycled Water</v>
      </c>
      <c r="D473" s="794"/>
      <c r="E473" s="378">
        <f>'Concept-Level Data'!Z225</f>
        <v>3</v>
      </c>
      <c r="F473" s="387">
        <f>'Concept-Level Data'!AA225</f>
        <v>3</v>
      </c>
      <c r="G473" s="381">
        <f>'Concept-Level Data'!AB225</f>
        <v>3</v>
      </c>
    </row>
    <row r="474" spans="2:7" hidden="1" x14ac:dyDescent="0.25">
      <c r="B474" s="251" t="str">
        <f>'Concept-Level Data'!A226</f>
        <v>Respondent 16</v>
      </c>
      <c r="C474" s="793" t="str">
        <f>'Concept-Level Data'!B226</f>
        <v>Seawater Desalination</v>
      </c>
      <c r="D474" s="794"/>
      <c r="E474" s="378">
        <f>'Concept-Level Data'!Z226</f>
        <v>3</v>
      </c>
      <c r="F474" s="387">
        <f>'Concept-Level Data'!AA226</f>
        <v>3</v>
      </c>
      <c r="G474" s="381">
        <f>'Concept-Level Data'!AB226</f>
        <v>3</v>
      </c>
    </row>
    <row r="475" spans="2:7" hidden="1" x14ac:dyDescent="0.25">
      <c r="B475" s="251" t="str">
        <f>'Concept-Level Data'!A227</f>
        <v>Respondent 16</v>
      </c>
      <c r="C475" s="793" t="str">
        <f>'Concept-Level Data'!B227</f>
        <v>Stormwater BMPs</v>
      </c>
      <c r="D475" s="794"/>
      <c r="E475" s="378">
        <f>'Concept-Level Data'!Z227</f>
        <v>3</v>
      </c>
      <c r="F475" s="387">
        <f>'Concept-Level Data'!AA227</f>
        <v>3</v>
      </c>
      <c r="G475" s="381">
        <f>'Concept-Level Data'!AB227</f>
        <v>3</v>
      </c>
    </row>
    <row r="476" spans="2:7" hidden="1" x14ac:dyDescent="0.25">
      <c r="B476" s="251" t="str">
        <f>'Concept-Level Data'!A228</f>
        <v>Respondent 16</v>
      </c>
      <c r="C476" s="793" t="str">
        <f>'Concept-Level Data'!B228</f>
        <v>Stormwater Capture</v>
      </c>
      <c r="D476" s="794"/>
      <c r="E476" s="378">
        <f>'Concept-Level Data'!Z228</f>
        <v>3</v>
      </c>
      <c r="F476" s="387">
        <f>'Concept-Level Data'!AA228</f>
        <v>3</v>
      </c>
      <c r="G476" s="381">
        <f>'Concept-Level Data'!AB228</f>
        <v>3</v>
      </c>
    </row>
    <row r="477" spans="2:7" hidden="1" x14ac:dyDescent="0.25">
      <c r="B477" s="251" t="str">
        <f>'Concept-Level Data'!A229</f>
        <v>Respondent 16</v>
      </c>
      <c r="C477" s="793" t="str">
        <f>'Concept-Level Data'!B229</f>
        <v>Urban and Agricultural Water Use Efficiency</v>
      </c>
      <c r="D477" s="794"/>
      <c r="E477" s="378">
        <f>'Concept-Level Data'!Z229</f>
        <v>3</v>
      </c>
      <c r="F477" s="387">
        <f>'Concept-Level Data'!AA229</f>
        <v>3</v>
      </c>
      <c r="G477" s="381">
        <f>'Concept-Level Data'!AB229</f>
        <v>3</v>
      </c>
    </row>
    <row r="478" spans="2:7" ht="15.75" hidden="1" thickBot="1" x14ac:dyDescent="0.3">
      <c r="B478" s="551" t="str">
        <f>'Concept-Level Data'!A230</f>
        <v>Respondent 16</v>
      </c>
      <c r="C478" s="803" t="str">
        <f>'Concept-Level Data'!B230</f>
        <v>Watershed and Ecosystem Management</v>
      </c>
      <c r="D478" s="820"/>
      <c r="E478" s="523">
        <f>'Concept-Level Data'!Z230</f>
        <v>3</v>
      </c>
      <c r="F478" s="534">
        <f>'Concept-Level Data'!AA230</f>
        <v>3</v>
      </c>
      <c r="G478" s="530">
        <f>'Concept-Level Data'!AB230</f>
        <v>3</v>
      </c>
    </row>
    <row r="479" spans="2:7" hidden="1" x14ac:dyDescent="0.25">
      <c r="B479" s="548"/>
      <c r="C479" s="515" t="s">
        <v>855</v>
      </c>
      <c r="D479" s="515"/>
      <c r="E479" s="485">
        <f>COUNTIFS(E255:E478, "=MISSING")</f>
        <v>14</v>
      </c>
      <c r="F479" s="389">
        <f t="shared" ref="F479:G479" si="34">COUNTIFS(F255:F478, "=MISSING")</f>
        <v>14</v>
      </c>
      <c r="G479" s="398">
        <f t="shared" si="34"/>
        <v>16</v>
      </c>
    </row>
    <row r="480" spans="2:7" hidden="1" x14ac:dyDescent="0.25">
      <c r="B480" s="549"/>
      <c r="C480" s="516" t="s">
        <v>856</v>
      </c>
      <c r="D480" s="516"/>
      <c r="E480" s="378">
        <f>COUNTIFS(E255:E478, "=No Response")</f>
        <v>0</v>
      </c>
      <c r="F480" s="380">
        <f t="shared" ref="F480:G480" si="35">COUNTIFS(F255:F478, "=No Response")</f>
        <v>0</v>
      </c>
      <c r="G480" s="381">
        <f t="shared" si="35"/>
        <v>0</v>
      </c>
    </row>
    <row r="481" spans="2:7" hidden="1" x14ac:dyDescent="0.25">
      <c r="B481" s="549"/>
      <c r="C481" s="516" t="s">
        <v>858</v>
      </c>
      <c r="D481" s="516"/>
      <c r="E481" s="378">
        <f>COUNTIFS(E255:E478, "=REMOVED")</f>
        <v>0</v>
      </c>
      <c r="F481" s="380">
        <f t="shared" ref="F481:G481" si="36">COUNTIFS(F255:F478, "=REMOVED")</f>
        <v>0</v>
      </c>
      <c r="G481" s="381">
        <f t="shared" si="36"/>
        <v>0</v>
      </c>
    </row>
    <row r="482" spans="2:7" ht="15.75" hidden="1" thickBot="1" x14ac:dyDescent="0.3">
      <c r="B482" s="550"/>
      <c r="C482" s="517" t="s">
        <v>859</v>
      </c>
      <c r="D482" s="517"/>
      <c r="E482" s="382">
        <f>COUNTIFS(E255:E478, "&gt;0")</f>
        <v>210</v>
      </c>
      <c r="F482" s="384">
        <f t="shared" ref="F482:G482" si="37">COUNTIFS(F255:F478, "&gt;0")</f>
        <v>210</v>
      </c>
      <c r="G482" s="385">
        <f t="shared" si="37"/>
        <v>208</v>
      </c>
    </row>
  </sheetData>
  <sheetProtection algorithmName="SHA-512" hashValue="bLE1o7AncJwLrqdK4OXsjlv6lcCGhZQ1p+HF6B3mhsFmK2gJfjdaxFE02ZQF4JZ8wamXvKlqkuL5mnbleC6D5A==" saltValue="uIh3vp4fvYWtHofMYaNijw==" spinCount="100000" sheet="1" objects="1" scenarios="1"/>
  <autoFilter ref="B125:G246" xr:uid="{17B1953A-CE1F-43A7-AEBD-64DABEACC5BE}">
    <filterColumn colId="3" showButton="0"/>
    <sortState ref="B128:G246">
      <sortCondition ref="C125:C246"/>
    </sortState>
  </autoFilter>
  <mergeCells count="230">
    <mergeCell ref="C255:D255"/>
    <mergeCell ref="C256:D256"/>
    <mergeCell ref="C257:D257"/>
    <mergeCell ref="B253:B254"/>
    <mergeCell ref="C253:D254"/>
    <mergeCell ref="E253:F253"/>
    <mergeCell ref="B3:J3"/>
    <mergeCell ref="B125:B126"/>
    <mergeCell ref="E125:F125"/>
    <mergeCell ref="C263:D263"/>
    <mergeCell ref="C264:D264"/>
    <mergeCell ref="C265:D265"/>
    <mergeCell ref="C266:D266"/>
    <mergeCell ref="C267:D267"/>
    <mergeCell ref="C258:D258"/>
    <mergeCell ref="C259:D259"/>
    <mergeCell ref="C260:D260"/>
    <mergeCell ref="C261:D261"/>
    <mergeCell ref="C262:D262"/>
    <mergeCell ref="C273:D273"/>
    <mergeCell ref="C274:D274"/>
    <mergeCell ref="C275:D275"/>
    <mergeCell ref="C276:D276"/>
    <mergeCell ref="C277:D277"/>
    <mergeCell ref="C268:D268"/>
    <mergeCell ref="C269:D269"/>
    <mergeCell ref="C270:D270"/>
    <mergeCell ref="C271:D271"/>
    <mergeCell ref="C272:D272"/>
    <mergeCell ref="C283:D283"/>
    <mergeCell ref="C284:D284"/>
    <mergeCell ref="C285:D285"/>
    <mergeCell ref="C286:D286"/>
    <mergeCell ref="C287:D287"/>
    <mergeCell ref="C278:D278"/>
    <mergeCell ref="C279:D279"/>
    <mergeCell ref="C280:D280"/>
    <mergeCell ref="C281:D281"/>
    <mergeCell ref="C282:D282"/>
    <mergeCell ref="C293:D293"/>
    <mergeCell ref="C294:D294"/>
    <mergeCell ref="C295:D295"/>
    <mergeCell ref="C296:D296"/>
    <mergeCell ref="C297:D297"/>
    <mergeCell ref="C288:D288"/>
    <mergeCell ref="C289:D289"/>
    <mergeCell ref="C290:D290"/>
    <mergeCell ref="C291:D291"/>
    <mergeCell ref="C292:D292"/>
    <mergeCell ref="C303:D303"/>
    <mergeCell ref="C304:D304"/>
    <mergeCell ref="C305:D305"/>
    <mergeCell ref="C306:D306"/>
    <mergeCell ref="C307:D307"/>
    <mergeCell ref="C298:D298"/>
    <mergeCell ref="C299:D299"/>
    <mergeCell ref="C300:D300"/>
    <mergeCell ref="C301:D301"/>
    <mergeCell ref="C302:D302"/>
    <mergeCell ref="C313:D313"/>
    <mergeCell ref="C314:D314"/>
    <mergeCell ref="C315:D315"/>
    <mergeCell ref="C316:D316"/>
    <mergeCell ref="C317:D317"/>
    <mergeCell ref="C308:D308"/>
    <mergeCell ref="C309:D309"/>
    <mergeCell ref="C310:D310"/>
    <mergeCell ref="C311:D311"/>
    <mergeCell ref="C312:D312"/>
    <mergeCell ref="C323:D323"/>
    <mergeCell ref="C324:D324"/>
    <mergeCell ref="C325:D325"/>
    <mergeCell ref="C326:D326"/>
    <mergeCell ref="C327:D327"/>
    <mergeCell ref="C318:D318"/>
    <mergeCell ref="C319:D319"/>
    <mergeCell ref="C320:D320"/>
    <mergeCell ref="C321:D321"/>
    <mergeCell ref="C322:D322"/>
    <mergeCell ref="C333:D333"/>
    <mergeCell ref="C334:D334"/>
    <mergeCell ref="C335:D335"/>
    <mergeCell ref="C336:D336"/>
    <mergeCell ref="C337:D337"/>
    <mergeCell ref="C328:D328"/>
    <mergeCell ref="C329:D329"/>
    <mergeCell ref="C330:D330"/>
    <mergeCell ref="C331:D331"/>
    <mergeCell ref="C332:D332"/>
    <mergeCell ref="C343:D343"/>
    <mergeCell ref="C344:D344"/>
    <mergeCell ref="C345:D345"/>
    <mergeCell ref="C346:D346"/>
    <mergeCell ref="C347:D347"/>
    <mergeCell ref="C338:D338"/>
    <mergeCell ref="C339:D339"/>
    <mergeCell ref="C340:D340"/>
    <mergeCell ref="C341:D341"/>
    <mergeCell ref="C342:D342"/>
    <mergeCell ref="C353:D353"/>
    <mergeCell ref="C354:D354"/>
    <mergeCell ref="C355:D355"/>
    <mergeCell ref="C356:D356"/>
    <mergeCell ref="C357:D357"/>
    <mergeCell ref="C348:D348"/>
    <mergeCell ref="C349:D349"/>
    <mergeCell ref="C350:D350"/>
    <mergeCell ref="C351:D351"/>
    <mergeCell ref="C352:D352"/>
    <mergeCell ref="C363:D363"/>
    <mergeCell ref="C364:D364"/>
    <mergeCell ref="C365:D365"/>
    <mergeCell ref="C366:D366"/>
    <mergeCell ref="C367:D367"/>
    <mergeCell ref="C358:D358"/>
    <mergeCell ref="C359:D359"/>
    <mergeCell ref="C360:D360"/>
    <mergeCell ref="C361:D361"/>
    <mergeCell ref="C362:D362"/>
    <mergeCell ref="C373:D373"/>
    <mergeCell ref="C374:D374"/>
    <mergeCell ref="C375:D375"/>
    <mergeCell ref="C376:D376"/>
    <mergeCell ref="C377:D377"/>
    <mergeCell ref="C368:D368"/>
    <mergeCell ref="C369:D369"/>
    <mergeCell ref="C370:D370"/>
    <mergeCell ref="C371:D371"/>
    <mergeCell ref="C372:D372"/>
    <mergeCell ref="C383:D383"/>
    <mergeCell ref="C384:D384"/>
    <mergeCell ref="C385:D385"/>
    <mergeCell ref="C386:D386"/>
    <mergeCell ref="C387:D387"/>
    <mergeCell ref="C378:D378"/>
    <mergeCell ref="C379:D379"/>
    <mergeCell ref="C380:D380"/>
    <mergeCell ref="C381:D381"/>
    <mergeCell ref="C382:D382"/>
    <mergeCell ref="C393:D393"/>
    <mergeCell ref="C394:D394"/>
    <mergeCell ref="C395:D395"/>
    <mergeCell ref="C396:D396"/>
    <mergeCell ref="C397:D397"/>
    <mergeCell ref="C388:D388"/>
    <mergeCell ref="C389:D389"/>
    <mergeCell ref="C390:D390"/>
    <mergeCell ref="C391:D391"/>
    <mergeCell ref="C392:D392"/>
    <mergeCell ref="C403:D403"/>
    <mergeCell ref="C404:D404"/>
    <mergeCell ref="C405:D405"/>
    <mergeCell ref="C406:D406"/>
    <mergeCell ref="C407:D407"/>
    <mergeCell ref="C398:D398"/>
    <mergeCell ref="C399:D399"/>
    <mergeCell ref="C400:D400"/>
    <mergeCell ref="C401:D401"/>
    <mergeCell ref="C402:D402"/>
    <mergeCell ref="C413:D413"/>
    <mergeCell ref="C414:D414"/>
    <mergeCell ref="C415:D415"/>
    <mergeCell ref="C416:D416"/>
    <mergeCell ref="C417:D417"/>
    <mergeCell ref="C408:D408"/>
    <mergeCell ref="C409:D409"/>
    <mergeCell ref="C410:D410"/>
    <mergeCell ref="C411:D411"/>
    <mergeCell ref="C412:D412"/>
    <mergeCell ref="C423:D423"/>
    <mergeCell ref="C424:D424"/>
    <mergeCell ref="C425:D425"/>
    <mergeCell ref="C426:D426"/>
    <mergeCell ref="C427:D427"/>
    <mergeCell ref="C418:D418"/>
    <mergeCell ref="C419:D419"/>
    <mergeCell ref="C420:D420"/>
    <mergeCell ref="C421:D421"/>
    <mergeCell ref="C422:D422"/>
    <mergeCell ref="C433:D433"/>
    <mergeCell ref="C434:D434"/>
    <mergeCell ref="C435:D435"/>
    <mergeCell ref="C436:D436"/>
    <mergeCell ref="C437:D437"/>
    <mergeCell ref="C428:D428"/>
    <mergeCell ref="C429:D429"/>
    <mergeCell ref="C430:D430"/>
    <mergeCell ref="C431:D431"/>
    <mergeCell ref="C432:D432"/>
    <mergeCell ref="C443:D443"/>
    <mergeCell ref="C444:D444"/>
    <mergeCell ref="C445:D445"/>
    <mergeCell ref="C446:D446"/>
    <mergeCell ref="C447:D447"/>
    <mergeCell ref="C438:D438"/>
    <mergeCell ref="C439:D439"/>
    <mergeCell ref="C440:D440"/>
    <mergeCell ref="C441:D441"/>
    <mergeCell ref="C442:D442"/>
    <mergeCell ref="C454:D454"/>
    <mergeCell ref="C455:D455"/>
    <mergeCell ref="C456:D456"/>
    <mergeCell ref="C457:D457"/>
    <mergeCell ref="C448:D448"/>
    <mergeCell ref="C449:D449"/>
    <mergeCell ref="C450:D450"/>
    <mergeCell ref="C451:D451"/>
    <mergeCell ref="C452:D452"/>
    <mergeCell ref="C453:D453"/>
    <mergeCell ref="C478:D478"/>
    <mergeCell ref="C473:D473"/>
    <mergeCell ref="C474:D474"/>
    <mergeCell ref="C475:D475"/>
    <mergeCell ref="C476:D476"/>
    <mergeCell ref="C477:D477"/>
    <mergeCell ref="C468:D468"/>
    <mergeCell ref="C469:D469"/>
    <mergeCell ref="C470:D470"/>
    <mergeCell ref="C471:D471"/>
    <mergeCell ref="C472:D472"/>
    <mergeCell ref="C463:D463"/>
    <mergeCell ref="C464:D464"/>
    <mergeCell ref="C465:D465"/>
    <mergeCell ref="C466:D466"/>
    <mergeCell ref="C467:D467"/>
    <mergeCell ref="C458:D458"/>
    <mergeCell ref="C459:D459"/>
    <mergeCell ref="C460:D460"/>
    <mergeCell ref="C461:D461"/>
    <mergeCell ref="C462:D462"/>
  </mergeCells>
  <pageMargins left="0.7" right="0.7" top="0.75" bottom="0.75" header="0.3" footer="0.3"/>
  <pageSetup paperSize="3" scale="36"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'Data Validation Sheet'!$B$3:$B$4</xm:f>
          </x14:formula1>
          <xm:sqref>H53:H64 H8:H19 H23:H34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theme="8"/>
    <pageSetUpPr fitToPage="1"/>
  </sheetPr>
  <dimension ref="A1:S403"/>
  <sheetViews>
    <sheetView showGridLines="0" zoomScale="80" zoomScaleNormal="80" workbookViewId="0">
      <selection activeCell="I12" sqref="I12"/>
    </sheetView>
  </sheetViews>
  <sheetFormatPr defaultRowHeight="15" x14ac:dyDescent="0.25"/>
  <cols>
    <col min="1" max="1" width="5.7109375" customWidth="1"/>
    <col min="2" max="2" width="45.7109375" customWidth="1"/>
    <col min="3" max="7" width="20.7109375" customWidth="1"/>
    <col min="8" max="8" width="20.7109375" hidden="1" customWidth="1"/>
    <col min="9" max="9" width="20.7109375" customWidth="1"/>
    <col min="11" max="11" width="2.5703125" style="49" customWidth="1"/>
    <col min="12" max="12" width="5.7109375" customWidth="1"/>
  </cols>
  <sheetData>
    <row r="1" spans="1:19" s="96" customFormat="1" ht="15.75" x14ac:dyDescent="0.25">
      <c r="A1" s="56" t="s">
        <v>243</v>
      </c>
    </row>
    <row r="2" spans="1:19" s="96" customFormat="1" ht="26.25" x14ac:dyDescent="0.4">
      <c r="A2" s="112" t="s">
        <v>104</v>
      </c>
    </row>
    <row r="3" spans="1:19" s="49" customFormat="1" ht="14.25" customHeight="1" x14ac:dyDescent="0.5">
      <c r="B3" s="797"/>
      <c r="C3" s="797"/>
      <c r="D3" s="797"/>
      <c r="E3" s="797"/>
      <c r="F3" s="797"/>
      <c r="G3" s="797"/>
      <c r="H3" s="797"/>
      <c r="I3" s="143"/>
      <c r="J3" s="53"/>
      <c r="L3" s="53"/>
      <c r="M3" s="53"/>
      <c r="N3" s="53"/>
      <c r="O3" s="53"/>
      <c r="P3" s="53"/>
      <c r="Q3" s="53"/>
      <c r="R3" s="53"/>
      <c r="S3" s="53"/>
    </row>
    <row r="4" spans="1:19" s="10" customFormat="1" ht="18" customHeight="1" x14ac:dyDescent="0.3">
      <c r="A4" s="47" t="s">
        <v>961</v>
      </c>
      <c r="C4" s="4"/>
      <c r="D4" s="46"/>
      <c r="E4" s="46"/>
      <c r="F4" s="46"/>
      <c r="G4" s="46"/>
      <c r="H4" s="46"/>
      <c r="I4" s="46"/>
      <c r="K4" s="50"/>
      <c r="L4" s="45" t="s">
        <v>120</v>
      </c>
    </row>
    <row r="5" spans="1:19" s="10" customFormat="1" ht="18.75" x14ac:dyDescent="0.3">
      <c r="B5" s="47"/>
      <c r="C5" s="4"/>
      <c r="D5" s="46"/>
      <c r="E5" s="46"/>
      <c r="F5" s="46"/>
      <c r="G5" s="46"/>
      <c r="H5" s="46"/>
      <c r="I5" s="46"/>
      <c r="K5" s="50"/>
      <c r="L5" s="12"/>
      <c r="M5" s="12"/>
      <c r="N5" s="12"/>
      <c r="O5" s="12"/>
      <c r="P5" s="12"/>
      <c r="Q5" s="12"/>
      <c r="R5" s="12"/>
      <c r="S5" s="12"/>
    </row>
    <row r="6" spans="1:19" s="10" customFormat="1" ht="15.75" thickBot="1" x14ac:dyDescent="0.3">
      <c r="B6" s="46" t="s">
        <v>990</v>
      </c>
      <c r="C6" s="4"/>
      <c r="D6" s="46"/>
      <c r="E6" s="46"/>
      <c r="F6" s="46"/>
      <c r="G6" s="46"/>
      <c r="H6" s="46"/>
      <c r="I6" s="46"/>
      <c r="K6" s="50"/>
      <c r="L6" s="12"/>
      <c r="M6" s="12"/>
      <c r="N6" s="12"/>
      <c r="O6" s="12"/>
      <c r="P6" s="12"/>
      <c r="Q6" s="12"/>
      <c r="R6" s="12"/>
      <c r="S6" s="12"/>
    </row>
    <row r="7" spans="1:19" s="10" customFormat="1" ht="60" x14ac:dyDescent="0.25">
      <c r="A7"/>
      <c r="B7" s="25" t="s">
        <v>6</v>
      </c>
      <c r="C7" s="298" t="s">
        <v>186</v>
      </c>
      <c r="D7" s="412" t="s">
        <v>257</v>
      </c>
      <c r="E7" s="412" t="s">
        <v>811</v>
      </c>
      <c r="F7" s="412" t="s">
        <v>112</v>
      </c>
      <c r="G7" s="412" t="s">
        <v>115</v>
      </c>
      <c r="H7" s="412" t="s">
        <v>128</v>
      </c>
      <c r="I7" s="297" t="s">
        <v>184</v>
      </c>
      <c r="J7" s="14"/>
      <c r="K7" s="50"/>
    </row>
    <row r="8" spans="1:19" s="10" customFormat="1" ht="18" customHeight="1" x14ac:dyDescent="0.25">
      <c r="B8" s="19" t="s">
        <v>7</v>
      </c>
      <c r="C8" s="63">
        <f t="shared" ref="C8:C19" si="0">IFERROR(AVERAGEIFS($E$52:$E$171,$C$52:$C$171,"="&amp;B8), "NA")</f>
        <v>4.333333333333333</v>
      </c>
      <c r="D8" s="63">
        <f t="shared" ref="D8:D19" si="1">IFERROR(AVERAGEIFS($E$180:$E$249,$C$180:$C$249,"="&amp;B8), "NA")</f>
        <v>3.7</v>
      </c>
      <c r="E8" s="38">
        <f>IFERROR(ABS(D8-C8), "NA")</f>
        <v>0.63333333333333286</v>
      </c>
      <c r="F8" s="35">
        <f t="shared" ref="F8:F19" si="2">COUNTIFS($C$52:$C$175, "="&amp;B8,$E$52:$E$175,"&gt;=0")</f>
        <v>6</v>
      </c>
      <c r="G8" s="71">
        <v>5</v>
      </c>
      <c r="H8" s="116" t="s">
        <v>125</v>
      </c>
      <c r="I8" s="39">
        <f t="shared" ref="I8:I19" si="3">IF(AND(ISNUMBER(C8),ISNUMBER(D8)),IF(H8="Average All",((F8*C8)+(G8*D8))/(F8+G8),AVERAGE(C8:D8)), IF(AND(C8="NA", ISNUMBER(D8)), D8, "NA"))</f>
        <v>4.0454545454545459</v>
      </c>
      <c r="J8"/>
      <c r="K8" s="50"/>
    </row>
    <row r="9" spans="1:19" s="10" customFormat="1" ht="18" customHeight="1" x14ac:dyDescent="0.25">
      <c r="B9" s="19" t="s">
        <v>34</v>
      </c>
      <c r="C9" s="63" t="str">
        <f t="shared" si="0"/>
        <v>NA</v>
      </c>
      <c r="D9" s="63">
        <f t="shared" si="1"/>
        <v>2.6</v>
      </c>
      <c r="E9" s="38" t="str">
        <f t="shared" ref="E9:E19" si="4">IFERROR(ABS(D9-C9), "NA")</f>
        <v>NA</v>
      </c>
      <c r="F9" s="35">
        <f t="shared" si="2"/>
        <v>0</v>
      </c>
      <c r="G9" s="71">
        <v>5</v>
      </c>
      <c r="H9" s="116" t="s">
        <v>125</v>
      </c>
      <c r="I9" s="39">
        <f t="shared" si="3"/>
        <v>2.6</v>
      </c>
      <c r="J9"/>
      <c r="K9" s="50"/>
    </row>
    <row r="10" spans="1:19" s="10" customFormat="1" ht="18" customHeight="1" x14ac:dyDescent="0.25">
      <c r="B10" s="19" t="s">
        <v>8</v>
      </c>
      <c r="C10" s="63">
        <f t="shared" si="0"/>
        <v>5</v>
      </c>
      <c r="D10" s="63">
        <f t="shared" si="1"/>
        <v>3.2</v>
      </c>
      <c r="E10" s="38">
        <f t="shared" si="4"/>
        <v>1.7999999999999998</v>
      </c>
      <c r="F10" s="35">
        <f t="shared" si="2"/>
        <v>1</v>
      </c>
      <c r="G10" s="71">
        <v>5</v>
      </c>
      <c r="H10" s="116" t="s">
        <v>125</v>
      </c>
      <c r="I10" s="39">
        <f t="shared" si="3"/>
        <v>3.5</v>
      </c>
      <c r="J10"/>
      <c r="K10" s="50"/>
    </row>
    <row r="11" spans="1:19" s="14" customFormat="1" x14ac:dyDescent="0.25">
      <c r="A11" s="10"/>
      <c r="B11" s="19" t="s">
        <v>9</v>
      </c>
      <c r="C11" s="63">
        <f t="shared" si="0"/>
        <v>4.1111111111111107</v>
      </c>
      <c r="D11" s="63">
        <f t="shared" si="1"/>
        <v>4.5999999999999996</v>
      </c>
      <c r="E11" s="38">
        <f t="shared" si="4"/>
        <v>0.48888888888888893</v>
      </c>
      <c r="F11" s="35">
        <f t="shared" si="2"/>
        <v>9</v>
      </c>
      <c r="G11" s="71">
        <v>5</v>
      </c>
      <c r="H11" s="116" t="s">
        <v>126</v>
      </c>
      <c r="I11" s="39">
        <f t="shared" si="3"/>
        <v>4.3555555555555552</v>
      </c>
      <c r="J11"/>
      <c r="K11" s="50"/>
      <c r="L11" s="13"/>
    </row>
    <row r="12" spans="1:19" x14ac:dyDescent="0.25">
      <c r="A12" s="10"/>
      <c r="B12" s="19" t="s">
        <v>10</v>
      </c>
      <c r="C12" s="63">
        <f t="shared" si="0"/>
        <v>3</v>
      </c>
      <c r="D12" s="63">
        <f t="shared" si="1"/>
        <v>2.8</v>
      </c>
      <c r="E12" s="38">
        <f t="shared" si="4"/>
        <v>0.20000000000000018</v>
      </c>
      <c r="F12" s="35">
        <f t="shared" si="2"/>
        <v>1</v>
      </c>
      <c r="G12" s="71">
        <v>5</v>
      </c>
      <c r="H12" s="116" t="s">
        <v>125</v>
      </c>
      <c r="I12" s="39">
        <f t="shared" si="3"/>
        <v>2.8333333333333335</v>
      </c>
      <c r="K12" s="50"/>
    </row>
    <row r="13" spans="1:19" x14ac:dyDescent="0.25">
      <c r="A13" s="10"/>
      <c r="B13" s="19" t="s">
        <v>11</v>
      </c>
      <c r="C13" s="63">
        <f t="shared" si="0"/>
        <v>4.5999999999999996</v>
      </c>
      <c r="D13" s="63">
        <f t="shared" si="1"/>
        <v>5</v>
      </c>
      <c r="E13" s="38">
        <f t="shared" si="4"/>
        <v>0.40000000000000036</v>
      </c>
      <c r="F13" s="35">
        <f t="shared" si="2"/>
        <v>10</v>
      </c>
      <c r="G13" s="71">
        <v>5</v>
      </c>
      <c r="H13" s="116" t="s">
        <v>126</v>
      </c>
      <c r="I13" s="39">
        <f t="shared" si="3"/>
        <v>4.8</v>
      </c>
      <c r="K13" s="50"/>
    </row>
    <row r="14" spans="1:19" x14ac:dyDescent="0.25">
      <c r="A14" s="10"/>
      <c r="B14" s="19" t="s">
        <v>12</v>
      </c>
      <c r="C14" s="63">
        <f t="shared" si="0"/>
        <v>4.5</v>
      </c>
      <c r="D14" s="63">
        <f t="shared" si="1"/>
        <v>4.8</v>
      </c>
      <c r="E14" s="38">
        <f t="shared" si="4"/>
        <v>0.29999999999999982</v>
      </c>
      <c r="F14" s="35">
        <f t="shared" si="2"/>
        <v>16</v>
      </c>
      <c r="G14" s="71">
        <v>5</v>
      </c>
      <c r="H14" s="116" t="s">
        <v>126</v>
      </c>
      <c r="I14" s="39">
        <f t="shared" si="3"/>
        <v>4.6500000000000004</v>
      </c>
      <c r="K14" s="50"/>
    </row>
    <row r="15" spans="1:19" x14ac:dyDescent="0.25">
      <c r="A15" s="10"/>
      <c r="B15" s="19" t="s">
        <v>13</v>
      </c>
      <c r="C15" s="63">
        <f t="shared" si="0"/>
        <v>4</v>
      </c>
      <c r="D15" s="63">
        <f t="shared" si="1"/>
        <v>3.5</v>
      </c>
      <c r="E15" s="38">
        <f t="shared" si="4"/>
        <v>0.5</v>
      </c>
      <c r="F15" s="35">
        <f t="shared" si="2"/>
        <v>2</v>
      </c>
      <c r="G15" s="71">
        <v>5</v>
      </c>
      <c r="H15" s="116" t="s">
        <v>125</v>
      </c>
      <c r="I15" s="39">
        <f t="shared" si="3"/>
        <v>3.6428571428571428</v>
      </c>
      <c r="K15" s="51"/>
    </row>
    <row r="16" spans="1:19" x14ac:dyDescent="0.25">
      <c r="A16" s="10"/>
      <c r="B16" s="19" t="s">
        <v>14</v>
      </c>
      <c r="C16" s="63">
        <f t="shared" si="0"/>
        <v>3.4</v>
      </c>
      <c r="D16" s="63">
        <f t="shared" si="1"/>
        <v>3.1</v>
      </c>
      <c r="E16" s="38">
        <f t="shared" si="4"/>
        <v>0.29999999999999982</v>
      </c>
      <c r="F16" s="35">
        <f t="shared" si="2"/>
        <v>20</v>
      </c>
      <c r="G16" s="71">
        <v>5</v>
      </c>
      <c r="H16" s="116" t="s">
        <v>126</v>
      </c>
      <c r="I16" s="39">
        <f t="shared" si="3"/>
        <v>3.25</v>
      </c>
    </row>
    <row r="17" spans="1:11" x14ac:dyDescent="0.25">
      <c r="A17" s="10"/>
      <c r="B17" s="19" t="s">
        <v>15</v>
      </c>
      <c r="C17" s="63">
        <f t="shared" si="0"/>
        <v>5</v>
      </c>
      <c r="D17" s="63">
        <f t="shared" si="1"/>
        <v>3.6</v>
      </c>
      <c r="E17" s="38">
        <f t="shared" si="4"/>
        <v>1.4</v>
      </c>
      <c r="F17" s="35">
        <f t="shared" si="2"/>
        <v>2</v>
      </c>
      <c r="G17" s="71">
        <v>5</v>
      </c>
      <c r="H17" s="116" t="s">
        <v>125</v>
      </c>
      <c r="I17" s="39">
        <f t="shared" si="3"/>
        <v>4</v>
      </c>
      <c r="K17" s="52"/>
    </row>
    <row r="18" spans="1:11" x14ac:dyDescent="0.25">
      <c r="A18" s="10"/>
      <c r="B18" s="19" t="s">
        <v>16</v>
      </c>
      <c r="C18" s="63">
        <f t="shared" si="0"/>
        <v>5</v>
      </c>
      <c r="D18" s="63">
        <f t="shared" si="1"/>
        <v>3.4</v>
      </c>
      <c r="E18" s="38">
        <f t="shared" si="4"/>
        <v>1.6</v>
      </c>
      <c r="F18" s="35">
        <f t="shared" si="2"/>
        <v>5</v>
      </c>
      <c r="G18" s="71">
        <v>5</v>
      </c>
      <c r="H18" s="116" t="s">
        <v>126</v>
      </c>
      <c r="I18" s="39">
        <f t="shared" si="3"/>
        <v>4.2</v>
      </c>
    </row>
    <row r="19" spans="1:11" ht="15.75" thickBot="1" x14ac:dyDescent="0.3">
      <c r="A19" s="10"/>
      <c r="B19" s="20" t="s">
        <v>17</v>
      </c>
      <c r="C19" s="64">
        <f t="shared" si="0"/>
        <v>3.4285714285714284</v>
      </c>
      <c r="D19" s="64">
        <f t="shared" si="1"/>
        <v>3.8</v>
      </c>
      <c r="E19" s="41">
        <f t="shared" si="4"/>
        <v>0.37142857142857144</v>
      </c>
      <c r="F19" s="36">
        <f t="shared" si="2"/>
        <v>14</v>
      </c>
      <c r="G19" s="73">
        <v>5</v>
      </c>
      <c r="H19" s="117" t="s">
        <v>126</v>
      </c>
      <c r="I19" s="42">
        <f t="shared" si="3"/>
        <v>3.6142857142857139</v>
      </c>
      <c r="K19" s="52"/>
    </row>
    <row r="20" spans="1:11" x14ac:dyDescent="0.25">
      <c r="A20" s="10"/>
      <c r="F20" s="6"/>
    </row>
    <row r="21" spans="1:11" x14ac:dyDescent="0.25">
      <c r="A21" s="10"/>
    </row>
    <row r="22" spans="1:11" ht="15.75" thickBot="1" x14ac:dyDescent="0.3">
      <c r="A22" s="10"/>
      <c r="B22" s="46" t="s">
        <v>991</v>
      </c>
    </row>
    <row r="23" spans="1:11" ht="75" x14ac:dyDescent="0.25">
      <c r="A23" s="10"/>
      <c r="B23" s="149" t="s">
        <v>6</v>
      </c>
      <c r="C23" s="586" t="s">
        <v>185</v>
      </c>
      <c r="D23" s="611"/>
      <c r="E23" s="612"/>
      <c r="F23" s="612"/>
      <c r="G23" s="612"/>
      <c r="H23" s="612"/>
      <c r="I23" s="613"/>
    </row>
    <row r="24" spans="1:11" x14ac:dyDescent="0.25">
      <c r="A24" s="10"/>
      <c r="B24" s="147" t="s">
        <v>7</v>
      </c>
      <c r="C24" s="587">
        <f t="shared" ref="C24:C35" si="5">I8</f>
        <v>4.0454545454545459</v>
      </c>
      <c r="D24" s="614"/>
      <c r="E24" s="615"/>
      <c r="F24" s="615"/>
      <c r="G24" s="615"/>
      <c r="H24" s="615"/>
      <c r="I24" s="616"/>
    </row>
    <row r="25" spans="1:11" x14ac:dyDescent="0.25">
      <c r="A25" s="10"/>
      <c r="B25" s="147" t="s">
        <v>34</v>
      </c>
      <c r="C25" s="587">
        <f t="shared" si="5"/>
        <v>2.6</v>
      </c>
      <c r="D25" s="614"/>
      <c r="E25" s="615"/>
      <c r="F25" s="615"/>
      <c r="G25" s="615"/>
      <c r="H25" s="615"/>
      <c r="I25" s="616"/>
    </row>
    <row r="26" spans="1:11" x14ac:dyDescent="0.25">
      <c r="A26" s="10"/>
      <c r="B26" s="147" t="s">
        <v>8</v>
      </c>
      <c r="C26" s="587">
        <f t="shared" si="5"/>
        <v>3.5</v>
      </c>
      <c r="D26" s="614"/>
      <c r="E26" s="615"/>
      <c r="F26" s="615"/>
      <c r="G26" s="615"/>
      <c r="H26" s="615"/>
      <c r="I26" s="616"/>
    </row>
    <row r="27" spans="1:11" x14ac:dyDescent="0.25">
      <c r="A27" s="10"/>
      <c r="B27" s="147" t="s">
        <v>9</v>
      </c>
      <c r="C27" s="587">
        <f t="shared" si="5"/>
        <v>4.3555555555555552</v>
      </c>
      <c r="D27" s="614"/>
      <c r="E27" s="615"/>
      <c r="F27" s="615"/>
      <c r="G27" s="615"/>
      <c r="H27" s="615"/>
      <c r="I27" s="616"/>
    </row>
    <row r="28" spans="1:11" x14ac:dyDescent="0.25">
      <c r="A28" s="10"/>
      <c r="B28" s="147" t="s">
        <v>10</v>
      </c>
      <c r="C28" s="587">
        <f t="shared" si="5"/>
        <v>2.8333333333333335</v>
      </c>
      <c r="D28" s="614"/>
      <c r="E28" s="615"/>
      <c r="F28" s="615"/>
      <c r="G28" s="615"/>
      <c r="H28" s="615"/>
      <c r="I28" s="616"/>
    </row>
    <row r="29" spans="1:11" x14ac:dyDescent="0.25">
      <c r="A29" s="10"/>
      <c r="B29" s="147" t="s">
        <v>11</v>
      </c>
      <c r="C29" s="587">
        <f t="shared" si="5"/>
        <v>4.8</v>
      </c>
      <c r="D29" s="614"/>
      <c r="E29" s="615"/>
      <c r="F29" s="615"/>
      <c r="G29" s="615"/>
      <c r="H29" s="615"/>
      <c r="I29" s="616"/>
    </row>
    <row r="30" spans="1:11" x14ac:dyDescent="0.25">
      <c r="A30" s="14"/>
      <c r="B30" s="147" t="s">
        <v>12</v>
      </c>
      <c r="C30" s="587">
        <f t="shared" si="5"/>
        <v>4.6500000000000004</v>
      </c>
      <c r="D30" s="614"/>
      <c r="E30" s="615"/>
      <c r="F30" s="615"/>
      <c r="G30" s="615"/>
      <c r="H30" s="615"/>
      <c r="I30" s="616"/>
    </row>
    <row r="31" spans="1:11" x14ac:dyDescent="0.25">
      <c r="B31" s="147" t="s">
        <v>13</v>
      </c>
      <c r="C31" s="587">
        <f t="shared" si="5"/>
        <v>3.6428571428571428</v>
      </c>
      <c r="D31" s="614"/>
      <c r="E31" s="615"/>
      <c r="F31" s="615"/>
      <c r="G31" s="615"/>
      <c r="H31" s="615"/>
      <c r="I31" s="616"/>
    </row>
    <row r="32" spans="1:11" x14ac:dyDescent="0.25">
      <c r="B32" s="147" t="s">
        <v>14</v>
      </c>
      <c r="C32" s="587">
        <f t="shared" si="5"/>
        <v>3.25</v>
      </c>
      <c r="D32" s="614"/>
      <c r="E32" s="615"/>
      <c r="F32" s="615"/>
      <c r="G32" s="615"/>
      <c r="H32" s="615"/>
      <c r="I32" s="616"/>
    </row>
    <row r="33" spans="2:9" x14ac:dyDescent="0.25">
      <c r="B33" s="147" t="s">
        <v>15</v>
      </c>
      <c r="C33" s="587">
        <f t="shared" si="5"/>
        <v>4</v>
      </c>
      <c r="D33" s="614"/>
      <c r="E33" s="615"/>
      <c r="F33" s="615"/>
      <c r="G33" s="615"/>
      <c r="H33" s="615"/>
      <c r="I33" s="616"/>
    </row>
    <row r="34" spans="2:9" x14ac:dyDescent="0.25">
      <c r="B34" s="147" t="s">
        <v>16</v>
      </c>
      <c r="C34" s="587">
        <f t="shared" si="5"/>
        <v>4.2</v>
      </c>
      <c r="D34" s="614"/>
      <c r="E34" s="615"/>
      <c r="F34" s="615"/>
      <c r="G34" s="615"/>
      <c r="H34" s="615"/>
      <c r="I34" s="616"/>
    </row>
    <row r="35" spans="2:9" ht="15.75" thickBot="1" x14ac:dyDescent="0.3">
      <c r="B35" s="148" t="s">
        <v>17</v>
      </c>
      <c r="C35" s="588">
        <f t="shared" si="5"/>
        <v>3.6142857142857139</v>
      </c>
      <c r="D35" s="617"/>
      <c r="E35" s="618"/>
      <c r="F35" s="618"/>
      <c r="G35" s="618"/>
      <c r="H35" s="618"/>
      <c r="I35" s="619"/>
    </row>
    <row r="37" spans="2:9" hidden="1" x14ac:dyDescent="0.25">
      <c r="B37" s="1" t="s">
        <v>846</v>
      </c>
    </row>
    <row r="38" spans="2:9" ht="75" hidden="1" x14ac:dyDescent="0.25">
      <c r="B38" s="25" t="s">
        <v>851</v>
      </c>
      <c r="C38" s="413"/>
      <c r="D38" s="413"/>
      <c r="E38" s="297" t="str">
        <f>C23</f>
        <v>Regional Economic Impact Performance Measure and Evaluation Objective Unweighted Score</v>
      </c>
      <c r="F38" s="231"/>
      <c r="G38" s="231"/>
      <c r="H38" s="231"/>
    </row>
    <row r="39" spans="2:9" hidden="1" x14ac:dyDescent="0.25">
      <c r="B39" s="463" t="s">
        <v>848</v>
      </c>
      <c r="C39" s="241"/>
      <c r="D39" s="241"/>
      <c r="E39" s="464">
        <f>MAX(C24:C35)</f>
        <v>4.8</v>
      </c>
      <c r="F39" s="231"/>
      <c r="G39" s="231"/>
      <c r="H39" s="231"/>
    </row>
    <row r="40" spans="2:9" hidden="1" x14ac:dyDescent="0.25">
      <c r="B40" s="463" t="s">
        <v>849</v>
      </c>
      <c r="C40" s="461"/>
      <c r="D40" s="461"/>
      <c r="E40" s="462" t="str">
        <f>INDEX($B24:$B35,MATCH(E39,C24:C35,0))</f>
        <v>Potable Reuse</v>
      </c>
      <c r="F40" s="231"/>
      <c r="G40" s="231"/>
      <c r="H40" s="231"/>
    </row>
    <row r="41" spans="2:9" hidden="1" x14ac:dyDescent="0.25">
      <c r="B41" s="504" t="s">
        <v>861</v>
      </c>
      <c r="C41" s="497"/>
      <c r="D41" s="497"/>
      <c r="E41" s="498">
        <f>LARGE(C24:C35,2)</f>
        <v>4.6500000000000004</v>
      </c>
      <c r="F41" s="231"/>
      <c r="G41" s="231"/>
      <c r="H41" s="231"/>
    </row>
    <row r="42" spans="2:9" hidden="1" x14ac:dyDescent="0.25">
      <c r="B42" s="505" t="s">
        <v>862</v>
      </c>
      <c r="C42" s="499"/>
      <c r="D42" s="499"/>
      <c r="E42" s="500" t="str">
        <f>INDEX($B24:$B35,MATCH(E41,C24:C35,0))</f>
        <v>Recycled Water</v>
      </c>
      <c r="F42" s="231"/>
      <c r="G42" s="231"/>
      <c r="H42" s="231"/>
    </row>
    <row r="43" spans="2:9" hidden="1" x14ac:dyDescent="0.25">
      <c r="B43" s="463" t="s">
        <v>847</v>
      </c>
      <c r="C43" s="241"/>
      <c r="D43" s="241"/>
      <c r="E43" s="464">
        <f>MIN(C24:C35)</f>
        <v>2.6</v>
      </c>
      <c r="F43" s="231"/>
      <c r="G43" s="231"/>
      <c r="H43" s="231"/>
    </row>
    <row r="44" spans="2:9" ht="30" hidden="1" x14ac:dyDescent="0.25">
      <c r="B44" s="505" t="s">
        <v>850</v>
      </c>
      <c r="C44" s="499"/>
      <c r="D44" s="499"/>
      <c r="E44" s="500" t="str">
        <f>INDEX($B24:$B35,MATCH(E43,C24:C35,0))</f>
        <v>Enhanced Conservation</v>
      </c>
      <c r="F44" s="241"/>
      <c r="G44" s="241"/>
      <c r="H44" s="241"/>
    </row>
    <row r="45" spans="2:9" hidden="1" x14ac:dyDescent="0.25">
      <c r="B45" s="504" t="s">
        <v>864</v>
      </c>
      <c r="C45" s="497"/>
      <c r="D45" s="497"/>
      <c r="E45" s="498">
        <f>SMALL(C24:C35,2)</f>
        <v>2.8333333333333335</v>
      </c>
      <c r="F45" s="241"/>
      <c r="G45" s="241"/>
      <c r="H45" s="241"/>
    </row>
    <row r="46" spans="2:9" ht="30" hidden="1" x14ac:dyDescent="0.25">
      <c r="B46" s="505" t="s">
        <v>863</v>
      </c>
      <c r="C46" s="499"/>
      <c r="D46" s="499"/>
      <c r="E46" s="500" t="str">
        <f>INDEX($B24:$B35,MATCH(E45,C24:C35,0))</f>
        <v>Imported Water Purchases</v>
      </c>
      <c r="F46" s="241"/>
      <c r="G46" s="241"/>
      <c r="H46" s="241"/>
    </row>
    <row r="47" spans="2:9" hidden="1" x14ac:dyDescent="0.25">
      <c r="B47" s="506" t="s">
        <v>844</v>
      </c>
      <c r="C47" s="502"/>
      <c r="D47" s="502"/>
      <c r="E47" s="503">
        <f>E39-E43</f>
        <v>2.1999999999999997</v>
      </c>
      <c r="F47" s="461"/>
      <c r="G47" s="461"/>
      <c r="H47" s="461"/>
    </row>
    <row r="48" spans="2:9" ht="15.75" hidden="1" thickBot="1" x14ac:dyDescent="0.3">
      <c r="B48" s="507" t="s">
        <v>865</v>
      </c>
      <c r="C48" s="41"/>
      <c r="D48" s="41"/>
      <c r="E48" s="44">
        <f>AVERAGE(C24:C35)</f>
        <v>3.7909571909571915</v>
      </c>
      <c r="F48" s="461"/>
      <c r="G48" s="461"/>
      <c r="H48" s="461"/>
    </row>
    <row r="49" spans="1:5" hidden="1" x14ac:dyDescent="0.25"/>
    <row r="50" spans="1:5" hidden="1" x14ac:dyDescent="0.25">
      <c r="B50" s="1" t="s">
        <v>723</v>
      </c>
    </row>
    <row r="51" spans="1:5" ht="60.75" hidden="1" thickBot="1" x14ac:dyDescent="0.3">
      <c r="B51" s="363"/>
      <c r="C51" s="589" t="s">
        <v>6</v>
      </c>
      <c r="D51" s="589"/>
      <c r="E51" s="347" t="s">
        <v>186</v>
      </c>
    </row>
    <row r="52" spans="1:5" ht="15" hidden="1" customHeight="1" x14ac:dyDescent="0.25">
      <c r="B52" s="329" t="str">
        <f>'Project-Level Data'!B22</f>
        <v>Dulzura Conduit Refurbishment</v>
      </c>
      <c r="C52" s="474" t="str">
        <f>'Project-Level Data'!C22</f>
        <v>Conveyance Improvement</v>
      </c>
      <c r="D52" s="477"/>
      <c r="E52" s="377">
        <f>'Project-Level Data'!AY22</f>
        <v>5</v>
      </c>
    </row>
    <row r="53" spans="1:5" hidden="1" x14ac:dyDescent="0.25">
      <c r="B53" s="227" t="str">
        <f>'Project-Level Data'!B53</f>
        <v>Mission Trails Projects Alternative 1</v>
      </c>
      <c r="C53" s="475" t="str">
        <f>'Project-Level Data'!C53</f>
        <v>Conveyance Improvement</v>
      </c>
      <c r="D53" s="477"/>
      <c r="E53" s="381">
        <f>'Project-Level Data'!AY53</f>
        <v>3</v>
      </c>
    </row>
    <row r="54" spans="1:5" hidden="1" x14ac:dyDescent="0.25">
      <c r="B54" s="227" t="str">
        <f>'Project-Level Data'!B72</f>
        <v>Pipeline 3/Pipeline 4 Conversion</v>
      </c>
      <c r="C54" s="475" t="str">
        <f>'Project-Level Data'!C72</f>
        <v>Conveyance Improvement</v>
      </c>
      <c r="D54" s="477"/>
      <c r="E54" s="381">
        <f>'Project-Level Data'!AY72</f>
        <v>5</v>
      </c>
    </row>
    <row r="55" spans="1:5" hidden="1" x14ac:dyDescent="0.25">
      <c r="B55" s="227" t="str">
        <f>'Project-Level Data'!B89</f>
        <v>San Diego County Reservoir Intertie</v>
      </c>
      <c r="C55" s="475" t="str">
        <f>'Project-Level Data'!C89</f>
        <v>Conveyance Improvement</v>
      </c>
      <c r="D55" s="477"/>
      <c r="E55" s="381">
        <f>'Project-Level Data'!AY89</f>
        <v>5</v>
      </c>
    </row>
    <row r="56" spans="1:5" hidden="1" x14ac:dyDescent="0.25">
      <c r="B56" s="227" t="str">
        <f>'Project-Level Data'!B100</f>
        <v>San Vicente 3rd Pump Drive and Power</v>
      </c>
      <c r="C56" s="475" t="str">
        <f>'Project-Level Data'!C100</f>
        <v>Conveyance Improvement</v>
      </c>
      <c r="D56" s="477"/>
      <c r="E56" s="381">
        <f>'Project-Level Data'!AY100</f>
        <v>3</v>
      </c>
    </row>
    <row r="57" spans="1:5" hidden="1" x14ac:dyDescent="0.25">
      <c r="B57" s="227" t="str">
        <f>'Project-Level Data'!B103</f>
        <v>Second Crossover Pipeline</v>
      </c>
      <c r="C57" s="475" t="str">
        <f>'Project-Level Data'!C103</f>
        <v>Conveyance Improvement</v>
      </c>
      <c r="D57" s="477"/>
      <c r="E57" s="381">
        <f>'Project-Level Data'!AY103</f>
        <v>5</v>
      </c>
    </row>
    <row r="58" spans="1:5" ht="15" hidden="1" customHeight="1" x14ac:dyDescent="0.25">
      <c r="A58" s="14"/>
      <c r="B58" s="227" t="str">
        <f>'Project-Level Data'!B27</f>
        <v xml:space="preserve">Enhanced Conservation </v>
      </c>
      <c r="C58" s="475" t="str">
        <f>'Project-Level Data'!C27</f>
        <v>Enhanced Conservation</v>
      </c>
      <c r="D58" s="477"/>
      <c r="E58" s="381" t="str">
        <f>'Project-Level Data'!AY27</f>
        <v>REMOVED</v>
      </c>
    </row>
    <row r="59" spans="1:5" ht="15" hidden="1" customHeight="1" x14ac:dyDescent="0.25">
      <c r="B59" s="227" t="str">
        <f>'Project-Level Data'!B21</f>
        <v>Conservation Home Makeover in the Chollas Creek Watershed</v>
      </c>
      <c r="C59" s="475" t="str">
        <f>'Project-Level Data'!C21</f>
        <v>Gray Water Use</v>
      </c>
      <c r="D59" s="477"/>
      <c r="E59" s="381" t="str">
        <f>'Project-Level Data'!AY21</f>
        <v>No Response</v>
      </c>
    </row>
    <row r="60" spans="1:5" hidden="1" x14ac:dyDescent="0.25">
      <c r="B60" s="227" t="str">
        <f>'Project-Level Data'!B33</f>
        <v>Graywater pilot project</v>
      </c>
      <c r="C60" s="475" t="str">
        <f>'Project-Level Data'!C33</f>
        <v>Gray Water Use</v>
      </c>
      <c r="D60" s="477"/>
      <c r="E60" s="381">
        <f>'Project-Level Data'!AY33</f>
        <v>5</v>
      </c>
    </row>
    <row r="61" spans="1:5" ht="15" hidden="1" customHeight="1" x14ac:dyDescent="0.25">
      <c r="B61" s="227" t="str">
        <f>'Project-Level Data'!B34</f>
        <v>Groundwater Extraction Santee/El Monte</v>
      </c>
      <c r="C61" s="475" t="str">
        <f>'Project-Level Data'!C34</f>
        <v>Groundwater</v>
      </c>
      <c r="D61" s="477"/>
      <c r="E61" s="381">
        <f>'Project-Level Data'!AY34</f>
        <v>5</v>
      </c>
    </row>
    <row r="62" spans="1:5" ht="25.5" hidden="1" x14ac:dyDescent="0.25">
      <c r="B62" s="227" t="str">
        <f>'Project-Level Data'!B52</f>
        <v>Middle Sweetwater River Basin Groundwater Well System</v>
      </c>
      <c r="C62" s="475" t="str">
        <f>'Project-Level Data'!C52</f>
        <v>Groundwater</v>
      </c>
      <c r="D62" s="477"/>
      <c r="E62" s="381">
        <f>'Project-Level Data'!AY52</f>
        <v>3</v>
      </c>
    </row>
    <row r="63" spans="1:5" hidden="1" x14ac:dyDescent="0.25">
      <c r="B63" s="227" t="str">
        <f>'Project-Level Data'!B54</f>
        <v>Mission Valley Brackish Groundwater Recovery Project</v>
      </c>
      <c r="C63" s="475" t="str">
        <f>'Project-Level Data'!C54</f>
        <v>Groundwater</v>
      </c>
      <c r="D63" s="477"/>
      <c r="E63" s="381">
        <f>'Project-Level Data'!AY54</f>
        <v>5</v>
      </c>
    </row>
    <row r="64" spans="1:5" ht="15" hidden="1" customHeight="1" x14ac:dyDescent="0.25">
      <c r="B64" s="227" t="str">
        <f>'Project-Level Data'!B67</f>
        <v>Otay Mesa Lot 7 Groundwater Well System (capacity)</v>
      </c>
      <c r="C64" s="475" t="str">
        <f>'Project-Level Data'!C67</f>
        <v>Groundwater</v>
      </c>
      <c r="D64" s="477"/>
      <c r="E64" s="381">
        <f>'Project-Level Data'!AY67</f>
        <v>3</v>
      </c>
    </row>
    <row r="65" spans="1:5" ht="25.5" hidden="1" x14ac:dyDescent="0.25">
      <c r="B65" s="227" t="str">
        <f>'Project-Level Data'!B68</f>
        <v>Otay River Valley GW Aquifer Studies &amp; Field Investigations</v>
      </c>
      <c r="C65" s="475" t="str">
        <f>'Project-Level Data'!C68</f>
        <v>Groundwater</v>
      </c>
      <c r="D65" s="477"/>
      <c r="E65" s="381">
        <f>'Project-Level Data'!AY68</f>
        <v>3</v>
      </c>
    </row>
    <row r="66" spans="1:5" ht="25.5" hidden="1" x14ac:dyDescent="0.25">
      <c r="B66" s="227" t="str">
        <f>'Project-Level Data'!B79</f>
        <v>Rancho del Rey Groundwater Well Development (capacity)</v>
      </c>
      <c r="C66" s="475" t="str">
        <f>'Project-Level Data'!C79</f>
        <v>Groundwater</v>
      </c>
      <c r="D66" s="477"/>
      <c r="E66" s="381">
        <f>'Project-Level Data'!AY79</f>
        <v>3</v>
      </c>
    </row>
    <row r="67" spans="1:5" ht="15" hidden="1" customHeight="1" x14ac:dyDescent="0.25">
      <c r="B67" s="227" t="str">
        <f>'Project-Level Data'!B90</f>
        <v>San Diego Formation - Southeaster San Diego, including Mt Hope</v>
      </c>
      <c r="C67" s="475" t="str">
        <f>'Project-Level Data'!C90</f>
        <v>Groundwater</v>
      </c>
      <c r="D67" s="477"/>
      <c r="E67" s="381">
        <f>'Project-Level Data'!AY90</f>
        <v>5</v>
      </c>
    </row>
    <row r="68" spans="1:5" ht="25.5" hidden="1" x14ac:dyDescent="0.25">
      <c r="B68" s="227" t="str">
        <f>'Project-Level Data'!B94</f>
        <v>San Dieguito River Basin Brackish GW Recovery and Treatment</v>
      </c>
      <c r="C68" s="475" t="str">
        <f>'Project-Level Data'!C94</f>
        <v>Groundwater</v>
      </c>
      <c r="D68" s="477"/>
      <c r="E68" s="381">
        <f>'Project-Level Data'!AY94</f>
        <v>5</v>
      </c>
    </row>
    <row r="69" spans="1:5" hidden="1" x14ac:dyDescent="0.25">
      <c r="B69" s="227" t="str">
        <f>'Project-Level Data'!B95</f>
        <v>San Luis Rey Groundwater Study</v>
      </c>
      <c r="C69" s="475" t="str">
        <f>'Project-Level Data'!C95</f>
        <v>Groundwater</v>
      </c>
      <c r="D69" s="477"/>
      <c r="E69" s="381" t="str">
        <f>'Project-Level Data'!AY95</f>
        <v>No Response</v>
      </c>
    </row>
    <row r="70" spans="1:5" hidden="1" x14ac:dyDescent="0.25">
      <c r="B70" s="227" t="str">
        <f>'Project-Level Data'!B99</f>
        <v>San Pasqual Brackish Groundwater Recovery Project</v>
      </c>
      <c r="C70" s="475" t="str">
        <f>'Project-Level Data'!C99</f>
        <v>Groundwater</v>
      </c>
      <c r="D70" s="477"/>
      <c r="E70" s="381">
        <f>'Project-Level Data'!AY99</f>
        <v>5</v>
      </c>
    </row>
    <row r="71" spans="1:5" ht="38.25" hidden="1" x14ac:dyDescent="0.25">
      <c r="B71" s="227" t="str">
        <f>'Project-Level Data'!B101</f>
        <v>Santa Margarita Conjunctive-Use Project - Local surface water recharge and expansion of Camp Pendleton groundwater recovery program</v>
      </c>
      <c r="C71" s="475" t="str">
        <f>'Project-Level Data'!C101</f>
        <v>Groundwater</v>
      </c>
      <c r="D71" s="477"/>
      <c r="E71" s="381" t="str">
        <f>'Project-Level Data'!AY101</f>
        <v>No Response</v>
      </c>
    </row>
    <row r="72" spans="1:5" hidden="1" x14ac:dyDescent="0.25">
      <c r="B72" s="227" t="str">
        <f>'Project-Level Data'!B14</f>
        <v>Cadiz additional imported supplies</v>
      </c>
      <c r="C72" s="475" t="str">
        <f>'Project-Level Data'!C14</f>
        <v>Imported Water Purchases</v>
      </c>
      <c r="D72" s="477"/>
      <c r="E72" s="381">
        <f>'Project-Level Data'!AY14</f>
        <v>3</v>
      </c>
    </row>
    <row r="73" spans="1:5" ht="25.5" hidden="1" x14ac:dyDescent="0.25">
      <c r="B73" s="227" t="str">
        <f>'Project-Level Data'!B23</f>
        <v>East County Advanced Water Purification Program Phase 1</v>
      </c>
      <c r="C73" s="475" t="str">
        <f>'Project-Level Data'!C23</f>
        <v>Potable Reuse</v>
      </c>
      <c r="D73" s="477"/>
      <c r="E73" s="381">
        <f>'Project-Level Data'!AY23</f>
        <v>5</v>
      </c>
    </row>
    <row r="74" spans="1:5" ht="25.5" hidden="1" x14ac:dyDescent="0.25">
      <c r="A74" s="14"/>
      <c r="B74" s="227" t="str">
        <f>'Project-Level Data'!B24</f>
        <v>East County Advanced Water Purification Program Phase 2</v>
      </c>
      <c r="C74" s="475" t="str">
        <f>'Project-Level Data'!C24</f>
        <v>Potable Reuse</v>
      </c>
      <c r="D74" s="477"/>
      <c r="E74" s="381">
        <f>'Project-Level Data'!AY24</f>
        <v>5</v>
      </c>
    </row>
    <row r="75" spans="1:5" ht="15" hidden="1" customHeight="1" x14ac:dyDescent="0.25">
      <c r="B75" s="227" t="str">
        <f>'Project-Level Data'!B25</f>
        <v>East County Advanced Water Purification Program Phase 3</v>
      </c>
      <c r="C75" s="475" t="str">
        <f>'Project-Level Data'!C25</f>
        <v>Potable Reuse</v>
      </c>
      <c r="D75" s="477"/>
      <c r="E75" s="381">
        <f>'Project-Level Data'!AY25</f>
        <v>5</v>
      </c>
    </row>
    <row r="76" spans="1:5" ht="15" hidden="1" customHeight="1" x14ac:dyDescent="0.25">
      <c r="B76" s="227" t="str">
        <f>'Project-Level Data'!B26</f>
        <v>Encina Wastewater Water Reuse Project</v>
      </c>
      <c r="C76" s="475" t="str">
        <f>'Project-Level Data'!C26</f>
        <v>Potable Reuse</v>
      </c>
      <c r="D76" s="477"/>
      <c r="E76" s="381">
        <f>'Project-Level Data'!AY26</f>
        <v>5</v>
      </c>
    </row>
    <row r="77" spans="1:5" ht="25.5" hidden="1" x14ac:dyDescent="0.25">
      <c r="B77" s="227" t="str">
        <f>'Project-Level Data'!B59</f>
        <v>New Local Supply Rincon del Diablo - Hale Avenue RRF/ City of Escondido/WRFs</v>
      </c>
      <c r="C77" s="475" t="str">
        <f>'Project-Level Data'!C59</f>
        <v>Potable Reuse</v>
      </c>
      <c r="D77" s="477"/>
      <c r="E77" s="381" t="str">
        <f>'Project-Level Data'!AY59</f>
        <v>No Response</v>
      </c>
    </row>
    <row r="78" spans="1:5" ht="25.5" hidden="1" x14ac:dyDescent="0.25">
      <c r="B78" s="227" t="str">
        <f>'Project-Level Data'!B73</f>
        <v xml:space="preserve">Potable Reuse/Hale Avenue Resource Recovery Facility (HARRF) </v>
      </c>
      <c r="C78" s="475" t="str">
        <f>'Project-Level Data'!C73</f>
        <v>Potable Reuse</v>
      </c>
      <c r="D78" s="477"/>
      <c r="E78" s="381" t="str">
        <f>'Project-Level Data'!AY73</f>
        <v>No Response</v>
      </c>
    </row>
    <row r="79" spans="1:5" hidden="1" x14ac:dyDescent="0.25">
      <c r="B79" s="227" t="str">
        <f>'Project-Level Data'!B75</f>
        <v xml:space="preserve">Pure Water San Diego Phase 1 - North City </v>
      </c>
      <c r="C79" s="475" t="str">
        <f>'Project-Level Data'!C75</f>
        <v>Potable Reuse</v>
      </c>
      <c r="D79" s="477"/>
      <c r="E79" s="381">
        <f>'Project-Level Data'!AY75</f>
        <v>5</v>
      </c>
    </row>
    <row r="80" spans="1:5" hidden="1" x14ac:dyDescent="0.25">
      <c r="B80" s="227" t="str">
        <f>'Project-Level Data'!B76</f>
        <v>Pure Water San Diego Phase 2 - Central</v>
      </c>
      <c r="C80" s="475" t="str">
        <f>'Project-Level Data'!C76</f>
        <v>Potable Reuse</v>
      </c>
      <c r="D80" s="477"/>
      <c r="E80" s="381">
        <f>'Project-Level Data'!AY76</f>
        <v>5</v>
      </c>
    </row>
    <row r="81" spans="2:5" hidden="1" x14ac:dyDescent="0.25">
      <c r="B81" s="227" t="str">
        <f>'Project-Level Data'!B104</f>
        <v>SFID/SDWD/SEJPA Potable Reuse Project</v>
      </c>
      <c r="C81" s="475" t="str">
        <f>'Project-Level Data'!C104</f>
        <v>Potable Reuse</v>
      </c>
      <c r="D81" s="477"/>
      <c r="E81" s="381">
        <f>'Project-Level Data'!AY104</f>
        <v>5</v>
      </c>
    </row>
    <row r="82" spans="2:5" hidden="1" x14ac:dyDescent="0.25">
      <c r="B82" s="227" t="str">
        <f>'Project-Level Data'!B108</f>
        <v>South WWTP - Indirect Potable Recharge</v>
      </c>
      <c r="C82" s="475" t="str">
        <f>'Project-Level Data'!C108</f>
        <v>Potable Reuse</v>
      </c>
      <c r="D82" s="477"/>
      <c r="E82" s="381">
        <f>'Project-Level Data'!AY108</f>
        <v>5</v>
      </c>
    </row>
    <row r="83" spans="2:5" hidden="1" x14ac:dyDescent="0.25">
      <c r="B83" s="227" t="str">
        <f>'Project-Level Data'!B109</f>
        <v>South WWTP - Injection to Las Flores Basin</v>
      </c>
      <c r="C83" s="475" t="str">
        <f>'Project-Level Data'!C109</f>
        <v>Potable Reuse</v>
      </c>
      <c r="D83" s="477"/>
      <c r="E83" s="381">
        <f>'Project-Level Data'!AY109</f>
        <v>3</v>
      </c>
    </row>
    <row r="84" spans="2:5" hidden="1" x14ac:dyDescent="0.25">
      <c r="B84" s="227" t="str">
        <f>'Project-Level Data'!B110</f>
        <v>South WWTP - Injection to Santa Margarita Basin</v>
      </c>
      <c r="C84" s="475" t="str">
        <f>'Project-Level Data'!C110</f>
        <v>Potable Reuse</v>
      </c>
      <c r="D84" s="477"/>
      <c r="E84" s="381">
        <f>'Project-Level Data'!AY110</f>
        <v>3</v>
      </c>
    </row>
    <row r="85" spans="2:5" hidden="1" x14ac:dyDescent="0.25">
      <c r="B85" s="227" t="str">
        <f>'Project-Level Data'!B17</f>
        <v>Carlsbad WRF - Landscape, Agriculture 2025</v>
      </c>
      <c r="C85" s="475" t="str">
        <f>'Project-Level Data'!C17</f>
        <v>Recycled Water</v>
      </c>
      <c r="D85" s="477"/>
      <c r="E85" s="381">
        <f>'Project-Level Data'!AY17</f>
        <v>5</v>
      </c>
    </row>
    <row r="86" spans="2:5" hidden="1" x14ac:dyDescent="0.25">
      <c r="B86" s="227" t="str">
        <f>'Project-Level Data'!B18</f>
        <v>Carlsbad WRF - Landscape, Agriculture 2050</v>
      </c>
      <c r="C86" s="475" t="str">
        <f>'Project-Level Data'!C18</f>
        <v>Recycled Water</v>
      </c>
      <c r="D86" s="477"/>
      <c r="E86" s="381">
        <f>'Project-Level Data'!AY18</f>
        <v>5</v>
      </c>
    </row>
    <row r="87" spans="2:5" hidden="1" x14ac:dyDescent="0.25">
      <c r="B87" s="227" t="str">
        <f>'Project-Level Data'!B28</f>
        <v>Extension 153 Phase I</v>
      </c>
      <c r="C87" s="475" t="str">
        <f>'Project-Level Data'!C28</f>
        <v>Recycled Water</v>
      </c>
      <c r="D87" s="477"/>
      <c r="E87" s="381">
        <f>'Project-Level Data'!AY28</f>
        <v>5</v>
      </c>
    </row>
    <row r="88" spans="2:5" hidden="1" x14ac:dyDescent="0.25">
      <c r="B88" s="227" t="str">
        <f>'Project-Level Data'!B29</f>
        <v>Extension 153 Phase II</v>
      </c>
      <c r="C88" s="475" t="str">
        <f>'Project-Level Data'!C29</f>
        <v>Recycled Water</v>
      </c>
      <c r="D88" s="477"/>
      <c r="E88" s="381">
        <f>'Project-Level Data'!AY29</f>
        <v>5</v>
      </c>
    </row>
    <row r="89" spans="2:5" ht="25.5" hidden="1" x14ac:dyDescent="0.25">
      <c r="B89" s="227" t="str">
        <f>'Project-Level Data'!B35</f>
        <v>Hale Avenue Resource Recovery Facility (HARRF) - Landscape, Agriculture, Industrial, PR</v>
      </c>
      <c r="C89" s="475" t="str">
        <f>'Project-Level Data'!C35</f>
        <v>Recycled Water</v>
      </c>
      <c r="D89" s="477"/>
      <c r="E89" s="381" t="str">
        <f>'Project-Level Data'!AY35</f>
        <v>No Response</v>
      </c>
    </row>
    <row r="90" spans="2:5" ht="25.5" hidden="1" x14ac:dyDescent="0.25">
      <c r="B90" s="227" t="str">
        <f>'Project-Level Data'!B36</f>
        <v>Integrated Water Resource Solutions for the Carlsbad Watershed</v>
      </c>
      <c r="C90" s="475" t="str">
        <f>'Project-Level Data'!C36</f>
        <v>Recycled Water</v>
      </c>
      <c r="D90" s="477"/>
      <c r="E90" s="381">
        <f>'Project-Level Data'!AY36</f>
        <v>5</v>
      </c>
    </row>
    <row r="91" spans="2:5" ht="25.5" hidden="1" x14ac:dyDescent="0.25">
      <c r="B91" s="227" t="str">
        <f>'Project-Level Data'!B37</f>
        <v>Intergrated Water Resource Solutions for the Carlsbad Watershed</v>
      </c>
      <c r="C91" s="475" t="str">
        <f>'Project-Level Data'!C37</f>
        <v>Recycled Water</v>
      </c>
      <c r="D91" s="477"/>
      <c r="E91" s="381">
        <f>'Project-Level Data'!AY37</f>
        <v>5</v>
      </c>
    </row>
    <row r="92" spans="2:5" hidden="1" x14ac:dyDescent="0.25">
      <c r="B92" s="227" t="str">
        <f>'Project-Level Data'!B38</f>
        <v>Joint RW Transmission Project with SFID and OMWD</v>
      </c>
      <c r="C92" s="475" t="str">
        <f>'Project-Level Data'!C38</f>
        <v>Recycled Water</v>
      </c>
      <c r="D92" s="477"/>
      <c r="E92" s="381">
        <f>'Project-Level Data'!AY38</f>
        <v>5</v>
      </c>
    </row>
    <row r="93" spans="2:5" hidden="1" x14ac:dyDescent="0.25">
      <c r="B93" s="227" t="str">
        <f>'Project-Level Data'!B42</f>
        <v>Lilac Hills Ranch WRF</v>
      </c>
      <c r="C93" s="475" t="str">
        <f>'Project-Level Data'!C42</f>
        <v>Recycled Water</v>
      </c>
      <c r="D93" s="477"/>
      <c r="E93" s="381" t="str">
        <f>'Project-Level Data'!AY42</f>
        <v>No Response</v>
      </c>
    </row>
    <row r="94" spans="2:5" ht="15" hidden="1" customHeight="1" x14ac:dyDescent="0.25">
      <c r="B94" s="227" t="str">
        <f>'Project-Level Data'!B45</f>
        <v>Lower Moosa Canyon WRF</v>
      </c>
      <c r="C94" s="475" t="str">
        <f>'Project-Level Data'!C45</f>
        <v>Recycled Water</v>
      </c>
      <c r="D94" s="477"/>
      <c r="E94" s="381" t="str">
        <f>'Project-Level Data'!AY45</f>
        <v>No Response</v>
      </c>
    </row>
    <row r="95" spans="2:5" hidden="1" x14ac:dyDescent="0.25">
      <c r="B95" s="227" t="str">
        <f>'Project-Level Data'!B50</f>
        <v>Meadowlark WRF</v>
      </c>
      <c r="C95" s="475" t="str">
        <f>'Project-Level Data'!C50</f>
        <v>Recycled Water</v>
      </c>
      <c r="D95" s="477"/>
      <c r="E95" s="381" t="str">
        <f>'Project-Level Data'!AY50</f>
        <v>No Response</v>
      </c>
    </row>
    <row r="96" spans="2:5" hidden="1" x14ac:dyDescent="0.25">
      <c r="B96" s="227" t="str">
        <f>'Project-Level Data'!B51</f>
        <v>Meadowood WRF</v>
      </c>
      <c r="C96" s="475" t="str">
        <f>'Project-Level Data'!C51</f>
        <v>Recycled Water</v>
      </c>
      <c r="D96" s="477"/>
      <c r="E96" s="381" t="str">
        <f>'Project-Level Data'!AY51</f>
        <v>No Response</v>
      </c>
    </row>
    <row r="97" spans="2:5" hidden="1" x14ac:dyDescent="0.25">
      <c r="B97" s="227" t="str">
        <f>'Project-Level Data'!B61</f>
        <v>North City WRP - Project 1</v>
      </c>
      <c r="C97" s="475" t="str">
        <f>'Project-Level Data'!C61</f>
        <v>Recycled Water</v>
      </c>
      <c r="D97" s="477"/>
      <c r="E97" s="381">
        <f>'Project-Level Data'!AY61</f>
        <v>3</v>
      </c>
    </row>
    <row r="98" spans="2:5" ht="15" hidden="1" customHeight="1" x14ac:dyDescent="0.25">
      <c r="B98" s="227" t="str">
        <f>'Project-Level Data'!B62</f>
        <v>North City WRP - Project 2</v>
      </c>
      <c r="C98" s="475" t="str">
        <f>'Project-Level Data'!C62</f>
        <v>Recycled Water</v>
      </c>
      <c r="D98" s="477"/>
      <c r="E98" s="381">
        <f>'Project-Level Data'!AY62</f>
        <v>3</v>
      </c>
    </row>
    <row r="99" spans="2:5" hidden="1" x14ac:dyDescent="0.25">
      <c r="B99" s="227" t="str">
        <f>'Project-Level Data'!B63</f>
        <v>North District Recycled System/RW Chapman WRF</v>
      </c>
      <c r="C99" s="475" t="str">
        <f>'Project-Level Data'!C63</f>
        <v>Recycled Water</v>
      </c>
      <c r="D99" s="477"/>
      <c r="E99" s="381">
        <f>'Project-Level Data'!AY63</f>
        <v>3</v>
      </c>
    </row>
    <row r="100" spans="2:5" ht="15" hidden="1" customHeight="1" x14ac:dyDescent="0.25">
      <c r="B100" s="227" t="str">
        <f>'Project-Level Data'!B64</f>
        <v>North San Diego County Regional Recycled Water Project-Phase ll</v>
      </c>
      <c r="C100" s="475" t="str">
        <f>'Project-Level Data'!C64</f>
        <v>Recycled Water</v>
      </c>
      <c r="D100" s="477"/>
      <c r="E100" s="381">
        <f>'Project-Level Data'!AY64</f>
        <v>5</v>
      </c>
    </row>
    <row r="101" spans="2:5" ht="15" hidden="1" customHeight="1" x14ac:dyDescent="0.25">
      <c r="B101" s="227" t="str">
        <f>'Project-Level Data'!B65</f>
        <v>North Village WRF</v>
      </c>
      <c r="C101" s="475" t="str">
        <f>'Project-Level Data'!C65</f>
        <v>Recycled Water</v>
      </c>
      <c r="D101" s="477"/>
      <c r="E101" s="381" t="str">
        <f>'Project-Level Data'!AY65</f>
        <v>No Response</v>
      </c>
    </row>
    <row r="102" spans="2:5" hidden="1" x14ac:dyDescent="0.25">
      <c r="B102" s="227" t="str">
        <f>'Project-Level Data'!B66</f>
        <v>North WWTP Landscape Application</v>
      </c>
      <c r="C102" s="475" t="str">
        <f>'Project-Level Data'!C66</f>
        <v>Recycled Water</v>
      </c>
      <c r="D102" s="477"/>
      <c r="E102" s="381">
        <f>'Project-Level Data'!AY66</f>
        <v>3</v>
      </c>
    </row>
    <row r="103" spans="2:5" ht="15" hidden="1" customHeight="1" x14ac:dyDescent="0.25">
      <c r="B103" s="227" t="str">
        <f>'Project-Level Data'!B78</f>
        <v>Rancho Cielo</v>
      </c>
      <c r="C103" s="475" t="str">
        <f>'Project-Level Data'!C78</f>
        <v>Recycled Water</v>
      </c>
      <c r="D103" s="477"/>
      <c r="E103" s="381">
        <f>'Project-Level Data'!AY78</f>
        <v>5</v>
      </c>
    </row>
    <row r="104" spans="2:5" hidden="1" x14ac:dyDescent="0.25">
      <c r="B104" s="227" t="str">
        <f>'Project-Level Data'!B80</f>
        <v>Ray Stoyer WRF - Landscape, Irrigation, Dust Control</v>
      </c>
      <c r="C104" s="475" t="str">
        <f>'Project-Level Data'!C80</f>
        <v>Recycled Water</v>
      </c>
      <c r="D104" s="477"/>
      <c r="E104" s="381">
        <f>'Project-Level Data'!AY80</f>
        <v>5</v>
      </c>
    </row>
    <row r="105" spans="2:5" ht="15" hidden="1" customHeight="1" x14ac:dyDescent="0.25">
      <c r="B105" s="227" t="str">
        <f>'Project-Level Data'!B86</f>
        <v>Safari Drought Response and Outreach</v>
      </c>
      <c r="C105" s="475" t="str">
        <f>'Project-Level Data'!C86</f>
        <v>Recycled Water</v>
      </c>
      <c r="D105" s="477"/>
      <c r="E105" s="381" t="str">
        <f>'Project-Level Data'!AY86</f>
        <v>No Response</v>
      </c>
    </row>
    <row r="106" spans="2:5" hidden="1" x14ac:dyDescent="0.25">
      <c r="B106" s="227" t="str">
        <f>'Project-Level Data'!B102</f>
        <v>Santa Maria WRP</v>
      </c>
      <c r="C106" s="475" t="str">
        <f>'Project-Level Data'!C102</f>
        <v>Recycled Water</v>
      </c>
      <c r="D106" s="477"/>
      <c r="E106" s="381" t="str">
        <f>'Project-Level Data'!AY102</f>
        <v>No Response</v>
      </c>
    </row>
    <row r="107" spans="2:5" hidden="1" x14ac:dyDescent="0.25">
      <c r="B107" s="227" t="str">
        <f>'Project-Level Data'!B105</f>
        <v>Shadowridge WRP</v>
      </c>
      <c r="C107" s="475" t="str">
        <f>'Project-Level Data'!C105</f>
        <v>Recycled Water</v>
      </c>
      <c r="D107" s="477"/>
      <c r="E107" s="381" t="str">
        <f>'Project-Level Data'!AY105</f>
        <v>No Response</v>
      </c>
    </row>
    <row r="108" spans="2:5" ht="25.5" hidden="1" x14ac:dyDescent="0.25">
      <c r="B108" s="227" t="str">
        <f>'Project-Level Data'!B118</f>
        <v>TBD - Evaluation Multiple Options/TBD - Supply/ Source Treatment Plant/Agency for recycled water</v>
      </c>
      <c r="C108" s="475" t="str">
        <f>'Project-Level Data'!C118</f>
        <v>Recycled Water</v>
      </c>
      <c r="D108" s="477"/>
      <c r="E108" s="381">
        <f>'Project-Level Data'!AY118</f>
        <v>5</v>
      </c>
    </row>
    <row r="109" spans="2:5" hidden="1" x14ac:dyDescent="0.25">
      <c r="B109" s="227" t="str">
        <f>'Project-Level Data'!B122</f>
        <v>Village Park Recycled Water Expansion Project</v>
      </c>
      <c r="C109" s="475" t="str">
        <f>'Project-Level Data'!C122</f>
        <v>Recycled Water</v>
      </c>
      <c r="D109" s="477"/>
      <c r="E109" s="381">
        <f>'Project-Level Data'!AY122</f>
        <v>5</v>
      </c>
    </row>
    <row r="110" spans="2:5" hidden="1" x14ac:dyDescent="0.25">
      <c r="B110" s="227" t="str">
        <f>'Project-Level Data'!B123</f>
        <v>W+157:181RP/Recycled Water Distribution System</v>
      </c>
      <c r="C110" s="475" t="str">
        <f>'Project-Level Data'!C123</f>
        <v>Recycled Water</v>
      </c>
      <c r="D110" s="477"/>
      <c r="E110" s="381" t="str">
        <f>'Project-Level Data'!AY123</f>
        <v>No Response</v>
      </c>
    </row>
    <row r="111" spans="2:5" hidden="1" x14ac:dyDescent="0.25">
      <c r="B111" s="227" t="str">
        <f>'Project-Level Data'!B124</f>
        <v>Welk WRF</v>
      </c>
      <c r="C111" s="475" t="str">
        <f>'Project-Level Data'!C124</f>
        <v>Recycled Water</v>
      </c>
      <c r="D111" s="477"/>
      <c r="E111" s="381" t="str">
        <f>'Project-Level Data'!AY124</f>
        <v>No Response</v>
      </c>
    </row>
    <row r="112" spans="2:5" hidden="1" x14ac:dyDescent="0.25">
      <c r="B112" s="227" t="str">
        <f>'Project-Level Data'!B125</f>
        <v>Woods Valley Ranch WRF Phase 3</v>
      </c>
      <c r="C112" s="475" t="str">
        <f>'Project-Level Data'!C125</f>
        <v>Recycled Water</v>
      </c>
      <c r="D112" s="477"/>
      <c r="E112" s="381" t="str">
        <f>'Project-Level Data'!AY125</f>
        <v>No Response</v>
      </c>
    </row>
    <row r="113" spans="2:5" hidden="1" x14ac:dyDescent="0.25">
      <c r="B113" s="227" t="str">
        <f>'Project-Level Data'!B15</f>
        <v>Camp Pendleton Desalination Facility</v>
      </c>
      <c r="C113" s="475" t="str">
        <f>'Project-Level Data'!C15</f>
        <v>Seawater Desalination</v>
      </c>
      <c r="D113" s="477"/>
      <c r="E113" s="381">
        <f>'Project-Level Data'!AY15</f>
        <v>5</v>
      </c>
    </row>
    <row r="114" spans="2:5" ht="15" hidden="1" customHeight="1" x14ac:dyDescent="0.25">
      <c r="B114" s="227" t="str">
        <f>'Project-Level Data'!B83</f>
        <v>Re-rating of Carlsbad Desalination for higher flow</v>
      </c>
      <c r="C114" s="475" t="str">
        <f>'Project-Level Data'!C83</f>
        <v>Seawater Desalination</v>
      </c>
      <c r="D114" s="477"/>
      <c r="E114" s="381" t="str">
        <f>'Project-Level Data'!AY83</f>
        <v>No Response</v>
      </c>
    </row>
    <row r="115" spans="2:5" ht="15" hidden="1" customHeight="1" x14ac:dyDescent="0.25">
      <c r="B115" s="227" t="str">
        <f>'Project-Level Data'!B85</f>
        <v>Rosarito Beach Desalination</v>
      </c>
      <c r="C115" s="475" t="str">
        <f>'Project-Level Data'!C85</f>
        <v>Seawater Desalination</v>
      </c>
      <c r="D115" s="477"/>
      <c r="E115" s="381">
        <f>'Project-Level Data'!AY85</f>
        <v>3</v>
      </c>
    </row>
    <row r="116" spans="2:5" ht="38.25" hidden="1" x14ac:dyDescent="0.25">
      <c r="B116" s="227" t="str">
        <f>'Project-Level Data'!B9</f>
        <v>Alternative Compliance Retrofit Project El Norte Parkway and Rincon
Villa Drive, Escondido</v>
      </c>
      <c r="C116" s="475" t="str">
        <f>'Project-Level Data'!C9</f>
        <v>Stormwater BMPs</v>
      </c>
      <c r="D116" s="477"/>
      <c r="E116" s="381" t="str">
        <f>'Project-Level Data'!AY9</f>
        <v>No Response</v>
      </c>
    </row>
    <row r="117" spans="2:5" ht="15" hidden="1" customHeight="1" x14ac:dyDescent="0.25">
      <c r="B117" s="227" t="str">
        <f>'Project-Level Data'!B10</f>
        <v>Alternative Compliance Retrofit Project Mountain View Park, Escondido</v>
      </c>
      <c r="C117" s="475" t="str">
        <f>'Project-Level Data'!C10</f>
        <v>Stormwater BMPs</v>
      </c>
      <c r="D117" s="477"/>
      <c r="E117" s="381" t="str">
        <f>'Project-Level Data'!AY10</f>
        <v>No Response</v>
      </c>
    </row>
    <row r="118" spans="2:5" hidden="1" x14ac:dyDescent="0.25">
      <c r="B118" s="227" t="str">
        <f>'Project-Level Data'!B11</f>
        <v>Bakersfield Street and San Altos Channel Restoration</v>
      </c>
      <c r="C118" s="475" t="str">
        <f>'Project-Level Data'!C11</f>
        <v>Stormwater BMPs</v>
      </c>
      <c r="D118" s="477"/>
      <c r="E118" s="381">
        <f>'Project-Level Data'!AY11</f>
        <v>3</v>
      </c>
    </row>
    <row r="119" spans="2:5" ht="38.25" hidden="1" x14ac:dyDescent="0.25">
      <c r="B119" s="227" t="str">
        <f>'Project-Level Data'!B12</f>
        <v>Broadway Channel Flood Risk Reduction and Water Quality
Improvements</v>
      </c>
      <c r="C119" s="475" t="str">
        <f>'Project-Level Data'!C12</f>
        <v>Stormwater BMPs</v>
      </c>
      <c r="D119" s="477"/>
      <c r="E119" s="381">
        <f>'Project-Level Data'!AY12</f>
        <v>5</v>
      </c>
    </row>
    <row r="120" spans="2:5" hidden="1" x14ac:dyDescent="0.25">
      <c r="B120" s="227" t="str">
        <f>'Project-Level Data'!B20</f>
        <v>City of Oceanside Loma Alta Slough Restoration Project</v>
      </c>
      <c r="C120" s="475" t="str">
        <f>'Project-Level Data'!C20</f>
        <v>Stormwater BMPs</v>
      </c>
      <c r="D120" s="477"/>
      <c r="E120" s="381" t="str">
        <f>'Project-Level Data'!AY20</f>
        <v>No Response</v>
      </c>
    </row>
    <row r="121" spans="2:5" hidden="1" x14ac:dyDescent="0.25">
      <c r="B121" s="227" t="str">
        <f>'Project-Level Data'!B32</f>
        <v>Golden Ave Green Street</v>
      </c>
      <c r="C121" s="475" t="str">
        <f>'Project-Level Data'!C32</f>
        <v>Stormwater BMPs</v>
      </c>
      <c r="D121" s="477"/>
      <c r="E121" s="381">
        <f>'Project-Level Data'!AY32</f>
        <v>3</v>
      </c>
    </row>
    <row r="122" spans="2:5" hidden="1" x14ac:dyDescent="0.25">
      <c r="B122" s="227" t="str">
        <f>'Project-Level Data'!B39</f>
        <v>Las Colinas Channel Improvments</v>
      </c>
      <c r="C122" s="475" t="str">
        <f>'Project-Level Data'!C39</f>
        <v>Stormwater BMPs</v>
      </c>
      <c r="D122" s="477"/>
      <c r="E122" s="381">
        <f>'Project-Level Data'!AY39</f>
        <v>3</v>
      </c>
    </row>
    <row r="123" spans="2:5" hidden="1" x14ac:dyDescent="0.25">
      <c r="B123" s="227" t="str">
        <f>'Project-Level Data'!B40</f>
        <v>Lemon Grove Avenue Green Streets</v>
      </c>
      <c r="C123" s="475" t="str">
        <f>'Project-Level Data'!C40</f>
        <v>Stormwater BMPs</v>
      </c>
      <c r="D123" s="477"/>
      <c r="E123" s="381">
        <f>'Project-Level Data'!AY40</f>
        <v>3</v>
      </c>
    </row>
    <row r="124" spans="2:5" ht="25.5" hidden="1" x14ac:dyDescent="0.25">
      <c r="B124" s="227" t="str">
        <f>'Project-Level Data'!B41</f>
        <v>Leucadia Roadside Park Stormwater Capture/Reuse Project</v>
      </c>
      <c r="C124" s="475" t="str">
        <f>'Project-Level Data'!C41</f>
        <v>Stormwater BMPs</v>
      </c>
      <c r="D124" s="477"/>
      <c r="E124" s="381">
        <f>'Project-Level Data'!AY41</f>
        <v>3</v>
      </c>
    </row>
    <row r="125" spans="2:5" hidden="1" x14ac:dyDescent="0.25">
      <c r="B125" s="227" t="str">
        <f>'Project-Level Data'!B43</f>
        <v>Lincoln St Green Street</v>
      </c>
      <c r="C125" s="475" t="str">
        <f>'Project-Level Data'!C43</f>
        <v>Stormwater BMPs</v>
      </c>
      <c r="D125" s="477"/>
      <c r="E125" s="381">
        <f>'Project-Level Data'!AY43</f>
        <v>3</v>
      </c>
    </row>
    <row r="126" spans="2:5" ht="15" hidden="1" customHeight="1" x14ac:dyDescent="0.25">
      <c r="B126" s="227" t="str">
        <f>'Project-Level Data'!B44</f>
        <v xml:space="preserve">Low Impact Development Urban Runoff Control Projects for the Tijuana Estuary </v>
      </c>
      <c r="C126" s="475" t="str">
        <f>'Project-Level Data'!C44</f>
        <v>Stormwater BMPs</v>
      </c>
      <c r="D126" s="477"/>
      <c r="E126" s="381">
        <f>'Project-Level Data'!AY44</f>
        <v>5</v>
      </c>
    </row>
    <row r="127" spans="2:5" ht="15" hidden="1" customHeight="1" x14ac:dyDescent="0.25">
      <c r="B127" s="227" t="str">
        <f>'Project-Level Data'!B46</f>
        <v>Madera St Green Street</v>
      </c>
      <c r="C127" s="475" t="str">
        <f>'Project-Level Data'!C46</f>
        <v>Stormwater BMPs</v>
      </c>
      <c r="D127" s="477"/>
      <c r="E127" s="381">
        <f>'Project-Level Data'!AY46</f>
        <v>3</v>
      </c>
    </row>
    <row r="128" spans="2:5" hidden="1" x14ac:dyDescent="0.25">
      <c r="B128" s="227" t="str">
        <f>'Project-Level Data'!B47</f>
        <v>Main Street Promenade Extension</v>
      </c>
      <c r="C128" s="475" t="str">
        <f>'Project-Level Data'!C47</f>
        <v>Stormwater BMPs</v>
      </c>
      <c r="D128" s="477"/>
      <c r="E128" s="381">
        <f>'Project-Level Data'!AY47</f>
        <v>3</v>
      </c>
    </row>
    <row r="129" spans="1:5" ht="25.5" hidden="1" x14ac:dyDescent="0.25">
      <c r="B129" s="227" t="str">
        <f>'Project-Level Data'!B48</f>
        <v>Mapleview Street ‐ Green Infrastructure and Stormwater QualityImprovement Project</v>
      </c>
      <c r="C129" s="475" t="str">
        <f>'Project-Level Data'!C48</f>
        <v>Stormwater BMPs</v>
      </c>
      <c r="D129" s="477"/>
      <c r="E129" s="381">
        <f>'Project-Level Data'!AY48</f>
        <v>3</v>
      </c>
    </row>
    <row r="130" spans="1:5" ht="25.5" hidden="1" x14ac:dyDescent="0.25">
      <c r="B130" s="227" t="str">
        <f>'Project-Level Data'!B71</f>
        <v>Paradise Valley Creek Water Quality and Community Enhancement</v>
      </c>
      <c r="C130" s="475" t="str">
        <f>'Project-Level Data'!C71</f>
        <v>Stormwater BMPs</v>
      </c>
      <c r="D130" s="477"/>
      <c r="E130" s="381">
        <f>'Project-Level Data'!AY71</f>
        <v>3</v>
      </c>
    </row>
    <row r="131" spans="1:5" ht="25.5" hidden="1" x14ac:dyDescent="0.25">
      <c r="B131" s="227" t="str">
        <f>'Project-Level Data'!B74</f>
        <v>Pure Water - Los Penasquitos Creek Urban Dry-Weather Water Harvesting</v>
      </c>
      <c r="C131" s="475" t="str">
        <f>'Project-Level Data'!C74</f>
        <v>Stormwater BMPs</v>
      </c>
      <c r="D131" s="477"/>
      <c r="E131" s="381">
        <f>'Project-Level Data'!AY74</f>
        <v>5</v>
      </c>
    </row>
    <row r="132" spans="1:5" hidden="1" x14ac:dyDescent="0.25">
      <c r="B132" s="227" t="str">
        <f>'Project-Level Data'!B87</f>
        <v>Safari Park Storm Water Capture and Reuse Project</v>
      </c>
      <c r="C132" s="475" t="str">
        <f>'Project-Level Data'!C87</f>
        <v>Stormwater BMPs</v>
      </c>
      <c r="D132" s="477"/>
      <c r="E132" s="381" t="str">
        <f>'Project-Level Data'!AY87</f>
        <v>No Response</v>
      </c>
    </row>
    <row r="133" spans="1:5" ht="25.5" hidden="1" x14ac:dyDescent="0.25">
      <c r="B133" s="227" t="str">
        <f>'Project-Level Data'!B88</f>
        <v>Safari Park Water Reuse Sustainability and Watershed Protection Prgram</v>
      </c>
      <c r="C133" s="475" t="str">
        <f>'Project-Level Data'!C88</f>
        <v>Stormwater BMPs</v>
      </c>
      <c r="D133" s="477"/>
      <c r="E133" s="381" t="str">
        <f>'Project-Level Data'!AY88</f>
        <v>No Response</v>
      </c>
    </row>
    <row r="134" spans="1:5" ht="15" hidden="1" customHeight="1" x14ac:dyDescent="0.25">
      <c r="B134" s="227" t="str">
        <f>'Project-Level Data'!B96</f>
        <v>San Marino Drive Green Street and Dry Weather Flow Management Sweetwater</v>
      </c>
      <c r="C134" s="475" t="str">
        <f>'Project-Level Data'!C96</f>
        <v>Stormwater BMPs</v>
      </c>
      <c r="D134" s="477"/>
      <c r="E134" s="381">
        <f>'Project-Level Data'!AY96</f>
        <v>3</v>
      </c>
    </row>
    <row r="135" spans="1:5" ht="25.5" hidden="1" x14ac:dyDescent="0.25">
      <c r="B135" s="227" t="str">
        <f>'Project-Level Data'!B97</f>
        <v>San Marino Drive Green Street and Dry Weather Flow Management Vallecitos</v>
      </c>
      <c r="C135" s="475" t="str">
        <f>'Project-Level Data'!C97</f>
        <v>Stormwater BMPs</v>
      </c>
      <c r="D135" s="477"/>
      <c r="E135" s="381">
        <f>'Project-Level Data'!AY97</f>
        <v>3</v>
      </c>
    </row>
    <row r="136" spans="1:5" ht="15" hidden="1" customHeight="1" x14ac:dyDescent="0.25">
      <c r="B136" s="227" t="str">
        <f>'Project-Level Data'!B98</f>
        <v>San Miguel Green Street</v>
      </c>
      <c r="C136" s="475" t="str">
        <f>'Project-Level Data'!C98</f>
        <v>Stormwater BMPs</v>
      </c>
      <c r="D136" s="477"/>
      <c r="E136" s="381" t="str">
        <f>'Project-Level Data'!AY98</f>
        <v>No Response</v>
      </c>
    </row>
    <row r="137" spans="1:5" ht="15" hidden="1" customHeight="1" x14ac:dyDescent="0.25">
      <c r="B137" s="227" t="str">
        <f>'Project-Level Data'!B106</f>
        <v>Skyline Dr and Kempt St Green Streets</v>
      </c>
      <c r="C137" s="475" t="str">
        <f>'Project-Level Data'!C106</f>
        <v>Stormwater BMPs</v>
      </c>
      <c r="D137" s="477"/>
      <c r="E137" s="381">
        <f>'Project-Level Data'!AY106</f>
        <v>3</v>
      </c>
    </row>
    <row r="138" spans="1:5" ht="15" hidden="1" customHeight="1" x14ac:dyDescent="0.25">
      <c r="B138" s="227" t="str">
        <f>'Project-Level Data'!B107</f>
        <v>South Santa Fe Green Street Project</v>
      </c>
      <c r="C138" s="475" t="str">
        <f>'Project-Level Data'!C107</f>
        <v>Stormwater BMPs</v>
      </c>
      <c r="D138" s="477"/>
      <c r="E138" s="381">
        <f>'Project-Level Data'!AY107</f>
        <v>5</v>
      </c>
    </row>
    <row r="139" spans="1:5" hidden="1" x14ac:dyDescent="0.25">
      <c r="B139" s="227" t="str">
        <f>'Project-Level Data'!B111</f>
        <v>Spruce Street Channel Improvement Project</v>
      </c>
      <c r="C139" s="475" t="str">
        <f>'Project-Level Data'!C111</f>
        <v>Stormwater BMPs</v>
      </c>
      <c r="D139" s="477"/>
      <c r="E139" s="381" t="str">
        <f>'Project-Level Data'!AY111</f>
        <v>No Response</v>
      </c>
    </row>
    <row r="140" spans="1:5" ht="25.5" hidden="1" x14ac:dyDescent="0.25">
      <c r="B140" s="227" t="str">
        <f>'Project-Level Data'!B112</f>
        <v>Storm water Capture off San Diego River along Alvarado Canyon and Fairmont Canyon to Fish and Wildlife site</v>
      </c>
      <c r="C140" s="475" t="str">
        <f>'Project-Level Data'!C112</f>
        <v>Stormwater BMPs</v>
      </c>
      <c r="D140" s="477"/>
      <c r="E140" s="381">
        <f>'Project-Level Data'!AY112</f>
        <v>3</v>
      </c>
    </row>
    <row r="141" spans="1:5" hidden="1" x14ac:dyDescent="0.25">
      <c r="B141" s="227" t="str">
        <f>'Project-Level Data'!B114</f>
        <v>Sweetwater Rd Green Street</v>
      </c>
      <c r="C141" s="475" t="str">
        <f>'Project-Level Data'!C114</f>
        <v>Stormwater BMPs</v>
      </c>
      <c r="D141" s="477"/>
      <c r="E141" s="381">
        <f>'Project-Level Data'!AY114</f>
        <v>3</v>
      </c>
    </row>
    <row r="142" spans="1:5" hidden="1" x14ac:dyDescent="0.25">
      <c r="B142" s="227" t="str">
        <f>'Project-Level Data'!B116</f>
        <v>Sweetwater River Park Bioretention</v>
      </c>
      <c r="C142" s="475" t="str">
        <f>'Project-Level Data'!C116</f>
        <v>Stormwater BMPs</v>
      </c>
      <c r="D142" s="477"/>
      <c r="E142" s="381" t="str">
        <f>'Project-Level Data'!AY116</f>
        <v>No Response</v>
      </c>
    </row>
    <row r="143" spans="1:5" hidden="1" x14ac:dyDescent="0.25">
      <c r="B143" s="227" t="str">
        <f>'Project-Level Data'!B119</f>
        <v>Telegraph Canyon Channel Improvement Project</v>
      </c>
      <c r="C143" s="475" t="str">
        <f>'Project-Level Data'!C119</f>
        <v>Stormwater BMPs</v>
      </c>
      <c r="D143" s="477"/>
      <c r="E143" s="381" t="str">
        <f>'Project-Level Data'!AY119</f>
        <v>No Response</v>
      </c>
    </row>
    <row r="144" spans="1:5" hidden="1" x14ac:dyDescent="0.25">
      <c r="A144" s="84"/>
      <c r="B144" s="227" t="str">
        <f>'Project-Level Data'!B126</f>
        <v>Woodside Avenue Complete Green Street</v>
      </c>
      <c r="C144" s="475" t="str">
        <f>'Project-Level Data'!C126</f>
        <v>Stormwater BMPs</v>
      </c>
      <c r="D144" s="477"/>
      <c r="E144" s="381">
        <f>'Project-Level Data'!AY126</f>
        <v>3</v>
      </c>
    </row>
    <row r="145" spans="1:5" ht="15" hidden="1" customHeight="1" x14ac:dyDescent="0.25">
      <c r="A145" s="11"/>
      <c r="B145" s="227" t="str">
        <f>'Project-Level Data'!B57</f>
        <v>Murray Urban Runoff Diversion System Capture</v>
      </c>
      <c r="C145" s="475" t="str">
        <f>'Project-Level Data'!C57</f>
        <v>Stormwater Capture</v>
      </c>
      <c r="D145" s="477"/>
      <c r="E145" s="381">
        <f>'Project-Level Data'!AY57</f>
        <v>5</v>
      </c>
    </row>
    <row r="146" spans="1:5" hidden="1" x14ac:dyDescent="0.25">
      <c r="A146" s="11"/>
      <c r="B146" s="227" t="str">
        <f>'Project-Level Data'!B77</f>
        <v>Rainwater harvesting</v>
      </c>
      <c r="C146" s="475" t="str">
        <f>'Project-Level Data'!C77</f>
        <v>Stormwater Capture</v>
      </c>
      <c r="D146" s="477"/>
      <c r="E146" s="381">
        <f>'Project-Level Data'!AY77</f>
        <v>5</v>
      </c>
    </row>
    <row r="147" spans="1:5" hidden="1" x14ac:dyDescent="0.25">
      <c r="A147" s="11"/>
      <c r="B147" s="227" t="str">
        <f>'Project-Level Data'!B55</f>
        <v xml:space="preserve">Ms. Smarty-Plants Grows Water-Wise Schools </v>
      </c>
      <c r="C147" s="475" t="str">
        <f>'Project-Level Data'!C55</f>
        <v>Urban and Agricultural Water Use Efficiency</v>
      </c>
      <c r="D147" s="477"/>
      <c r="E147" s="381" t="str">
        <f>'Project-Level Data'!AY55</f>
        <v>No Response</v>
      </c>
    </row>
    <row r="148" spans="1:5" ht="15" hidden="1" customHeight="1" x14ac:dyDescent="0.25">
      <c r="A148" s="11"/>
      <c r="B148" s="227" t="str">
        <f>'Project-Level Data'!B81</f>
        <v>Regional Demand Management Program Expansion</v>
      </c>
      <c r="C148" s="475" t="str">
        <f>'Project-Level Data'!C81</f>
        <v>Urban and Agricultural Water Use Efficiency</v>
      </c>
      <c r="D148" s="477"/>
      <c r="E148" s="381">
        <f>'Project-Level Data'!AY81</f>
        <v>5</v>
      </c>
    </row>
    <row r="149" spans="1:5" hidden="1" x14ac:dyDescent="0.25">
      <c r="A149" s="11"/>
      <c r="B149" s="227" t="str">
        <f>'Project-Level Data'!B82</f>
        <v>Regional Drought Resilience Program</v>
      </c>
      <c r="C149" s="475" t="str">
        <f>'Project-Level Data'!C82</f>
        <v>Urban and Agricultural Water Use Efficiency</v>
      </c>
      <c r="D149" s="477"/>
      <c r="E149" s="381">
        <f>'Project-Level Data'!AY82</f>
        <v>5</v>
      </c>
    </row>
    <row r="150" spans="1:5" hidden="1" x14ac:dyDescent="0.25">
      <c r="A150" s="11"/>
      <c r="B150" s="227" t="str">
        <f>'Project-Level Data'!B84</f>
        <v>Rincon Customer-Driven Demand Management Program</v>
      </c>
      <c r="C150" s="475" t="str">
        <f>'Project-Level Data'!C84</f>
        <v>Urban and Agricultural Water Use Efficiency</v>
      </c>
      <c r="D150" s="477"/>
      <c r="E150" s="381" t="str">
        <f>'Project-Level Data'!AY84</f>
        <v>No Response</v>
      </c>
    </row>
    <row r="151" spans="1:5" hidden="1" x14ac:dyDescent="0.25">
      <c r="A151" s="11"/>
      <c r="B151" s="227" t="str">
        <f>'Project-Level Data'!B92</f>
        <v>San Diego Water Conservation Program</v>
      </c>
      <c r="C151" s="475" t="str">
        <f>'Project-Level Data'!C92</f>
        <v>Urban and Agricultural Water Use Efficiency</v>
      </c>
      <c r="D151" s="477"/>
      <c r="E151" s="381">
        <f>'Project-Level Data'!AY92</f>
        <v>5</v>
      </c>
    </row>
    <row r="152" spans="1:5" hidden="1" x14ac:dyDescent="0.25">
      <c r="A152" s="11"/>
      <c r="B152" s="227" t="str">
        <f>'Project-Level Data'!B93</f>
        <v>San Diego Water Use Reduction Program</v>
      </c>
      <c r="C152" s="475" t="str">
        <f>'Project-Level Data'!C93</f>
        <v>Urban and Agricultural Water Use Efficiency</v>
      </c>
      <c r="D152" s="477"/>
      <c r="E152" s="381">
        <f>'Project-Level Data'!AY93</f>
        <v>5</v>
      </c>
    </row>
    <row r="153" spans="1:5" ht="25.5" hidden="1" x14ac:dyDescent="0.25">
      <c r="A153" s="11"/>
      <c r="B153" s="227" t="str">
        <f>'Project-Level Data'!B121</f>
        <v>UC San Diego Water Conservation and Watershed Protection</v>
      </c>
      <c r="C153" s="475" t="str">
        <f>'Project-Level Data'!C121</f>
        <v>Urban and Agricultural Water Use Efficiency</v>
      </c>
      <c r="D153" s="477"/>
      <c r="E153" s="381">
        <f>'Project-Level Data'!AY121</f>
        <v>5</v>
      </c>
    </row>
    <row r="154" spans="1:5" hidden="1" x14ac:dyDescent="0.25">
      <c r="A154" s="11"/>
      <c r="B154" s="227" t="str">
        <f>'Project-Level Data'!B7</f>
        <v>69th St Green Street</v>
      </c>
      <c r="C154" s="475" t="str">
        <f>'Project-Level Data'!C7</f>
        <v>Watershed and Ecosystem Management</v>
      </c>
      <c r="D154" s="477"/>
      <c r="E154" s="381">
        <f>'Project-Level Data'!AY7</f>
        <v>3</v>
      </c>
    </row>
    <row r="155" spans="1:5" ht="38.25" hidden="1" x14ac:dyDescent="0.25">
      <c r="A155" s="11"/>
      <c r="B155" s="227" t="str">
        <f>'Project-Level Data'!B8</f>
        <v>Alternative Compliance Retrofit Project Avenida Del Diablo Park,
Escondido</v>
      </c>
      <c r="C155" s="475" t="str">
        <f>'Project-Level Data'!C8</f>
        <v>Watershed and Ecosystem Management</v>
      </c>
      <c r="D155" s="477"/>
      <c r="E155" s="381" t="str">
        <f>'Project-Level Data'!AY8</f>
        <v>No Response</v>
      </c>
    </row>
    <row r="156" spans="1:5" hidden="1" x14ac:dyDescent="0.25">
      <c r="A156" s="11"/>
      <c r="B156" s="227" t="str">
        <f>'Project-Level Data'!B13</f>
        <v>Broadway/Federal Blvd Green Street</v>
      </c>
      <c r="C156" s="475" t="str">
        <f>'Project-Level Data'!C13</f>
        <v>Watershed and Ecosystem Management</v>
      </c>
      <c r="D156" s="477"/>
      <c r="E156" s="381">
        <f>'Project-Level Data'!AY13</f>
        <v>3</v>
      </c>
    </row>
    <row r="157" spans="1:5" hidden="1" x14ac:dyDescent="0.25">
      <c r="A157" s="11"/>
      <c r="B157" s="227" t="str">
        <f>'Project-Level Data'!B16</f>
        <v>Canton Dr Green Street</v>
      </c>
      <c r="C157" s="475" t="str">
        <f>'Project-Level Data'!C16</f>
        <v>Watershed and Ecosystem Management</v>
      </c>
      <c r="D157" s="477"/>
      <c r="E157" s="381">
        <f>'Project-Level Data'!AY16</f>
        <v>3</v>
      </c>
    </row>
    <row r="158" spans="1:5" hidden="1" x14ac:dyDescent="0.25">
      <c r="A158" s="11"/>
      <c r="B158" s="227" t="str">
        <f>'Project-Level Data'!B19</f>
        <v>Central Avenue Green Street</v>
      </c>
      <c r="C158" s="475" t="str">
        <f>'Project-Level Data'!C19</f>
        <v>Watershed and Ecosystem Management</v>
      </c>
      <c r="D158" s="477"/>
      <c r="E158" s="381">
        <f>'Project-Level Data'!AY19</f>
        <v>3</v>
      </c>
    </row>
    <row r="159" spans="1:5" hidden="1" x14ac:dyDescent="0.25">
      <c r="A159" s="11"/>
      <c r="B159" s="227" t="str">
        <f>'Project-Level Data'!B30</f>
        <v>Federal Blvd Channel</v>
      </c>
      <c r="C159" s="475" t="str">
        <f>'Project-Level Data'!C30</f>
        <v>Watershed and Ecosystem Management</v>
      </c>
      <c r="D159" s="477"/>
      <c r="E159" s="381">
        <f>'Project-Level Data'!AY30</f>
        <v>3</v>
      </c>
    </row>
    <row r="160" spans="1:5" ht="15" hidden="1" customHeight="1" x14ac:dyDescent="0.25">
      <c r="A160" s="11"/>
      <c r="B160" s="227" t="str">
        <f>'Project-Level Data'!B31</f>
        <v>Hodges Water Quality Improvement Program</v>
      </c>
      <c r="C160" s="475" t="str">
        <f>'Project-Level Data'!C31</f>
        <v>Watershed and Ecosystem Management</v>
      </c>
      <c r="D160" s="477"/>
      <c r="E160" s="381">
        <f>'Project-Level Data'!AY31</f>
        <v>5</v>
      </c>
    </row>
    <row r="161" spans="1:6" hidden="1" x14ac:dyDescent="0.25">
      <c r="A161" s="11"/>
      <c r="B161" s="227" t="str">
        <f>'Project-Level Data'!B49</f>
        <v>Massachusetts Blvd Green Street</v>
      </c>
      <c r="C161" s="475" t="str">
        <f>'Project-Level Data'!C49</f>
        <v>Watershed and Ecosystem Management</v>
      </c>
      <c r="D161" s="477"/>
      <c r="E161" s="381">
        <f>'Project-Level Data'!AY49</f>
        <v>3</v>
      </c>
    </row>
    <row r="162" spans="1:6" ht="15" hidden="1" customHeight="1" x14ac:dyDescent="0.25">
      <c r="A162" s="11"/>
      <c r="B162" s="227" t="str">
        <f>'Project-Level Data'!B56</f>
        <v>Mt. Vernon St Green Street</v>
      </c>
      <c r="C162" s="475" t="str">
        <f>'Project-Level Data'!C56</f>
        <v>Watershed and Ecosystem Management</v>
      </c>
      <c r="D162" s="477"/>
      <c r="E162" s="381">
        <f>'Project-Level Data'!AY56</f>
        <v>3</v>
      </c>
    </row>
    <row r="163" spans="1:6" hidden="1" x14ac:dyDescent="0.25">
      <c r="A163" s="11"/>
      <c r="B163" s="227" t="str">
        <f>'Project-Level Data'!B58</f>
        <v>Nestor Creek Channel Restoration</v>
      </c>
      <c r="C163" s="475" t="str">
        <f>'Project-Level Data'!C58</f>
        <v>Watershed and Ecosystem Management</v>
      </c>
      <c r="D163" s="477"/>
      <c r="E163" s="381" t="str">
        <f>'Project-Level Data'!AY58</f>
        <v>No Response</v>
      </c>
    </row>
    <row r="164" spans="1:6" hidden="1" x14ac:dyDescent="0.25">
      <c r="A164" s="11"/>
      <c r="B164" s="227" t="str">
        <f>'Project-Level Data'!B60</f>
        <v>North Ave and Grove Green Street</v>
      </c>
      <c r="C164" s="475" t="str">
        <f>'Project-Level Data'!C60</f>
        <v>Watershed and Ecosystem Management</v>
      </c>
      <c r="D164" s="477"/>
      <c r="E164" s="381">
        <f>'Project-Level Data'!AY60</f>
        <v>3</v>
      </c>
    </row>
    <row r="165" spans="1:6" ht="15" hidden="1" customHeight="1" x14ac:dyDescent="0.25">
      <c r="A165" s="11"/>
      <c r="B165" s="227" t="str">
        <f>'Project-Level Data'!B69</f>
        <v>Palm St Green Street</v>
      </c>
      <c r="C165" s="475" t="str">
        <f>'Project-Level Data'!C69</f>
        <v>Watershed and Ecosystem Management</v>
      </c>
      <c r="D165" s="477"/>
      <c r="E165" s="381">
        <f>'Project-Level Data'!AY69</f>
        <v>3</v>
      </c>
    </row>
    <row r="166" spans="1:6" hidden="1" x14ac:dyDescent="0.25">
      <c r="A166" s="11"/>
      <c r="B166" s="227" t="str">
        <f>'Project-Level Data'!B70</f>
        <v>Paradise Creek Restoration Phase II</v>
      </c>
      <c r="C166" s="475" t="str">
        <f>'Project-Level Data'!C70</f>
        <v>Watershed and Ecosystem Management</v>
      </c>
      <c r="D166" s="477"/>
      <c r="E166" s="381">
        <f>'Project-Level Data'!AY70</f>
        <v>3</v>
      </c>
    </row>
    <row r="167" spans="1:6" hidden="1" x14ac:dyDescent="0.25">
      <c r="A167" s="11"/>
      <c r="B167" s="227" t="str">
        <f>'Project-Level Data'!B91</f>
        <v>San Diego Healthy Headwaters Restoration</v>
      </c>
      <c r="C167" s="475" t="str">
        <f>'Project-Level Data'!C91</f>
        <v>Watershed and Ecosystem Management</v>
      </c>
      <c r="D167" s="477"/>
      <c r="E167" s="381">
        <f>'Project-Level Data'!AY91</f>
        <v>5</v>
      </c>
    </row>
    <row r="168" spans="1:6" ht="25.5" hidden="1" x14ac:dyDescent="0.25">
      <c r="A168" s="11"/>
      <c r="B168" s="227" t="str">
        <f>'Project-Level Data'!B113</f>
        <v>Sustaining Healthy Tributaries to the Upper San Diego River and Protecting Local Water Supplies</v>
      </c>
      <c r="C168" s="475" t="str">
        <f>'Project-Level Data'!C113</f>
        <v>Watershed and Ecosystem Management</v>
      </c>
      <c r="D168" s="477"/>
      <c r="E168" s="381" t="str">
        <f>'Project-Level Data'!AY113</f>
        <v>No Response</v>
      </c>
    </row>
    <row r="169" spans="1:6" hidden="1" x14ac:dyDescent="0.25">
      <c r="A169" s="11"/>
      <c r="B169" s="227" t="str">
        <f>'Project-Level Data'!B115</f>
        <v>Sweetwater Reservoir Wetlands Habitat Recovery</v>
      </c>
      <c r="C169" s="475" t="str">
        <f>'Project-Level Data'!C115</f>
        <v>Watershed and Ecosystem Management</v>
      </c>
      <c r="D169" s="477"/>
      <c r="E169" s="381">
        <f>'Project-Level Data'!AY115</f>
        <v>5</v>
      </c>
    </row>
    <row r="170" spans="1:6" hidden="1" x14ac:dyDescent="0.25">
      <c r="A170" s="11"/>
      <c r="B170" s="227" t="str">
        <f>'Project-Level Data'!B117</f>
        <v>Sycamore Creek Restoration</v>
      </c>
      <c r="C170" s="475" t="str">
        <f>'Project-Level Data'!C117</f>
        <v>Watershed and Ecosystem Management</v>
      </c>
      <c r="D170" s="477"/>
      <c r="E170" s="381">
        <f>'Project-Level Data'!AY117</f>
        <v>3</v>
      </c>
    </row>
    <row r="171" spans="1:6" ht="15.75" hidden="1" thickBot="1" x14ac:dyDescent="0.3">
      <c r="A171" s="11"/>
      <c r="B171" s="228" t="str">
        <f>'Project-Level Data'!B120</f>
        <v>Tijuana River Floating Trash Capture System</v>
      </c>
      <c r="C171" s="590" t="str">
        <f>'Project-Level Data'!C120</f>
        <v>Watershed and Ecosystem Management</v>
      </c>
      <c r="D171" s="478"/>
      <c r="E171" s="385" t="str">
        <f>'Project-Level Data'!AY120</f>
        <v>No Response</v>
      </c>
    </row>
    <row r="172" spans="1:6" hidden="1" x14ac:dyDescent="0.25">
      <c r="A172" s="11"/>
      <c r="B172" s="370"/>
      <c r="C172" s="515" t="s">
        <v>855</v>
      </c>
      <c r="D172" s="515"/>
      <c r="E172" s="398">
        <f>COUNTIFS(E52:E171, "=MISSING")</f>
        <v>0</v>
      </c>
    </row>
    <row r="173" spans="1:6" hidden="1" x14ac:dyDescent="0.25">
      <c r="A173" s="11"/>
      <c r="B173" s="227"/>
      <c r="C173" s="516" t="s">
        <v>856</v>
      </c>
      <c r="D173" s="516"/>
      <c r="E173" s="381">
        <f>COUNTIFS(E52:E171, "=No Response")</f>
        <v>33</v>
      </c>
    </row>
    <row r="174" spans="1:6" hidden="1" x14ac:dyDescent="0.25">
      <c r="A174" s="11"/>
      <c r="B174" s="227"/>
      <c r="C174" s="516" t="s">
        <v>858</v>
      </c>
      <c r="D174" s="516"/>
      <c r="E174" s="381">
        <f>COUNTIFS(E52:E171, "=REMOVED")</f>
        <v>1</v>
      </c>
    </row>
    <row r="175" spans="1:6" ht="15.75" hidden="1" thickBot="1" x14ac:dyDescent="0.3">
      <c r="A175" s="11"/>
      <c r="B175" s="328"/>
      <c r="C175" s="517" t="s">
        <v>859</v>
      </c>
      <c r="D175" s="517"/>
      <c r="E175" s="385">
        <f>COUNTIFS(E52:E171, "&gt;0")</f>
        <v>86</v>
      </c>
    </row>
    <row r="176" spans="1:6" hidden="1" x14ac:dyDescent="0.25">
      <c r="A176" s="11"/>
      <c r="B176" s="11"/>
      <c r="C176" s="84"/>
      <c r="D176" s="84"/>
      <c r="F176" s="11"/>
    </row>
    <row r="177" spans="1:6" hidden="1" x14ac:dyDescent="0.25">
      <c r="A177" s="11"/>
      <c r="B177" s="1" t="s">
        <v>721</v>
      </c>
      <c r="F177" s="11"/>
    </row>
    <row r="178" spans="1:6" hidden="1" x14ac:dyDescent="0.25">
      <c r="A178" s="11"/>
      <c r="B178" s="800" t="s">
        <v>710</v>
      </c>
      <c r="C178" s="821" t="s">
        <v>6</v>
      </c>
      <c r="D178" s="821"/>
      <c r="E178" s="825" t="s">
        <v>257</v>
      </c>
      <c r="F178" s="243"/>
    </row>
    <row r="179" spans="1:6" ht="31.5" hidden="1" customHeight="1" thickBot="1" x14ac:dyDescent="0.3">
      <c r="A179" s="11"/>
      <c r="B179" s="801"/>
      <c r="C179" s="827"/>
      <c r="D179" s="827"/>
      <c r="E179" s="826"/>
      <c r="F179" s="231"/>
    </row>
    <row r="180" spans="1:6" hidden="1" x14ac:dyDescent="0.25">
      <c r="A180" s="11"/>
      <c r="B180" s="370" t="str">
        <f>'Economic Expert Workshop Data'!B3</f>
        <v>Participant 1</v>
      </c>
      <c r="C180" s="805" t="str">
        <f>'Economic Expert Workshop Data'!C3</f>
        <v>Conveyance Improvement</v>
      </c>
      <c r="D180" s="806"/>
      <c r="E180" s="377">
        <f>'Economic Expert Workshop Data'!D3</f>
        <v>4</v>
      </c>
      <c r="F180" s="240"/>
    </row>
    <row r="181" spans="1:6" hidden="1" x14ac:dyDescent="0.25">
      <c r="A181" s="11"/>
      <c r="B181" s="227" t="str">
        <f>'Economic Expert Workshop Data'!B4</f>
        <v>Participant 1</v>
      </c>
      <c r="C181" s="793" t="str">
        <f>'Economic Expert Workshop Data'!C4</f>
        <v>Drought Restriction/Allocation</v>
      </c>
      <c r="D181" s="794"/>
      <c r="E181" s="381">
        <f>'Economic Expert Workshop Data'!D4</f>
        <v>3</v>
      </c>
      <c r="F181" s="240"/>
    </row>
    <row r="182" spans="1:6" hidden="1" x14ac:dyDescent="0.25">
      <c r="A182" s="11"/>
      <c r="B182" s="227" t="str">
        <f>'Economic Expert Workshop Data'!B5</f>
        <v>Participant 1</v>
      </c>
      <c r="C182" s="793" t="str">
        <f>'Economic Expert Workshop Data'!C5</f>
        <v>Gray Water Use</v>
      </c>
      <c r="D182" s="794"/>
      <c r="E182" s="381">
        <f>'Economic Expert Workshop Data'!D5</f>
        <v>3</v>
      </c>
      <c r="F182" s="240"/>
    </row>
    <row r="183" spans="1:6" hidden="1" x14ac:dyDescent="0.25">
      <c r="A183" s="11"/>
      <c r="B183" s="227" t="str">
        <f>'Economic Expert Workshop Data'!B6</f>
        <v>Participant 1</v>
      </c>
      <c r="C183" s="793" t="str">
        <f>'Economic Expert Workshop Data'!C6</f>
        <v>Groundwater</v>
      </c>
      <c r="D183" s="794"/>
      <c r="E183" s="381">
        <f>'Economic Expert Workshop Data'!D6</f>
        <v>5</v>
      </c>
      <c r="F183" s="240"/>
    </row>
    <row r="184" spans="1:6" hidden="1" x14ac:dyDescent="0.25">
      <c r="A184" s="11"/>
      <c r="B184" s="227" t="str">
        <f>'Economic Expert Workshop Data'!B7</f>
        <v>Participant 1</v>
      </c>
      <c r="C184" s="793" t="str">
        <f>'Economic Expert Workshop Data'!C7</f>
        <v>Imported Water Purchases - Specific Project</v>
      </c>
      <c r="D184" s="794"/>
      <c r="E184" s="381">
        <f>'Economic Expert Workshop Data'!D7</f>
        <v>1</v>
      </c>
      <c r="F184" s="240"/>
    </row>
    <row r="185" spans="1:6" hidden="1" x14ac:dyDescent="0.25">
      <c r="A185" s="11"/>
      <c r="B185" s="227" t="str">
        <f>'Economic Expert Workshop Data'!B8</f>
        <v>Participant 1</v>
      </c>
      <c r="C185" s="793" t="str">
        <f>'Economic Expert Workshop Data'!C8</f>
        <v>Potable Reuse</v>
      </c>
      <c r="D185" s="794"/>
      <c r="E185" s="381">
        <f>'Economic Expert Workshop Data'!D8</f>
        <v>5</v>
      </c>
      <c r="F185" s="240"/>
    </row>
    <row r="186" spans="1:6" hidden="1" x14ac:dyDescent="0.25">
      <c r="A186" s="11"/>
      <c r="B186" s="227" t="str">
        <f>'Economic Expert Workshop Data'!B9</f>
        <v>Participant 1</v>
      </c>
      <c r="C186" s="793" t="str">
        <f>'Economic Expert Workshop Data'!C9</f>
        <v>Recycled Water</v>
      </c>
      <c r="D186" s="794"/>
      <c r="E186" s="381">
        <f>'Economic Expert Workshop Data'!D9</f>
        <v>5</v>
      </c>
      <c r="F186" s="240"/>
    </row>
    <row r="187" spans="1:6" hidden="1" x14ac:dyDescent="0.25">
      <c r="A187" s="11"/>
      <c r="B187" s="227" t="str">
        <f>'Economic Expert Workshop Data'!B10</f>
        <v>Participant 1</v>
      </c>
      <c r="C187" s="793" t="str">
        <f>'Economic Expert Workshop Data'!C10</f>
        <v>Seawater Desalination</v>
      </c>
      <c r="D187" s="794"/>
      <c r="E187" s="381">
        <f>'Economic Expert Workshop Data'!D10</f>
        <v>3</v>
      </c>
      <c r="F187" s="240"/>
    </row>
    <row r="188" spans="1:6" hidden="1" x14ac:dyDescent="0.25">
      <c r="A188" s="11"/>
      <c r="B188" s="227" t="str">
        <f>'Economic Expert Workshop Data'!B11</f>
        <v>Participant 1</v>
      </c>
      <c r="C188" s="793" t="str">
        <f>'Economic Expert Workshop Data'!C11</f>
        <v>Stormwater BMPs</v>
      </c>
      <c r="D188" s="794"/>
      <c r="E188" s="381">
        <f>'Economic Expert Workshop Data'!D11</f>
        <v>3</v>
      </c>
      <c r="F188" s="240"/>
    </row>
    <row r="189" spans="1:6" hidden="1" x14ac:dyDescent="0.25">
      <c r="A189" s="11"/>
      <c r="B189" s="227" t="str">
        <f>'Economic Expert Workshop Data'!B12</f>
        <v>Participant 1</v>
      </c>
      <c r="C189" s="793" t="str">
        <f>'Economic Expert Workshop Data'!C12</f>
        <v>Stormwater Capture</v>
      </c>
      <c r="D189" s="794"/>
      <c r="E189" s="381">
        <f>'Economic Expert Workshop Data'!D12</f>
        <v>3</v>
      </c>
      <c r="F189" s="240"/>
    </row>
    <row r="190" spans="1:6" hidden="1" x14ac:dyDescent="0.25">
      <c r="A190" s="11"/>
      <c r="B190" s="227" t="str">
        <f>'Economic Expert Workshop Data'!B13</f>
        <v>Participant 1</v>
      </c>
      <c r="C190" s="793" t="str">
        <f>'Economic Expert Workshop Data'!C13</f>
        <v>Urban and Agricultural Water Use Efficiency</v>
      </c>
      <c r="D190" s="794"/>
      <c r="E190" s="381">
        <f>'Economic Expert Workshop Data'!D13</f>
        <v>5</v>
      </c>
      <c r="F190" s="240"/>
    </row>
    <row r="191" spans="1:6" hidden="1" x14ac:dyDescent="0.25">
      <c r="A191" s="11"/>
      <c r="B191" s="227" t="str">
        <f>'Economic Expert Workshop Data'!B14</f>
        <v>Participant 1</v>
      </c>
      <c r="C191" s="793" t="str">
        <f>'Economic Expert Workshop Data'!C14</f>
        <v>Enhanced Conservation</v>
      </c>
      <c r="D191" s="794"/>
      <c r="E191" s="381">
        <f>'Economic Expert Workshop Data'!D14</f>
        <v>5</v>
      </c>
      <c r="F191" s="240"/>
    </row>
    <row r="192" spans="1:6" hidden="1" x14ac:dyDescent="0.25">
      <c r="A192" s="11"/>
      <c r="B192" s="227" t="str">
        <f>'Economic Expert Workshop Data'!B15</f>
        <v>Participant 1</v>
      </c>
      <c r="C192" s="793" t="str">
        <f>'Economic Expert Workshop Data'!C15</f>
        <v>Watershed and Ecosystem Management</v>
      </c>
      <c r="D192" s="794"/>
      <c r="E192" s="381">
        <f>'Economic Expert Workshop Data'!D15</f>
        <v>4</v>
      </c>
      <c r="F192" s="240"/>
    </row>
    <row r="193" spans="1:6" hidden="1" x14ac:dyDescent="0.25">
      <c r="A193" s="11"/>
      <c r="B193" s="227" t="str">
        <f>'Economic Expert Workshop Data'!B16</f>
        <v>Participant 1</v>
      </c>
      <c r="C193" s="793" t="str">
        <f>'Economic Expert Workshop Data'!C16</f>
        <v>Imported Water Purchases</v>
      </c>
      <c r="D193" s="794"/>
      <c r="E193" s="381">
        <f>'Economic Expert Workshop Data'!D16</f>
        <v>4</v>
      </c>
      <c r="F193" s="240"/>
    </row>
    <row r="194" spans="1:6" hidden="1" x14ac:dyDescent="0.25">
      <c r="A194" s="11"/>
      <c r="B194" s="227" t="str">
        <f>'Economic Expert Workshop Data'!B17</f>
        <v>Participant 2</v>
      </c>
      <c r="C194" s="793" t="str">
        <f>'Economic Expert Workshop Data'!C17</f>
        <v>Conveyance Improvement</v>
      </c>
      <c r="D194" s="794"/>
      <c r="E194" s="381">
        <f>'Economic Expert Workshop Data'!D17</f>
        <v>3</v>
      </c>
      <c r="F194" s="240"/>
    </row>
    <row r="195" spans="1:6" hidden="1" x14ac:dyDescent="0.25">
      <c r="A195" s="11"/>
      <c r="B195" s="227" t="str">
        <f>'Economic Expert Workshop Data'!B18</f>
        <v>Participant 2</v>
      </c>
      <c r="C195" s="793" t="str">
        <f>'Economic Expert Workshop Data'!C18</f>
        <v>Drought Restriction/Allocation</v>
      </c>
      <c r="D195" s="794"/>
      <c r="E195" s="381">
        <f>'Economic Expert Workshop Data'!D18</f>
        <v>1</v>
      </c>
      <c r="F195" s="240"/>
    </row>
    <row r="196" spans="1:6" hidden="1" x14ac:dyDescent="0.25">
      <c r="A196" s="11"/>
      <c r="B196" s="227" t="str">
        <f>'Economic Expert Workshop Data'!B19</f>
        <v>Participant 2</v>
      </c>
      <c r="C196" s="793" t="str">
        <f>'Economic Expert Workshop Data'!C19</f>
        <v>Gray Water Use</v>
      </c>
      <c r="D196" s="794"/>
      <c r="E196" s="381">
        <f>'Economic Expert Workshop Data'!D19</f>
        <v>3</v>
      </c>
      <c r="F196" s="240"/>
    </row>
    <row r="197" spans="1:6" hidden="1" x14ac:dyDescent="0.25">
      <c r="A197" s="11"/>
      <c r="B197" s="227" t="str">
        <f>'Economic Expert Workshop Data'!B20</f>
        <v>Participant 2</v>
      </c>
      <c r="C197" s="793" t="str">
        <f>'Economic Expert Workshop Data'!C20</f>
        <v>Groundwater</v>
      </c>
      <c r="D197" s="794"/>
      <c r="E197" s="381">
        <f>'Economic Expert Workshop Data'!D20</f>
        <v>4</v>
      </c>
      <c r="F197" s="240"/>
    </row>
    <row r="198" spans="1:6" hidden="1" x14ac:dyDescent="0.25">
      <c r="A198" s="11"/>
      <c r="B198" s="227" t="str">
        <f>'Economic Expert Workshop Data'!B21</f>
        <v>Participant 2</v>
      </c>
      <c r="C198" s="793" t="str">
        <f>'Economic Expert Workshop Data'!C21</f>
        <v>Imported Water Purchases - Specific Project</v>
      </c>
      <c r="D198" s="794"/>
      <c r="E198" s="381">
        <f>'Economic Expert Workshop Data'!D21</f>
        <v>1</v>
      </c>
      <c r="F198" s="240"/>
    </row>
    <row r="199" spans="1:6" hidden="1" x14ac:dyDescent="0.25">
      <c r="A199" s="11"/>
      <c r="B199" s="227" t="str">
        <f>'Economic Expert Workshop Data'!B22</f>
        <v>Participant 2</v>
      </c>
      <c r="C199" s="793" t="str">
        <f>'Economic Expert Workshop Data'!C22</f>
        <v>Potable Reuse</v>
      </c>
      <c r="D199" s="794"/>
      <c r="E199" s="381">
        <f>'Economic Expert Workshop Data'!D22</f>
        <v>5</v>
      </c>
      <c r="F199" s="240"/>
    </row>
    <row r="200" spans="1:6" hidden="1" x14ac:dyDescent="0.25">
      <c r="A200" s="11"/>
      <c r="B200" s="227" t="str">
        <f>'Economic Expert Workshop Data'!B23</f>
        <v>Participant 2</v>
      </c>
      <c r="C200" s="793" t="str">
        <f>'Economic Expert Workshop Data'!C23</f>
        <v>Recycled Water</v>
      </c>
      <c r="D200" s="794"/>
      <c r="E200" s="381">
        <f>'Economic Expert Workshop Data'!D23</f>
        <v>4</v>
      </c>
      <c r="F200" s="240"/>
    </row>
    <row r="201" spans="1:6" hidden="1" x14ac:dyDescent="0.25">
      <c r="A201" s="11"/>
      <c r="B201" s="227" t="str">
        <f>'Economic Expert Workshop Data'!B24</f>
        <v>Participant 2</v>
      </c>
      <c r="C201" s="793" t="str">
        <f>'Economic Expert Workshop Data'!C24</f>
        <v>Seawater Desalination</v>
      </c>
      <c r="D201" s="794"/>
      <c r="E201" s="381">
        <f>'Economic Expert Workshop Data'!D24</f>
        <v>3</v>
      </c>
      <c r="F201" s="240"/>
    </row>
    <row r="202" spans="1:6" hidden="1" x14ac:dyDescent="0.25">
      <c r="A202" s="11"/>
      <c r="B202" s="227" t="str">
        <f>'Economic Expert Workshop Data'!B25</f>
        <v>Participant 2</v>
      </c>
      <c r="C202" s="793" t="str">
        <f>'Economic Expert Workshop Data'!C25</f>
        <v>Stormwater BMPs</v>
      </c>
      <c r="D202" s="794"/>
      <c r="E202" s="381">
        <f>'Economic Expert Workshop Data'!D25</f>
        <v>3</v>
      </c>
      <c r="F202" s="240"/>
    </row>
    <row r="203" spans="1:6" hidden="1" x14ac:dyDescent="0.25">
      <c r="A203" s="11"/>
      <c r="B203" s="227" t="str">
        <f>'Economic Expert Workshop Data'!B26</f>
        <v>Participant 2</v>
      </c>
      <c r="C203" s="793" t="str">
        <f>'Economic Expert Workshop Data'!C26</f>
        <v>Stormwater Capture</v>
      </c>
      <c r="D203" s="794"/>
      <c r="E203" s="381">
        <f>'Economic Expert Workshop Data'!D26</f>
        <v>3</v>
      </c>
      <c r="F203" s="240"/>
    </row>
    <row r="204" spans="1:6" hidden="1" x14ac:dyDescent="0.25">
      <c r="A204" s="11"/>
      <c r="B204" s="227" t="str">
        <f>'Economic Expert Workshop Data'!B27</f>
        <v>Participant 2</v>
      </c>
      <c r="C204" s="793" t="str">
        <f>'Economic Expert Workshop Data'!C27</f>
        <v>Urban and Agricultural Water Use Efficiency</v>
      </c>
      <c r="D204" s="794"/>
      <c r="E204" s="381">
        <f>'Economic Expert Workshop Data'!D27</f>
        <v>3</v>
      </c>
      <c r="F204" s="240"/>
    </row>
    <row r="205" spans="1:6" hidden="1" x14ac:dyDescent="0.25">
      <c r="A205" s="11"/>
      <c r="B205" s="227" t="str">
        <f>'Economic Expert Workshop Data'!B28</f>
        <v>Participant 2</v>
      </c>
      <c r="C205" s="793" t="str">
        <f>'Economic Expert Workshop Data'!C28</f>
        <v>Enhanced Conservation</v>
      </c>
      <c r="D205" s="794"/>
      <c r="E205" s="381">
        <f>'Economic Expert Workshop Data'!D28</f>
        <v>3</v>
      </c>
      <c r="F205" s="240"/>
    </row>
    <row r="206" spans="1:6" hidden="1" x14ac:dyDescent="0.25">
      <c r="A206" s="11"/>
      <c r="B206" s="227" t="str">
        <f>'Economic Expert Workshop Data'!B29</f>
        <v>Participant 2</v>
      </c>
      <c r="C206" s="793" t="str">
        <f>'Economic Expert Workshop Data'!C29</f>
        <v>Watershed and Ecosystem Management</v>
      </c>
      <c r="D206" s="794"/>
      <c r="E206" s="381">
        <f>'Economic Expert Workshop Data'!D29</f>
        <v>5</v>
      </c>
      <c r="F206" s="240"/>
    </row>
    <row r="207" spans="1:6" hidden="1" x14ac:dyDescent="0.25">
      <c r="A207" s="11"/>
      <c r="B207" s="227" t="str">
        <f>'Economic Expert Workshop Data'!B30</f>
        <v>Participant 2</v>
      </c>
      <c r="C207" s="793" t="str">
        <f>'Economic Expert Workshop Data'!C30</f>
        <v>Imported Water Purchases</v>
      </c>
      <c r="D207" s="794"/>
      <c r="E207" s="381">
        <f>'Economic Expert Workshop Data'!D30</f>
        <v>3</v>
      </c>
      <c r="F207" s="240"/>
    </row>
    <row r="208" spans="1:6" hidden="1" x14ac:dyDescent="0.25">
      <c r="A208" s="11"/>
      <c r="B208" s="227" t="str">
        <f>'Economic Expert Workshop Data'!B31</f>
        <v>Participant 3</v>
      </c>
      <c r="C208" s="793" t="str">
        <f>'Economic Expert Workshop Data'!C31</f>
        <v>Conveyance Improvement</v>
      </c>
      <c r="D208" s="794"/>
      <c r="E208" s="381">
        <f>'Economic Expert Workshop Data'!D31</f>
        <v>4</v>
      </c>
      <c r="F208" s="240"/>
    </row>
    <row r="209" spans="1:6" hidden="1" x14ac:dyDescent="0.25">
      <c r="A209" s="11"/>
      <c r="B209" s="227" t="str">
        <f>'Economic Expert Workshop Data'!B32</f>
        <v>Participant 3</v>
      </c>
      <c r="C209" s="793" t="str">
        <f>'Economic Expert Workshop Data'!C32</f>
        <v>Drought Restriction/Allocation</v>
      </c>
      <c r="D209" s="794"/>
      <c r="E209" s="381">
        <f>'Economic Expert Workshop Data'!D32</f>
        <v>1</v>
      </c>
      <c r="F209" s="240"/>
    </row>
    <row r="210" spans="1:6" hidden="1" x14ac:dyDescent="0.25">
      <c r="A210" s="11"/>
      <c r="B210" s="227" t="str">
        <f>'Economic Expert Workshop Data'!B33</f>
        <v>Participant 3</v>
      </c>
      <c r="C210" s="793" t="str">
        <f>'Economic Expert Workshop Data'!C33</f>
        <v>Gray Water Use</v>
      </c>
      <c r="D210" s="794"/>
      <c r="E210" s="381">
        <f>'Economic Expert Workshop Data'!D33</f>
        <v>3</v>
      </c>
      <c r="F210" s="240"/>
    </row>
    <row r="211" spans="1:6" hidden="1" x14ac:dyDescent="0.25">
      <c r="A211" s="11"/>
      <c r="B211" s="227" t="str">
        <f>'Economic Expert Workshop Data'!B34</f>
        <v>Participant 3</v>
      </c>
      <c r="C211" s="793" t="str">
        <f>'Economic Expert Workshop Data'!C34</f>
        <v>Groundwater</v>
      </c>
      <c r="D211" s="794"/>
      <c r="E211" s="381">
        <f>'Economic Expert Workshop Data'!D34</f>
        <v>4</v>
      </c>
      <c r="F211" s="240"/>
    </row>
    <row r="212" spans="1:6" hidden="1" x14ac:dyDescent="0.25">
      <c r="A212" s="11"/>
      <c r="B212" s="227" t="str">
        <f>'Economic Expert Workshop Data'!B35</f>
        <v>Participant 3</v>
      </c>
      <c r="C212" s="793" t="str">
        <f>'Economic Expert Workshop Data'!C35</f>
        <v>Imported Water Purchases - Specific Project</v>
      </c>
      <c r="D212" s="794"/>
      <c r="E212" s="381">
        <f>'Economic Expert Workshop Data'!D35</f>
        <v>2</v>
      </c>
      <c r="F212" s="240"/>
    </row>
    <row r="213" spans="1:6" hidden="1" x14ac:dyDescent="0.25">
      <c r="A213" s="11"/>
      <c r="B213" s="227" t="str">
        <f>'Economic Expert Workshop Data'!B36</f>
        <v>Participant 3</v>
      </c>
      <c r="C213" s="793" t="str">
        <f>'Economic Expert Workshop Data'!C36</f>
        <v>Potable Reuse</v>
      </c>
      <c r="D213" s="794"/>
      <c r="E213" s="381">
        <f>'Economic Expert Workshop Data'!D36</f>
        <v>5</v>
      </c>
      <c r="F213" s="240"/>
    </row>
    <row r="214" spans="1:6" hidden="1" x14ac:dyDescent="0.25">
      <c r="B214" s="227" t="str">
        <f>'Economic Expert Workshop Data'!B37</f>
        <v>Participant 3</v>
      </c>
      <c r="C214" s="793" t="str">
        <f>'Economic Expert Workshop Data'!C37</f>
        <v>Recycled Water</v>
      </c>
      <c r="D214" s="794"/>
      <c r="E214" s="381">
        <f>'Economic Expert Workshop Data'!D37</f>
        <v>5</v>
      </c>
      <c r="F214" s="240"/>
    </row>
    <row r="215" spans="1:6" hidden="1" x14ac:dyDescent="0.25">
      <c r="B215" s="227" t="str">
        <f>'Economic Expert Workshop Data'!B38</f>
        <v>Participant 3</v>
      </c>
      <c r="C215" s="793" t="str">
        <f>'Economic Expert Workshop Data'!C38</f>
        <v>Seawater Desalination</v>
      </c>
      <c r="D215" s="794"/>
      <c r="E215" s="381">
        <f>'Economic Expert Workshop Data'!D38</f>
        <v>4</v>
      </c>
      <c r="F215" s="240"/>
    </row>
    <row r="216" spans="1:6" hidden="1" x14ac:dyDescent="0.25">
      <c r="B216" s="227" t="str">
        <f>'Economic Expert Workshop Data'!B39</f>
        <v>Participant 3</v>
      </c>
      <c r="C216" s="793" t="str">
        <f>'Economic Expert Workshop Data'!C39</f>
        <v>Stormwater BMPs</v>
      </c>
      <c r="D216" s="794"/>
      <c r="E216" s="381">
        <f>'Economic Expert Workshop Data'!D39</f>
        <v>3</v>
      </c>
      <c r="F216" s="240"/>
    </row>
    <row r="217" spans="1:6" hidden="1" x14ac:dyDescent="0.25">
      <c r="B217" s="227" t="str">
        <f>'Economic Expert Workshop Data'!B40</f>
        <v>Participant 3</v>
      </c>
      <c r="C217" s="793" t="str">
        <f>'Economic Expert Workshop Data'!C40</f>
        <v>Stormwater Capture</v>
      </c>
      <c r="D217" s="794"/>
      <c r="E217" s="381">
        <f>'Economic Expert Workshop Data'!D40</f>
        <v>4</v>
      </c>
      <c r="F217" s="240"/>
    </row>
    <row r="218" spans="1:6" hidden="1" x14ac:dyDescent="0.25">
      <c r="B218" s="227" t="str">
        <f>'Economic Expert Workshop Data'!B41</f>
        <v>Participant 3</v>
      </c>
      <c r="C218" s="793" t="str">
        <f>'Economic Expert Workshop Data'!C41</f>
        <v>Urban and Agricultural Water Use Efficiency</v>
      </c>
      <c r="D218" s="794"/>
      <c r="E218" s="381">
        <f>'Economic Expert Workshop Data'!D41</f>
        <v>4</v>
      </c>
      <c r="F218" s="240"/>
    </row>
    <row r="219" spans="1:6" hidden="1" x14ac:dyDescent="0.25">
      <c r="B219" s="227" t="str">
        <f>'Economic Expert Workshop Data'!B42</f>
        <v>Participant 3</v>
      </c>
      <c r="C219" s="793" t="str">
        <f>'Economic Expert Workshop Data'!C42</f>
        <v>Enhanced Conservation</v>
      </c>
      <c r="D219" s="794"/>
      <c r="E219" s="381">
        <f>'Economic Expert Workshop Data'!D42</f>
        <v>1</v>
      </c>
      <c r="F219" s="240"/>
    </row>
    <row r="220" spans="1:6" hidden="1" x14ac:dyDescent="0.25">
      <c r="B220" s="227" t="str">
        <f>'Economic Expert Workshop Data'!B43</f>
        <v>Participant 3</v>
      </c>
      <c r="C220" s="793" t="str">
        <f>'Economic Expert Workshop Data'!C43</f>
        <v>Watershed and Ecosystem Management</v>
      </c>
      <c r="D220" s="794"/>
      <c r="E220" s="381">
        <f>'Economic Expert Workshop Data'!D43</f>
        <v>5</v>
      </c>
      <c r="F220" s="240"/>
    </row>
    <row r="221" spans="1:6" hidden="1" x14ac:dyDescent="0.25">
      <c r="B221" s="227" t="str">
        <f>'Economic Expert Workshop Data'!B44</f>
        <v>Participant 3</v>
      </c>
      <c r="C221" s="793" t="str">
        <f>'Economic Expert Workshop Data'!C44</f>
        <v>Imported Water Purchases</v>
      </c>
      <c r="D221" s="794"/>
      <c r="E221" s="381">
        <f>'Economic Expert Workshop Data'!D44</f>
        <v>2</v>
      </c>
      <c r="F221" s="240"/>
    </row>
    <row r="222" spans="1:6" hidden="1" x14ac:dyDescent="0.25">
      <c r="B222" s="227" t="str">
        <f>'Economic Expert Workshop Data'!B45</f>
        <v>Participant 4</v>
      </c>
      <c r="C222" s="793" t="str">
        <f>'Economic Expert Workshop Data'!C45</f>
        <v>Conveyance Improvement</v>
      </c>
      <c r="D222" s="794"/>
      <c r="E222" s="381">
        <f>'Economic Expert Workshop Data'!D45</f>
        <v>3.5</v>
      </c>
      <c r="F222" s="240"/>
    </row>
    <row r="223" spans="1:6" hidden="1" x14ac:dyDescent="0.25">
      <c r="B223" s="227" t="str">
        <f>'Economic Expert Workshop Data'!B46</f>
        <v>Participant 4</v>
      </c>
      <c r="C223" s="793" t="str">
        <f>'Economic Expert Workshop Data'!C46</f>
        <v>Drought Restriction/Allocation</v>
      </c>
      <c r="D223" s="794"/>
      <c r="E223" s="381">
        <f>'Economic Expert Workshop Data'!D46</f>
        <v>1</v>
      </c>
      <c r="F223" s="240"/>
    </row>
    <row r="224" spans="1:6" hidden="1" x14ac:dyDescent="0.25">
      <c r="B224" s="227" t="str">
        <f>'Economic Expert Workshop Data'!B47</f>
        <v>Participant 4</v>
      </c>
      <c r="C224" s="793" t="str">
        <f>'Economic Expert Workshop Data'!C47</f>
        <v>Gray Water Use</v>
      </c>
      <c r="D224" s="794"/>
      <c r="E224" s="381">
        <f>'Economic Expert Workshop Data'!D47</f>
        <v>4</v>
      </c>
      <c r="F224" s="240"/>
    </row>
    <row r="225" spans="2:6" hidden="1" x14ac:dyDescent="0.25">
      <c r="B225" s="227" t="str">
        <f>'Economic Expert Workshop Data'!B48</f>
        <v>Participant 4</v>
      </c>
      <c r="C225" s="793" t="str">
        <f>'Economic Expert Workshop Data'!C48</f>
        <v>Groundwater</v>
      </c>
      <c r="D225" s="794"/>
      <c r="E225" s="381">
        <f>'Economic Expert Workshop Data'!D48</f>
        <v>5</v>
      </c>
      <c r="F225" s="240"/>
    </row>
    <row r="226" spans="2:6" hidden="1" x14ac:dyDescent="0.25">
      <c r="B226" s="227" t="str">
        <f>'Economic Expert Workshop Data'!B49</f>
        <v>Participant 4</v>
      </c>
      <c r="C226" s="793" t="str">
        <f>'Economic Expert Workshop Data'!C49</f>
        <v>Imported Water Purchases - Specific Project</v>
      </c>
      <c r="D226" s="794"/>
      <c r="E226" s="381">
        <f>'Economic Expert Workshop Data'!D49</f>
        <v>1</v>
      </c>
      <c r="F226" s="240"/>
    </row>
    <row r="227" spans="2:6" hidden="1" x14ac:dyDescent="0.25">
      <c r="B227" s="227" t="str">
        <f>'Economic Expert Workshop Data'!B50</f>
        <v>Participant 4</v>
      </c>
      <c r="C227" s="793" t="str">
        <f>'Economic Expert Workshop Data'!C50</f>
        <v>Potable Reuse</v>
      </c>
      <c r="D227" s="794"/>
      <c r="E227" s="381">
        <f>'Economic Expert Workshop Data'!D50</f>
        <v>5</v>
      </c>
      <c r="F227" s="240"/>
    </row>
    <row r="228" spans="2:6" hidden="1" x14ac:dyDescent="0.25">
      <c r="B228" s="227" t="str">
        <f>'Economic Expert Workshop Data'!B51</f>
        <v>Participant 4</v>
      </c>
      <c r="C228" s="793" t="str">
        <f>'Economic Expert Workshop Data'!C51</f>
        <v>Recycled Water</v>
      </c>
      <c r="D228" s="794"/>
      <c r="E228" s="381">
        <f>'Economic Expert Workshop Data'!D51</f>
        <v>5</v>
      </c>
      <c r="F228" s="240"/>
    </row>
    <row r="229" spans="2:6" hidden="1" x14ac:dyDescent="0.25">
      <c r="B229" s="227" t="str">
        <f>'Economic Expert Workshop Data'!B52</f>
        <v>Participant 4</v>
      </c>
      <c r="C229" s="793" t="str">
        <f>'Economic Expert Workshop Data'!C52</f>
        <v>Seawater Desalination</v>
      </c>
      <c r="D229" s="794"/>
      <c r="E229" s="381">
        <f>'Economic Expert Workshop Data'!D52</f>
        <v>4</v>
      </c>
      <c r="F229" s="240"/>
    </row>
    <row r="230" spans="2:6" hidden="1" x14ac:dyDescent="0.25">
      <c r="B230" s="227" t="str">
        <f>'Economic Expert Workshop Data'!B53</f>
        <v>Participant 4</v>
      </c>
      <c r="C230" s="793" t="str">
        <f>'Economic Expert Workshop Data'!C53</f>
        <v>Stormwater BMPs</v>
      </c>
      <c r="D230" s="794"/>
      <c r="E230" s="381">
        <f>'Economic Expert Workshop Data'!D53</f>
        <v>3</v>
      </c>
      <c r="F230" s="240"/>
    </row>
    <row r="231" spans="2:6" hidden="1" x14ac:dyDescent="0.25">
      <c r="B231" s="227" t="str">
        <f>'Economic Expert Workshop Data'!B54</f>
        <v>Participant 4</v>
      </c>
      <c r="C231" s="793" t="str">
        <f>'Economic Expert Workshop Data'!C54</f>
        <v>Stormwater Capture</v>
      </c>
      <c r="D231" s="794"/>
      <c r="E231" s="381">
        <f>'Economic Expert Workshop Data'!D54</f>
        <v>4</v>
      </c>
      <c r="F231" s="240"/>
    </row>
    <row r="232" spans="2:6" hidden="1" x14ac:dyDescent="0.25">
      <c r="B232" s="227" t="str">
        <f>'Economic Expert Workshop Data'!B55</f>
        <v>Participant 4</v>
      </c>
      <c r="C232" s="793" t="str">
        <f>'Economic Expert Workshop Data'!C55</f>
        <v>Urban and Agricultural Water Use Efficiency</v>
      </c>
      <c r="D232" s="794"/>
      <c r="E232" s="381">
        <f>'Economic Expert Workshop Data'!D55</f>
        <v>2</v>
      </c>
      <c r="F232" s="240"/>
    </row>
    <row r="233" spans="2:6" hidden="1" x14ac:dyDescent="0.25">
      <c r="B233" s="227" t="str">
        <f>'Economic Expert Workshop Data'!B56</f>
        <v>Participant 4</v>
      </c>
      <c r="C233" s="793" t="str">
        <f>'Economic Expert Workshop Data'!C56</f>
        <v>Enhanced Conservation</v>
      </c>
      <c r="D233" s="794"/>
      <c r="E233" s="381">
        <f>'Economic Expert Workshop Data'!D56</f>
        <v>2</v>
      </c>
      <c r="F233" s="240"/>
    </row>
    <row r="234" spans="2:6" hidden="1" x14ac:dyDescent="0.25">
      <c r="B234" s="227" t="str">
        <f>'Economic Expert Workshop Data'!B57</f>
        <v>Participant 4</v>
      </c>
      <c r="C234" s="793" t="str">
        <f>'Economic Expert Workshop Data'!C57</f>
        <v>Watershed and Ecosystem Management</v>
      </c>
      <c r="D234" s="794"/>
      <c r="E234" s="381">
        <f>'Economic Expert Workshop Data'!D57</f>
        <v>1</v>
      </c>
      <c r="F234" s="240"/>
    </row>
    <row r="235" spans="2:6" hidden="1" x14ac:dyDescent="0.25">
      <c r="B235" s="227" t="str">
        <f>'Economic Expert Workshop Data'!B58</f>
        <v>Participant 4</v>
      </c>
      <c r="C235" s="793" t="str">
        <f>'Economic Expert Workshop Data'!C58</f>
        <v>Imported Water Purchases</v>
      </c>
      <c r="D235" s="794"/>
      <c r="E235" s="381">
        <f>'Economic Expert Workshop Data'!D58</f>
        <v>1</v>
      </c>
      <c r="F235" s="240"/>
    </row>
    <row r="236" spans="2:6" hidden="1" x14ac:dyDescent="0.25">
      <c r="B236" s="227" t="str">
        <f>'Economic Expert Workshop Data'!B59</f>
        <v>Participant 5</v>
      </c>
      <c r="C236" s="793" t="str">
        <f>'Economic Expert Workshop Data'!C59</f>
        <v>Conveyance Improvement</v>
      </c>
      <c r="D236" s="794"/>
      <c r="E236" s="381">
        <f>'Economic Expert Workshop Data'!D59</f>
        <v>4</v>
      </c>
      <c r="F236" s="240"/>
    </row>
    <row r="237" spans="2:6" hidden="1" x14ac:dyDescent="0.25">
      <c r="B237" s="227" t="str">
        <f>'Economic Expert Workshop Data'!B60</f>
        <v>Participant 5</v>
      </c>
      <c r="C237" s="793" t="str">
        <f>'Economic Expert Workshop Data'!C60</f>
        <v>Drought Restriction/Allocation</v>
      </c>
      <c r="D237" s="794"/>
      <c r="E237" s="381">
        <f>'Economic Expert Workshop Data'!D60</f>
        <v>1.5</v>
      </c>
      <c r="F237" s="240"/>
    </row>
    <row r="238" spans="2:6" hidden="1" x14ac:dyDescent="0.25">
      <c r="B238" s="227" t="str">
        <f>'Economic Expert Workshop Data'!B61</f>
        <v>Participant 5</v>
      </c>
      <c r="C238" s="793" t="str">
        <f>'Economic Expert Workshop Data'!C61</f>
        <v>Gray Water Use</v>
      </c>
      <c r="D238" s="794"/>
      <c r="E238" s="381">
        <f>'Economic Expert Workshop Data'!D61</f>
        <v>3</v>
      </c>
      <c r="F238" s="240"/>
    </row>
    <row r="239" spans="2:6" hidden="1" x14ac:dyDescent="0.25">
      <c r="B239" s="227" t="str">
        <f>'Economic Expert Workshop Data'!B62</f>
        <v>Participant 5</v>
      </c>
      <c r="C239" s="793" t="str">
        <f>'Economic Expert Workshop Data'!C62</f>
        <v>Groundwater</v>
      </c>
      <c r="D239" s="794"/>
      <c r="E239" s="381">
        <f>'Economic Expert Workshop Data'!D62</f>
        <v>5</v>
      </c>
      <c r="F239" s="240"/>
    </row>
    <row r="240" spans="2:6" hidden="1" x14ac:dyDescent="0.25">
      <c r="B240" s="227" t="str">
        <f>'Economic Expert Workshop Data'!B63</f>
        <v>Participant 5</v>
      </c>
      <c r="C240" s="793" t="str">
        <f>'Economic Expert Workshop Data'!C63</f>
        <v>Imported Water Purchases - Specific Project</v>
      </c>
      <c r="D240" s="794"/>
      <c r="E240" s="381">
        <f>'Economic Expert Workshop Data'!D63</f>
        <v>3</v>
      </c>
      <c r="F240" s="240"/>
    </row>
    <row r="241" spans="2:6" hidden="1" x14ac:dyDescent="0.25">
      <c r="B241" s="227" t="str">
        <f>'Economic Expert Workshop Data'!B64</f>
        <v>Participant 5</v>
      </c>
      <c r="C241" s="793" t="str">
        <f>'Economic Expert Workshop Data'!C64</f>
        <v>Potable Reuse</v>
      </c>
      <c r="D241" s="794"/>
      <c r="E241" s="381">
        <f>'Economic Expert Workshop Data'!D64</f>
        <v>5</v>
      </c>
      <c r="F241" s="240"/>
    </row>
    <row r="242" spans="2:6" hidden="1" x14ac:dyDescent="0.25">
      <c r="B242" s="227" t="str">
        <f>'Economic Expert Workshop Data'!B65</f>
        <v>Participant 5</v>
      </c>
      <c r="C242" s="793" t="str">
        <f>'Economic Expert Workshop Data'!C65</f>
        <v>Recycled Water</v>
      </c>
      <c r="D242" s="794"/>
      <c r="E242" s="381">
        <f>'Economic Expert Workshop Data'!D65</f>
        <v>5</v>
      </c>
      <c r="F242" s="240"/>
    </row>
    <row r="243" spans="2:6" hidden="1" x14ac:dyDescent="0.25">
      <c r="B243" s="227" t="str">
        <f>'Economic Expert Workshop Data'!B66</f>
        <v>Participant 5</v>
      </c>
      <c r="C243" s="793" t="str">
        <f>'Economic Expert Workshop Data'!C66</f>
        <v>Seawater Desalination</v>
      </c>
      <c r="D243" s="794"/>
      <c r="E243" s="381">
        <f>'Economic Expert Workshop Data'!D66</f>
        <v>3.5</v>
      </c>
      <c r="F243" s="240"/>
    </row>
    <row r="244" spans="2:6" hidden="1" x14ac:dyDescent="0.25">
      <c r="B244" s="227" t="str">
        <f>'Economic Expert Workshop Data'!B67</f>
        <v>Participant 5</v>
      </c>
      <c r="C244" s="793" t="str">
        <f>'Economic Expert Workshop Data'!C67</f>
        <v>Stormwater BMPs</v>
      </c>
      <c r="D244" s="794"/>
      <c r="E244" s="381">
        <f>'Economic Expert Workshop Data'!D67</f>
        <v>3.5</v>
      </c>
      <c r="F244" s="240"/>
    </row>
    <row r="245" spans="2:6" hidden="1" x14ac:dyDescent="0.25">
      <c r="B245" s="227" t="str">
        <f>'Economic Expert Workshop Data'!B68</f>
        <v>Participant 5</v>
      </c>
      <c r="C245" s="793" t="str">
        <f>'Economic Expert Workshop Data'!C68</f>
        <v>Stormwater Capture</v>
      </c>
      <c r="D245" s="794"/>
      <c r="E245" s="381">
        <f>'Economic Expert Workshop Data'!D68</f>
        <v>4</v>
      </c>
      <c r="F245" s="240"/>
    </row>
    <row r="246" spans="2:6" hidden="1" x14ac:dyDescent="0.25">
      <c r="B246" s="227" t="str">
        <f>'Economic Expert Workshop Data'!B69</f>
        <v>Participant 5</v>
      </c>
      <c r="C246" s="793" t="str">
        <f>'Economic Expert Workshop Data'!C69</f>
        <v>Urban and Agricultural Water Use Efficiency</v>
      </c>
      <c r="D246" s="794"/>
      <c r="E246" s="381">
        <f>'Economic Expert Workshop Data'!D69</f>
        <v>3</v>
      </c>
      <c r="F246" s="240"/>
    </row>
    <row r="247" spans="2:6" hidden="1" x14ac:dyDescent="0.25">
      <c r="B247" s="227" t="str">
        <f>'Economic Expert Workshop Data'!B70</f>
        <v>Participant 5</v>
      </c>
      <c r="C247" s="793" t="str">
        <f>'Economic Expert Workshop Data'!C70</f>
        <v>Enhanced Conservation</v>
      </c>
      <c r="D247" s="794"/>
      <c r="E247" s="381">
        <f>'Economic Expert Workshop Data'!D70</f>
        <v>2</v>
      </c>
      <c r="F247" s="240"/>
    </row>
    <row r="248" spans="2:6" hidden="1" x14ac:dyDescent="0.25">
      <c r="B248" s="227" t="str">
        <f>'Economic Expert Workshop Data'!B71</f>
        <v>Participant 5</v>
      </c>
      <c r="C248" s="793" t="str">
        <f>'Economic Expert Workshop Data'!C71</f>
        <v>Watershed and Ecosystem Management</v>
      </c>
      <c r="D248" s="794"/>
      <c r="E248" s="381">
        <f>'Economic Expert Workshop Data'!D71</f>
        <v>4</v>
      </c>
      <c r="F248" s="240"/>
    </row>
    <row r="249" spans="2:6" ht="15.75" hidden="1" thickBot="1" x14ac:dyDescent="0.3">
      <c r="B249" s="228" t="str">
        <f>'Economic Expert Workshop Data'!B72</f>
        <v>Participant 5</v>
      </c>
      <c r="C249" s="791" t="str">
        <f>'Economic Expert Workshop Data'!C72</f>
        <v>Imported Water Purchases</v>
      </c>
      <c r="D249" s="792"/>
      <c r="E249" s="385">
        <f>'Economic Expert Workshop Data'!D72</f>
        <v>4</v>
      </c>
      <c r="F249" s="240"/>
    </row>
    <row r="250" spans="2:6" hidden="1" x14ac:dyDescent="0.25">
      <c r="B250" s="548"/>
      <c r="C250" s="515" t="s">
        <v>855</v>
      </c>
      <c r="D250" s="515"/>
      <c r="E250" s="485">
        <f>COUNTIFS(E180:E249, "=MISSING")</f>
        <v>0</v>
      </c>
    </row>
    <row r="251" spans="2:6" hidden="1" x14ac:dyDescent="0.25">
      <c r="B251" s="549"/>
      <c r="C251" s="516" t="s">
        <v>856</v>
      </c>
      <c r="D251" s="516"/>
      <c r="E251" s="378">
        <f>COUNTIFS(E180:E249, "=No Response")</f>
        <v>0</v>
      </c>
    </row>
    <row r="252" spans="2:6" hidden="1" x14ac:dyDescent="0.25">
      <c r="B252" s="549"/>
      <c r="C252" s="516" t="s">
        <v>858</v>
      </c>
      <c r="D252" s="516"/>
      <c r="E252" s="378">
        <f>COUNTIFS(E180:E249, "=REMOVED")</f>
        <v>0</v>
      </c>
    </row>
    <row r="253" spans="2:6" ht="15.75" hidden="1" thickBot="1" x14ac:dyDescent="0.3">
      <c r="B253" s="550"/>
      <c r="C253" s="517" t="s">
        <v>859</v>
      </c>
      <c r="D253" s="517"/>
      <c r="E253" s="382">
        <f>COUNTIFS(E180:E249, "&gt;0")</f>
        <v>70</v>
      </c>
    </row>
    <row r="254" spans="2:6" hidden="1" x14ac:dyDescent="0.25">
      <c r="B254" s="256"/>
      <c r="C254" s="824"/>
      <c r="D254" s="824"/>
    </row>
    <row r="255" spans="2:6" x14ac:dyDescent="0.25">
      <c r="B255" s="256"/>
      <c r="C255" s="824"/>
      <c r="D255" s="824"/>
    </row>
    <row r="256" spans="2:6" x14ac:dyDescent="0.25">
      <c r="B256" s="256"/>
      <c r="C256" s="824"/>
      <c r="D256" s="824"/>
    </row>
    <row r="257" spans="2:4" x14ac:dyDescent="0.25">
      <c r="B257" s="256"/>
      <c r="C257" s="824"/>
      <c r="D257" s="824"/>
    </row>
    <row r="258" spans="2:4" x14ac:dyDescent="0.25">
      <c r="B258" s="256"/>
      <c r="C258" s="824"/>
      <c r="D258" s="824"/>
    </row>
    <row r="259" spans="2:4" x14ac:dyDescent="0.25">
      <c r="B259" s="256"/>
      <c r="C259" s="824"/>
      <c r="D259" s="824"/>
    </row>
    <row r="260" spans="2:4" x14ac:dyDescent="0.25">
      <c r="B260" s="256"/>
      <c r="C260" s="824"/>
      <c r="D260" s="824"/>
    </row>
    <row r="261" spans="2:4" x14ac:dyDescent="0.25">
      <c r="B261" s="256"/>
      <c r="C261" s="824"/>
      <c r="D261" s="824"/>
    </row>
    <row r="262" spans="2:4" x14ac:dyDescent="0.25">
      <c r="B262" s="256"/>
      <c r="C262" s="824"/>
      <c r="D262" s="824"/>
    </row>
    <row r="263" spans="2:4" x14ac:dyDescent="0.25">
      <c r="B263" s="256"/>
      <c r="C263" s="824"/>
      <c r="D263" s="824"/>
    </row>
    <row r="264" spans="2:4" x14ac:dyDescent="0.25">
      <c r="B264" s="256"/>
      <c r="C264" s="824"/>
      <c r="D264" s="824"/>
    </row>
    <row r="265" spans="2:4" x14ac:dyDescent="0.25">
      <c r="B265" s="256"/>
      <c r="C265" s="824"/>
      <c r="D265" s="824"/>
    </row>
    <row r="266" spans="2:4" x14ac:dyDescent="0.25">
      <c r="B266" s="256"/>
      <c r="C266" s="824"/>
      <c r="D266" s="824"/>
    </row>
    <row r="267" spans="2:4" x14ac:dyDescent="0.25">
      <c r="B267" s="256"/>
      <c r="C267" s="824"/>
      <c r="D267" s="824"/>
    </row>
    <row r="268" spans="2:4" x14ac:dyDescent="0.25">
      <c r="B268" s="256"/>
      <c r="C268" s="824"/>
      <c r="D268" s="824"/>
    </row>
    <row r="269" spans="2:4" x14ac:dyDescent="0.25">
      <c r="B269" s="256"/>
      <c r="C269" s="824"/>
      <c r="D269" s="824"/>
    </row>
    <row r="270" spans="2:4" x14ac:dyDescent="0.25">
      <c r="B270" s="256"/>
      <c r="C270" s="824"/>
      <c r="D270" s="824"/>
    </row>
    <row r="271" spans="2:4" x14ac:dyDescent="0.25">
      <c r="B271" s="256"/>
      <c r="C271" s="824"/>
      <c r="D271" s="824"/>
    </row>
    <row r="272" spans="2:4" x14ac:dyDescent="0.25">
      <c r="B272" s="256"/>
      <c r="C272" s="824"/>
      <c r="D272" s="824"/>
    </row>
    <row r="273" spans="2:4" x14ac:dyDescent="0.25">
      <c r="B273" s="256"/>
      <c r="C273" s="824"/>
      <c r="D273" s="824"/>
    </row>
    <row r="274" spans="2:4" x14ac:dyDescent="0.25">
      <c r="B274" s="256"/>
      <c r="C274" s="824"/>
      <c r="D274" s="824"/>
    </row>
    <row r="275" spans="2:4" x14ac:dyDescent="0.25">
      <c r="B275" s="256"/>
      <c r="C275" s="824"/>
      <c r="D275" s="824"/>
    </row>
    <row r="276" spans="2:4" x14ac:dyDescent="0.25">
      <c r="B276" s="256"/>
      <c r="C276" s="824"/>
      <c r="D276" s="824"/>
    </row>
    <row r="277" spans="2:4" x14ac:dyDescent="0.25">
      <c r="B277" s="256"/>
      <c r="C277" s="824"/>
      <c r="D277" s="824"/>
    </row>
    <row r="278" spans="2:4" x14ac:dyDescent="0.25">
      <c r="B278" s="256"/>
      <c r="C278" s="824"/>
      <c r="D278" s="824"/>
    </row>
    <row r="279" spans="2:4" x14ac:dyDescent="0.25">
      <c r="B279" s="256"/>
      <c r="C279" s="824"/>
      <c r="D279" s="824"/>
    </row>
    <row r="280" spans="2:4" x14ac:dyDescent="0.25">
      <c r="B280" s="256"/>
      <c r="C280" s="824"/>
      <c r="D280" s="824"/>
    </row>
    <row r="281" spans="2:4" x14ac:dyDescent="0.25">
      <c r="B281" s="256"/>
      <c r="C281" s="824"/>
      <c r="D281" s="824"/>
    </row>
    <row r="282" spans="2:4" x14ac:dyDescent="0.25">
      <c r="B282" s="256"/>
      <c r="C282" s="824"/>
      <c r="D282" s="824"/>
    </row>
    <row r="283" spans="2:4" x14ac:dyDescent="0.25">
      <c r="B283" s="256"/>
      <c r="C283" s="824"/>
      <c r="D283" s="824"/>
    </row>
    <row r="284" spans="2:4" x14ac:dyDescent="0.25">
      <c r="B284" s="256"/>
      <c r="C284" s="824"/>
      <c r="D284" s="824"/>
    </row>
    <row r="285" spans="2:4" x14ac:dyDescent="0.25">
      <c r="B285" s="256"/>
      <c r="C285" s="824"/>
      <c r="D285" s="824"/>
    </row>
    <row r="286" spans="2:4" x14ac:dyDescent="0.25">
      <c r="B286" s="256"/>
      <c r="C286" s="824"/>
      <c r="D286" s="824"/>
    </row>
    <row r="287" spans="2:4" x14ac:dyDescent="0.25">
      <c r="B287" s="256"/>
      <c r="C287" s="824"/>
      <c r="D287" s="824"/>
    </row>
    <row r="288" spans="2:4" x14ac:dyDescent="0.25">
      <c r="B288" s="256"/>
      <c r="C288" s="824"/>
      <c r="D288" s="824"/>
    </row>
    <row r="289" spans="2:4" x14ac:dyDescent="0.25">
      <c r="B289" s="256"/>
      <c r="C289" s="824"/>
      <c r="D289" s="824"/>
    </row>
    <row r="290" spans="2:4" x14ac:dyDescent="0.25">
      <c r="B290" s="256"/>
      <c r="C290" s="824"/>
      <c r="D290" s="824"/>
    </row>
    <row r="291" spans="2:4" x14ac:dyDescent="0.25">
      <c r="B291" s="256"/>
      <c r="C291" s="824"/>
      <c r="D291" s="824"/>
    </row>
    <row r="292" spans="2:4" x14ac:dyDescent="0.25">
      <c r="B292" s="256"/>
      <c r="C292" s="824"/>
      <c r="D292" s="824"/>
    </row>
    <row r="293" spans="2:4" x14ac:dyDescent="0.25">
      <c r="B293" s="256"/>
      <c r="C293" s="824"/>
      <c r="D293" s="824"/>
    </row>
    <row r="294" spans="2:4" x14ac:dyDescent="0.25">
      <c r="B294" s="256"/>
      <c r="C294" s="824"/>
      <c r="D294" s="824"/>
    </row>
    <row r="295" spans="2:4" x14ac:dyDescent="0.25">
      <c r="B295" s="256"/>
      <c r="C295" s="824"/>
      <c r="D295" s="824"/>
    </row>
    <row r="296" spans="2:4" x14ac:dyDescent="0.25">
      <c r="B296" s="256"/>
      <c r="C296" s="824"/>
      <c r="D296" s="824"/>
    </row>
    <row r="297" spans="2:4" x14ac:dyDescent="0.25">
      <c r="B297" s="256"/>
      <c r="C297" s="824"/>
      <c r="D297" s="824"/>
    </row>
    <row r="298" spans="2:4" x14ac:dyDescent="0.25">
      <c r="B298" s="256"/>
      <c r="C298" s="824"/>
      <c r="D298" s="824"/>
    </row>
    <row r="299" spans="2:4" x14ac:dyDescent="0.25">
      <c r="B299" s="256"/>
      <c r="C299" s="824"/>
      <c r="D299" s="824"/>
    </row>
    <row r="300" spans="2:4" x14ac:dyDescent="0.25">
      <c r="B300" s="256"/>
      <c r="C300" s="824"/>
      <c r="D300" s="824"/>
    </row>
    <row r="301" spans="2:4" x14ac:dyDescent="0.25">
      <c r="B301" s="256"/>
      <c r="C301" s="824"/>
      <c r="D301" s="824"/>
    </row>
    <row r="302" spans="2:4" x14ac:dyDescent="0.25">
      <c r="B302" s="256"/>
      <c r="C302" s="824"/>
      <c r="D302" s="824"/>
    </row>
    <row r="303" spans="2:4" x14ac:dyDescent="0.25">
      <c r="B303" s="256"/>
      <c r="C303" s="824"/>
      <c r="D303" s="824"/>
    </row>
    <row r="304" spans="2:4" x14ac:dyDescent="0.25">
      <c r="B304" s="256"/>
      <c r="C304" s="824"/>
      <c r="D304" s="824"/>
    </row>
    <row r="305" spans="2:4" x14ac:dyDescent="0.25">
      <c r="B305" s="256"/>
      <c r="C305" s="824"/>
      <c r="D305" s="824"/>
    </row>
    <row r="306" spans="2:4" x14ac:dyDescent="0.25">
      <c r="B306" s="392"/>
      <c r="C306" s="824"/>
      <c r="D306" s="824"/>
    </row>
    <row r="307" spans="2:4" x14ac:dyDescent="0.25">
      <c r="B307" s="392"/>
      <c r="C307" s="824"/>
      <c r="D307" s="824"/>
    </row>
    <row r="308" spans="2:4" x14ac:dyDescent="0.25">
      <c r="B308" s="392"/>
      <c r="C308" s="824"/>
      <c r="D308" s="824"/>
    </row>
    <row r="309" spans="2:4" x14ac:dyDescent="0.25">
      <c r="B309" s="392"/>
      <c r="C309" s="824"/>
      <c r="D309" s="824"/>
    </row>
    <row r="310" spans="2:4" x14ac:dyDescent="0.25">
      <c r="B310" s="392"/>
      <c r="C310" s="824"/>
      <c r="D310" s="824"/>
    </row>
    <row r="311" spans="2:4" x14ac:dyDescent="0.25">
      <c r="B311" s="392"/>
      <c r="C311" s="824"/>
      <c r="D311" s="824"/>
    </row>
    <row r="312" spans="2:4" x14ac:dyDescent="0.25">
      <c r="B312" s="392"/>
      <c r="C312" s="824"/>
      <c r="D312" s="824"/>
    </row>
    <row r="313" spans="2:4" x14ac:dyDescent="0.25">
      <c r="B313" s="392"/>
      <c r="C313" s="824"/>
      <c r="D313" s="824"/>
    </row>
    <row r="314" spans="2:4" x14ac:dyDescent="0.25">
      <c r="B314" s="392"/>
      <c r="C314" s="824"/>
      <c r="D314" s="824"/>
    </row>
    <row r="315" spans="2:4" x14ac:dyDescent="0.25">
      <c r="B315" s="392"/>
      <c r="C315" s="824"/>
      <c r="D315" s="824"/>
    </row>
    <row r="316" spans="2:4" x14ac:dyDescent="0.25">
      <c r="B316" s="392"/>
      <c r="C316" s="824"/>
      <c r="D316" s="824"/>
    </row>
    <row r="317" spans="2:4" x14ac:dyDescent="0.25">
      <c r="B317" s="392"/>
      <c r="C317" s="824"/>
      <c r="D317" s="824"/>
    </row>
    <row r="318" spans="2:4" x14ac:dyDescent="0.25">
      <c r="B318" s="392"/>
      <c r="C318" s="824"/>
      <c r="D318" s="824"/>
    </row>
    <row r="319" spans="2:4" x14ac:dyDescent="0.25">
      <c r="B319" s="392"/>
      <c r="C319" s="824"/>
      <c r="D319" s="824"/>
    </row>
    <row r="320" spans="2:4" x14ac:dyDescent="0.25">
      <c r="B320" s="392"/>
      <c r="C320" s="824"/>
      <c r="D320" s="824"/>
    </row>
    <row r="321" spans="2:4" x14ac:dyDescent="0.25">
      <c r="B321" s="392"/>
      <c r="C321" s="824"/>
      <c r="D321" s="824"/>
    </row>
    <row r="322" spans="2:4" x14ac:dyDescent="0.25">
      <c r="B322" s="392"/>
      <c r="C322" s="824"/>
      <c r="D322" s="824"/>
    </row>
    <row r="323" spans="2:4" x14ac:dyDescent="0.25">
      <c r="B323" s="392"/>
      <c r="C323" s="824"/>
      <c r="D323" s="824"/>
    </row>
    <row r="324" spans="2:4" x14ac:dyDescent="0.25">
      <c r="B324" s="392"/>
      <c r="C324" s="824"/>
      <c r="D324" s="824"/>
    </row>
    <row r="325" spans="2:4" x14ac:dyDescent="0.25">
      <c r="B325" s="392"/>
      <c r="C325" s="824"/>
      <c r="D325" s="824"/>
    </row>
    <row r="326" spans="2:4" x14ac:dyDescent="0.25">
      <c r="B326" s="392"/>
      <c r="C326" s="824"/>
      <c r="D326" s="824"/>
    </row>
    <row r="327" spans="2:4" x14ac:dyDescent="0.25">
      <c r="B327" s="392"/>
      <c r="C327" s="824"/>
      <c r="D327" s="824"/>
    </row>
    <row r="328" spans="2:4" x14ac:dyDescent="0.25">
      <c r="B328" s="392"/>
      <c r="C328" s="824"/>
      <c r="D328" s="824"/>
    </row>
    <row r="329" spans="2:4" x14ac:dyDescent="0.25">
      <c r="B329" s="392"/>
      <c r="C329" s="824"/>
      <c r="D329" s="824"/>
    </row>
    <row r="330" spans="2:4" x14ac:dyDescent="0.25">
      <c r="B330" s="392"/>
      <c r="C330" s="824"/>
      <c r="D330" s="824"/>
    </row>
    <row r="331" spans="2:4" x14ac:dyDescent="0.25">
      <c r="B331" s="392"/>
      <c r="C331" s="824"/>
      <c r="D331" s="824"/>
    </row>
    <row r="332" spans="2:4" x14ac:dyDescent="0.25">
      <c r="B332" s="392"/>
      <c r="C332" s="824"/>
      <c r="D332" s="824"/>
    </row>
    <row r="333" spans="2:4" x14ac:dyDescent="0.25">
      <c r="B333" s="392"/>
      <c r="C333" s="824"/>
      <c r="D333" s="824"/>
    </row>
    <row r="334" spans="2:4" x14ac:dyDescent="0.25">
      <c r="B334" s="392"/>
      <c r="C334" s="824"/>
      <c r="D334" s="824"/>
    </row>
    <row r="335" spans="2:4" x14ac:dyDescent="0.25">
      <c r="B335" s="392"/>
      <c r="C335" s="824"/>
      <c r="D335" s="824"/>
    </row>
    <row r="336" spans="2:4" x14ac:dyDescent="0.25">
      <c r="B336" s="392"/>
      <c r="C336" s="824"/>
      <c r="D336" s="824"/>
    </row>
    <row r="337" spans="2:4" x14ac:dyDescent="0.25">
      <c r="B337" s="392"/>
      <c r="C337" s="824"/>
      <c r="D337" s="824"/>
    </row>
    <row r="338" spans="2:4" x14ac:dyDescent="0.25">
      <c r="B338" s="392"/>
      <c r="C338" s="824"/>
      <c r="D338" s="824"/>
    </row>
    <row r="339" spans="2:4" x14ac:dyDescent="0.25">
      <c r="B339" s="392"/>
      <c r="C339" s="824"/>
      <c r="D339" s="824"/>
    </row>
    <row r="340" spans="2:4" x14ac:dyDescent="0.25">
      <c r="B340" s="392"/>
      <c r="C340" s="824"/>
      <c r="D340" s="824"/>
    </row>
    <row r="341" spans="2:4" x14ac:dyDescent="0.25">
      <c r="B341" s="392"/>
      <c r="C341" s="824"/>
      <c r="D341" s="824"/>
    </row>
    <row r="342" spans="2:4" x14ac:dyDescent="0.25">
      <c r="B342" s="392"/>
      <c r="C342" s="824"/>
      <c r="D342" s="824"/>
    </row>
    <row r="343" spans="2:4" x14ac:dyDescent="0.25">
      <c r="B343" s="392"/>
      <c r="C343" s="824"/>
      <c r="D343" s="824"/>
    </row>
    <row r="344" spans="2:4" x14ac:dyDescent="0.25">
      <c r="B344" s="392"/>
      <c r="C344" s="824"/>
      <c r="D344" s="824"/>
    </row>
    <row r="345" spans="2:4" x14ac:dyDescent="0.25">
      <c r="B345" s="392"/>
      <c r="C345" s="824"/>
      <c r="D345" s="824"/>
    </row>
    <row r="346" spans="2:4" x14ac:dyDescent="0.25">
      <c r="B346" s="392"/>
      <c r="C346" s="824"/>
      <c r="D346" s="824"/>
    </row>
    <row r="347" spans="2:4" x14ac:dyDescent="0.25">
      <c r="B347" s="392"/>
      <c r="C347" s="824"/>
      <c r="D347" s="824"/>
    </row>
    <row r="348" spans="2:4" x14ac:dyDescent="0.25">
      <c r="B348" s="392"/>
      <c r="C348" s="824"/>
      <c r="D348" s="824"/>
    </row>
    <row r="349" spans="2:4" x14ac:dyDescent="0.25">
      <c r="B349" s="392"/>
      <c r="C349" s="824"/>
      <c r="D349" s="824"/>
    </row>
    <row r="350" spans="2:4" x14ac:dyDescent="0.25">
      <c r="B350" s="392"/>
      <c r="C350" s="824"/>
      <c r="D350" s="824"/>
    </row>
    <row r="351" spans="2:4" x14ac:dyDescent="0.25">
      <c r="B351" s="392"/>
      <c r="C351" s="824"/>
      <c r="D351" s="824"/>
    </row>
    <row r="352" spans="2:4" x14ac:dyDescent="0.25">
      <c r="B352" s="392"/>
      <c r="C352" s="824"/>
      <c r="D352" s="824"/>
    </row>
    <row r="353" spans="2:4" x14ac:dyDescent="0.25">
      <c r="B353" s="392"/>
      <c r="C353" s="824"/>
      <c r="D353" s="824"/>
    </row>
    <row r="354" spans="2:4" x14ac:dyDescent="0.25">
      <c r="B354" s="392"/>
      <c r="C354" s="824"/>
      <c r="D354" s="824"/>
    </row>
    <row r="355" spans="2:4" x14ac:dyDescent="0.25">
      <c r="B355" s="392"/>
      <c r="C355" s="824"/>
      <c r="D355" s="824"/>
    </row>
    <row r="356" spans="2:4" x14ac:dyDescent="0.25">
      <c r="B356" s="392"/>
      <c r="C356" s="824"/>
      <c r="D356" s="824"/>
    </row>
    <row r="357" spans="2:4" x14ac:dyDescent="0.25">
      <c r="B357" s="392"/>
      <c r="C357" s="824"/>
      <c r="D357" s="824"/>
    </row>
    <row r="358" spans="2:4" x14ac:dyDescent="0.25">
      <c r="B358" s="392"/>
      <c r="C358" s="824"/>
      <c r="D358" s="824"/>
    </row>
    <row r="359" spans="2:4" x14ac:dyDescent="0.25">
      <c r="B359" s="392"/>
      <c r="C359" s="824"/>
      <c r="D359" s="824"/>
    </row>
    <row r="360" spans="2:4" x14ac:dyDescent="0.25">
      <c r="B360" s="392"/>
      <c r="C360" s="824"/>
      <c r="D360" s="824"/>
    </row>
    <row r="361" spans="2:4" x14ac:dyDescent="0.25">
      <c r="B361" s="392"/>
      <c r="C361" s="824"/>
      <c r="D361" s="824"/>
    </row>
    <row r="362" spans="2:4" x14ac:dyDescent="0.25">
      <c r="B362" s="392"/>
      <c r="C362" s="824"/>
      <c r="D362" s="824"/>
    </row>
    <row r="363" spans="2:4" x14ac:dyDescent="0.25">
      <c r="B363" s="392"/>
      <c r="C363" s="824"/>
      <c r="D363" s="824"/>
    </row>
    <row r="364" spans="2:4" x14ac:dyDescent="0.25">
      <c r="B364" s="392"/>
      <c r="C364" s="824"/>
      <c r="D364" s="824"/>
    </row>
    <row r="365" spans="2:4" x14ac:dyDescent="0.25">
      <c r="B365" s="392"/>
      <c r="C365" s="824"/>
      <c r="D365" s="824"/>
    </row>
    <row r="366" spans="2:4" x14ac:dyDescent="0.25">
      <c r="B366" s="392"/>
      <c r="C366" s="824"/>
      <c r="D366" s="824"/>
    </row>
    <row r="367" spans="2:4" x14ac:dyDescent="0.25">
      <c r="B367" s="392"/>
      <c r="C367" s="824"/>
      <c r="D367" s="824"/>
    </row>
    <row r="368" spans="2:4" x14ac:dyDescent="0.25">
      <c r="B368" s="392"/>
      <c r="C368" s="824"/>
      <c r="D368" s="824"/>
    </row>
    <row r="369" spans="2:4" x14ac:dyDescent="0.25">
      <c r="B369" s="392"/>
      <c r="C369" s="824"/>
      <c r="D369" s="824"/>
    </row>
    <row r="370" spans="2:4" x14ac:dyDescent="0.25">
      <c r="B370" s="392"/>
      <c r="C370" s="824"/>
      <c r="D370" s="824"/>
    </row>
    <row r="371" spans="2:4" x14ac:dyDescent="0.25">
      <c r="B371" s="392"/>
      <c r="C371" s="824"/>
      <c r="D371" s="824"/>
    </row>
    <row r="372" spans="2:4" x14ac:dyDescent="0.25">
      <c r="B372" s="392"/>
      <c r="C372" s="824"/>
      <c r="D372" s="824"/>
    </row>
    <row r="373" spans="2:4" x14ac:dyDescent="0.25">
      <c r="B373" s="392"/>
      <c r="C373" s="824"/>
      <c r="D373" s="824"/>
    </row>
    <row r="374" spans="2:4" x14ac:dyDescent="0.25">
      <c r="B374" s="392"/>
      <c r="C374" s="824"/>
      <c r="D374" s="824"/>
    </row>
    <row r="375" spans="2:4" x14ac:dyDescent="0.25">
      <c r="B375" s="392"/>
      <c r="C375" s="824"/>
      <c r="D375" s="824"/>
    </row>
    <row r="376" spans="2:4" x14ac:dyDescent="0.25">
      <c r="B376" s="392"/>
      <c r="C376" s="824"/>
      <c r="D376" s="824"/>
    </row>
    <row r="377" spans="2:4" x14ac:dyDescent="0.25">
      <c r="B377" s="392"/>
      <c r="C377" s="824"/>
      <c r="D377" s="824"/>
    </row>
    <row r="378" spans="2:4" x14ac:dyDescent="0.25">
      <c r="B378" s="392"/>
      <c r="C378" s="824"/>
      <c r="D378" s="824"/>
    </row>
    <row r="379" spans="2:4" x14ac:dyDescent="0.25">
      <c r="B379" s="392"/>
      <c r="C379" s="824"/>
      <c r="D379" s="824"/>
    </row>
    <row r="380" spans="2:4" x14ac:dyDescent="0.25">
      <c r="B380" s="392"/>
      <c r="C380" s="824"/>
      <c r="D380" s="824"/>
    </row>
    <row r="381" spans="2:4" x14ac:dyDescent="0.25">
      <c r="B381" s="392"/>
      <c r="C381" s="824"/>
      <c r="D381" s="824"/>
    </row>
    <row r="382" spans="2:4" x14ac:dyDescent="0.25">
      <c r="B382" s="392"/>
      <c r="C382" s="824"/>
      <c r="D382" s="824"/>
    </row>
    <row r="383" spans="2:4" x14ac:dyDescent="0.25">
      <c r="B383" s="392"/>
      <c r="C383" s="824"/>
      <c r="D383" s="824"/>
    </row>
    <row r="384" spans="2:4" x14ac:dyDescent="0.25">
      <c r="B384" s="392"/>
      <c r="C384" s="824"/>
      <c r="D384" s="824"/>
    </row>
    <row r="385" spans="2:4" x14ac:dyDescent="0.25">
      <c r="B385" s="392"/>
      <c r="C385" s="824"/>
      <c r="D385" s="824"/>
    </row>
    <row r="386" spans="2:4" x14ac:dyDescent="0.25">
      <c r="B386" s="392"/>
      <c r="C386" s="824"/>
      <c r="D386" s="824"/>
    </row>
    <row r="387" spans="2:4" x14ac:dyDescent="0.25">
      <c r="B387" s="392"/>
      <c r="C387" s="824"/>
      <c r="D387" s="824"/>
    </row>
    <row r="388" spans="2:4" x14ac:dyDescent="0.25">
      <c r="B388" s="392"/>
      <c r="C388" s="824"/>
      <c r="D388" s="824"/>
    </row>
    <row r="389" spans="2:4" x14ac:dyDescent="0.25">
      <c r="B389" s="392"/>
      <c r="C389" s="824"/>
      <c r="D389" s="824"/>
    </row>
    <row r="390" spans="2:4" x14ac:dyDescent="0.25">
      <c r="B390" s="392"/>
      <c r="C390" s="824"/>
      <c r="D390" s="824"/>
    </row>
    <row r="391" spans="2:4" x14ac:dyDescent="0.25">
      <c r="B391" s="392"/>
      <c r="C391" s="824"/>
      <c r="D391" s="824"/>
    </row>
    <row r="392" spans="2:4" x14ac:dyDescent="0.25">
      <c r="B392" s="392"/>
      <c r="C392" s="824"/>
      <c r="D392" s="824"/>
    </row>
    <row r="393" spans="2:4" x14ac:dyDescent="0.25">
      <c r="B393" s="392"/>
      <c r="C393" s="824"/>
      <c r="D393" s="824"/>
    </row>
    <row r="394" spans="2:4" x14ac:dyDescent="0.25">
      <c r="B394" s="392"/>
      <c r="C394" s="824"/>
      <c r="D394" s="824"/>
    </row>
    <row r="395" spans="2:4" x14ac:dyDescent="0.25">
      <c r="B395" s="392"/>
      <c r="C395" s="824"/>
      <c r="D395" s="824"/>
    </row>
    <row r="396" spans="2:4" x14ac:dyDescent="0.25">
      <c r="B396" s="392"/>
      <c r="C396" s="824"/>
      <c r="D396" s="824"/>
    </row>
    <row r="397" spans="2:4" x14ac:dyDescent="0.25">
      <c r="B397" s="392"/>
      <c r="C397" s="824"/>
      <c r="D397" s="824"/>
    </row>
    <row r="398" spans="2:4" x14ac:dyDescent="0.25">
      <c r="B398" s="392"/>
      <c r="C398" s="824"/>
      <c r="D398" s="824"/>
    </row>
    <row r="399" spans="2:4" x14ac:dyDescent="0.25">
      <c r="B399" s="392"/>
      <c r="C399" s="824"/>
      <c r="D399" s="824"/>
    </row>
    <row r="400" spans="2:4" x14ac:dyDescent="0.25">
      <c r="B400" s="392"/>
      <c r="C400" s="824"/>
      <c r="D400" s="824"/>
    </row>
    <row r="401" spans="2:4" x14ac:dyDescent="0.25">
      <c r="B401" s="392"/>
      <c r="C401" s="824"/>
      <c r="D401" s="824"/>
    </row>
    <row r="402" spans="2:4" x14ac:dyDescent="0.25">
      <c r="B402" s="392"/>
      <c r="C402" s="824"/>
      <c r="D402" s="824"/>
    </row>
    <row r="403" spans="2:4" x14ac:dyDescent="0.25">
      <c r="B403" s="392"/>
      <c r="C403" s="824"/>
      <c r="D403" s="824"/>
    </row>
  </sheetData>
  <sheetProtection algorithmName="SHA-512" hashValue="adRd0rGi7eymwoDNGvUK88R0/1N6pn9OLMFiIMS+fQbIVekxcp8/bA3QCBq91FNfPL1Xvx8oXPMPKK9CaPns/w==" saltValue="C0+RjXF/+SBkM0X/MwR+dw==" spinCount="100000" sheet="1" objects="1" scenarios="1"/>
  <autoFilter ref="B51:F171" xr:uid="{7CA13FC9-435E-487A-84F1-FFA316C488B9}">
    <sortState ref="B52:F171">
      <sortCondition ref="C51:C171"/>
    </sortState>
  </autoFilter>
  <mergeCells count="224">
    <mergeCell ref="C180:D180"/>
    <mergeCell ref="C181:D181"/>
    <mergeCell ref="C182:D182"/>
    <mergeCell ref="C183:D183"/>
    <mergeCell ref="C184:D184"/>
    <mergeCell ref="B3:H3"/>
    <mergeCell ref="B178:B179"/>
    <mergeCell ref="C178:D179"/>
    <mergeCell ref="C190:D190"/>
    <mergeCell ref="C191:D191"/>
    <mergeCell ref="C192:D192"/>
    <mergeCell ref="C193:D193"/>
    <mergeCell ref="C194:D194"/>
    <mergeCell ref="C185:D185"/>
    <mergeCell ref="C186:D186"/>
    <mergeCell ref="C187:D187"/>
    <mergeCell ref="C188:D188"/>
    <mergeCell ref="C189:D189"/>
    <mergeCell ref="C200:D200"/>
    <mergeCell ref="C201:D201"/>
    <mergeCell ref="C202:D202"/>
    <mergeCell ref="C203:D203"/>
    <mergeCell ref="C204:D204"/>
    <mergeCell ref="C195:D195"/>
    <mergeCell ref="C196:D196"/>
    <mergeCell ref="C197:D197"/>
    <mergeCell ref="C198:D198"/>
    <mergeCell ref="C199:D199"/>
    <mergeCell ref="C210:D210"/>
    <mergeCell ref="C211:D211"/>
    <mergeCell ref="C212:D212"/>
    <mergeCell ref="C213:D213"/>
    <mergeCell ref="C214:D214"/>
    <mergeCell ref="C205:D205"/>
    <mergeCell ref="C206:D206"/>
    <mergeCell ref="C207:D207"/>
    <mergeCell ref="C208:D208"/>
    <mergeCell ref="C209:D209"/>
    <mergeCell ref="C220:D220"/>
    <mergeCell ref="C221:D221"/>
    <mergeCell ref="C222:D222"/>
    <mergeCell ref="C223:D223"/>
    <mergeCell ref="C224:D224"/>
    <mergeCell ref="C215:D215"/>
    <mergeCell ref="C216:D216"/>
    <mergeCell ref="C217:D217"/>
    <mergeCell ref="C218:D218"/>
    <mergeCell ref="C219:D219"/>
    <mergeCell ref="C230:D230"/>
    <mergeCell ref="C231:D231"/>
    <mergeCell ref="C232:D232"/>
    <mergeCell ref="C233:D233"/>
    <mergeCell ref="C234:D234"/>
    <mergeCell ref="C225:D225"/>
    <mergeCell ref="C226:D226"/>
    <mergeCell ref="C227:D227"/>
    <mergeCell ref="C228:D228"/>
    <mergeCell ref="C229:D229"/>
    <mergeCell ref="C240:D240"/>
    <mergeCell ref="C241:D241"/>
    <mergeCell ref="C242:D242"/>
    <mergeCell ref="C243:D243"/>
    <mergeCell ref="C244:D244"/>
    <mergeCell ref="C235:D235"/>
    <mergeCell ref="C236:D236"/>
    <mergeCell ref="C237:D237"/>
    <mergeCell ref="C238:D238"/>
    <mergeCell ref="C239:D239"/>
    <mergeCell ref="C255:D255"/>
    <mergeCell ref="C256:D256"/>
    <mergeCell ref="C257:D257"/>
    <mergeCell ref="C258:D258"/>
    <mergeCell ref="C259:D259"/>
    <mergeCell ref="C254:D254"/>
    <mergeCell ref="C245:D245"/>
    <mergeCell ref="C246:D246"/>
    <mergeCell ref="C247:D247"/>
    <mergeCell ref="C248:D248"/>
    <mergeCell ref="C249:D249"/>
    <mergeCell ref="C265:D265"/>
    <mergeCell ref="C266:D266"/>
    <mergeCell ref="C267:D267"/>
    <mergeCell ref="C268:D268"/>
    <mergeCell ref="C269:D269"/>
    <mergeCell ref="C260:D260"/>
    <mergeCell ref="C261:D261"/>
    <mergeCell ref="C262:D262"/>
    <mergeCell ref="C263:D263"/>
    <mergeCell ref="C264:D264"/>
    <mergeCell ref="C275:D275"/>
    <mergeCell ref="C276:D276"/>
    <mergeCell ref="C277:D277"/>
    <mergeCell ref="C278:D278"/>
    <mergeCell ref="C279:D279"/>
    <mergeCell ref="C270:D270"/>
    <mergeCell ref="C271:D271"/>
    <mergeCell ref="C272:D272"/>
    <mergeCell ref="C273:D273"/>
    <mergeCell ref="C274:D274"/>
    <mergeCell ref="C285:D285"/>
    <mergeCell ref="C286:D286"/>
    <mergeCell ref="C287:D287"/>
    <mergeCell ref="C288:D288"/>
    <mergeCell ref="C289:D289"/>
    <mergeCell ref="C280:D280"/>
    <mergeCell ref="C281:D281"/>
    <mergeCell ref="C282:D282"/>
    <mergeCell ref="C283:D283"/>
    <mergeCell ref="C284:D284"/>
    <mergeCell ref="C295:D295"/>
    <mergeCell ref="C296:D296"/>
    <mergeCell ref="C297:D297"/>
    <mergeCell ref="C298:D298"/>
    <mergeCell ref="C299:D299"/>
    <mergeCell ref="C290:D290"/>
    <mergeCell ref="C291:D291"/>
    <mergeCell ref="C292:D292"/>
    <mergeCell ref="C293:D293"/>
    <mergeCell ref="C294:D294"/>
    <mergeCell ref="C305:D305"/>
    <mergeCell ref="C306:D306"/>
    <mergeCell ref="C307:D307"/>
    <mergeCell ref="C308:D308"/>
    <mergeCell ref="C309:D309"/>
    <mergeCell ref="C300:D300"/>
    <mergeCell ref="C301:D301"/>
    <mergeCell ref="C302:D302"/>
    <mergeCell ref="C303:D303"/>
    <mergeCell ref="C304:D304"/>
    <mergeCell ref="C315:D315"/>
    <mergeCell ref="C316:D316"/>
    <mergeCell ref="C317:D317"/>
    <mergeCell ref="C318:D318"/>
    <mergeCell ref="C319:D319"/>
    <mergeCell ref="C310:D310"/>
    <mergeCell ref="C311:D311"/>
    <mergeCell ref="C312:D312"/>
    <mergeCell ref="C313:D313"/>
    <mergeCell ref="C314:D314"/>
    <mergeCell ref="C325:D325"/>
    <mergeCell ref="C326:D326"/>
    <mergeCell ref="C327:D327"/>
    <mergeCell ref="C328:D328"/>
    <mergeCell ref="C329:D329"/>
    <mergeCell ref="C320:D320"/>
    <mergeCell ref="C321:D321"/>
    <mergeCell ref="C322:D322"/>
    <mergeCell ref="C323:D323"/>
    <mergeCell ref="C324:D324"/>
    <mergeCell ref="C335:D335"/>
    <mergeCell ref="C336:D336"/>
    <mergeCell ref="C337:D337"/>
    <mergeCell ref="C338:D338"/>
    <mergeCell ref="C339:D339"/>
    <mergeCell ref="C330:D330"/>
    <mergeCell ref="C331:D331"/>
    <mergeCell ref="C332:D332"/>
    <mergeCell ref="C333:D333"/>
    <mergeCell ref="C334:D334"/>
    <mergeCell ref="C345:D345"/>
    <mergeCell ref="C346:D346"/>
    <mergeCell ref="C347:D347"/>
    <mergeCell ref="C348:D348"/>
    <mergeCell ref="C349:D349"/>
    <mergeCell ref="C340:D340"/>
    <mergeCell ref="C341:D341"/>
    <mergeCell ref="C342:D342"/>
    <mergeCell ref="C343:D343"/>
    <mergeCell ref="C344:D344"/>
    <mergeCell ref="C355:D355"/>
    <mergeCell ref="C356:D356"/>
    <mergeCell ref="C357:D357"/>
    <mergeCell ref="C358:D358"/>
    <mergeCell ref="C359:D359"/>
    <mergeCell ref="C350:D350"/>
    <mergeCell ref="C351:D351"/>
    <mergeCell ref="C352:D352"/>
    <mergeCell ref="C353:D353"/>
    <mergeCell ref="C354:D354"/>
    <mergeCell ref="C365:D365"/>
    <mergeCell ref="C366:D366"/>
    <mergeCell ref="C367:D367"/>
    <mergeCell ref="C368:D368"/>
    <mergeCell ref="C369:D369"/>
    <mergeCell ref="C360:D360"/>
    <mergeCell ref="C361:D361"/>
    <mergeCell ref="C362:D362"/>
    <mergeCell ref="C363:D363"/>
    <mergeCell ref="C364:D364"/>
    <mergeCell ref="C384:D384"/>
    <mergeCell ref="C375:D375"/>
    <mergeCell ref="C376:D376"/>
    <mergeCell ref="C377:D377"/>
    <mergeCell ref="C378:D378"/>
    <mergeCell ref="C379:D379"/>
    <mergeCell ref="C370:D370"/>
    <mergeCell ref="C371:D371"/>
    <mergeCell ref="C372:D372"/>
    <mergeCell ref="C373:D373"/>
    <mergeCell ref="C374:D374"/>
    <mergeCell ref="C400:D400"/>
    <mergeCell ref="C401:D401"/>
    <mergeCell ref="C402:D402"/>
    <mergeCell ref="C403:D403"/>
    <mergeCell ref="E178:E179"/>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s>
  <pageMargins left="0.7" right="0.7" top="0.75" bottom="0.75" header="0.3" footer="0.3"/>
  <pageSetup paperSize="3" scale="59"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'Data Validation Sheet'!$B$3:$B$4</xm:f>
          </x14:formula1>
          <xm:sqref>H8:H19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8"/>
    <pageSetUpPr fitToPage="1"/>
  </sheetPr>
  <dimension ref="A1:L452"/>
  <sheetViews>
    <sheetView showGridLines="0" topLeftCell="A46" zoomScale="80" zoomScaleNormal="80" workbookViewId="0">
      <selection activeCell="D55" sqref="D55"/>
    </sheetView>
  </sheetViews>
  <sheetFormatPr defaultRowHeight="15" x14ac:dyDescent="0.25"/>
  <cols>
    <col min="1" max="1" width="5.7109375" customWidth="1"/>
    <col min="2" max="2" width="45.7109375" customWidth="1"/>
    <col min="3" max="7" width="20.7109375" customWidth="1"/>
    <col min="8" max="8" width="20.7109375" hidden="1" customWidth="1"/>
    <col min="9" max="9" width="20.7109375" customWidth="1"/>
    <col min="11" max="11" width="2.5703125" style="49" customWidth="1"/>
    <col min="12" max="12" width="5.7109375" customWidth="1"/>
  </cols>
  <sheetData>
    <row r="1" spans="1:12" s="96" customFormat="1" ht="15.75" x14ac:dyDescent="0.25">
      <c r="A1" s="56" t="s">
        <v>243</v>
      </c>
    </row>
    <row r="2" spans="1:12" s="96" customFormat="1" ht="26.25" x14ac:dyDescent="0.4">
      <c r="A2" s="112" t="s">
        <v>1004</v>
      </c>
    </row>
    <row r="3" spans="1:12" s="49" customFormat="1" ht="15" customHeight="1" x14ac:dyDescent="0.5">
      <c r="B3" s="797"/>
      <c r="C3" s="797"/>
      <c r="D3" s="797"/>
      <c r="E3" s="797"/>
      <c r="F3" s="797"/>
      <c r="G3" s="797"/>
      <c r="H3" s="797"/>
      <c r="I3" s="797"/>
    </row>
    <row r="4" spans="1:12" s="10" customFormat="1" ht="18" customHeight="1" x14ac:dyDescent="0.3">
      <c r="A4" s="47" t="s">
        <v>961</v>
      </c>
      <c r="C4" s="4"/>
      <c r="D4" s="46"/>
      <c r="E4" s="46"/>
      <c r="F4" s="46"/>
      <c r="G4" s="46"/>
      <c r="H4" s="46"/>
      <c r="K4" s="50"/>
      <c r="L4" s="45" t="s">
        <v>120</v>
      </c>
    </row>
    <row r="5" spans="1:12" s="10" customFormat="1" ht="15" customHeight="1" x14ac:dyDescent="0.3">
      <c r="B5" s="47"/>
      <c r="C5" s="4"/>
      <c r="D5" s="46"/>
      <c r="E5" s="46"/>
      <c r="F5" s="46"/>
      <c r="G5" s="46"/>
      <c r="H5" s="46"/>
      <c r="K5" s="50"/>
    </row>
    <row r="6" spans="1:12" s="10" customFormat="1" ht="15" customHeight="1" thickBot="1" x14ac:dyDescent="0.3">
      <c r="B6" s="46" t="s">
        <v>992</v>
      </c>
      <c r="C6" s="4"/>
      <c r="D6" s="46"/>
      <c r="E6" s="46"/>
      <c r="F6" s="46"/>
      <c r="G6" s="46"/>
      <c r="H6" s="46"/>
      <c r="K6" s="50"/>
    </row>
    <row r="7" spans="1:12" s="10" customFormat="1" ht="60" x14ac:dyDescent="0.25">
      <c r="A7"/>
      <c r="B7" s="585"/>
      <c r="C7" s="298" t="s">
        <v>187</v>
      </c>
      <c r="D7" s="413" t="s">
        <v>188</v>
      </c>
      <c r="E7" s="413" t="s">
        <v>811</v>
      </c>
      <c r="F7" s="298" t="s">
        <v>182</v>
      </c>
      <c r="G7" s="413" t="s">
        <v>183</v>
      </c>
      <c r="H7" s="297" t="s">
        <v>128</v>
      </c>
      <c r="I7" s="297" t="s">
        <v>189</v>
      </c>
      <c r="J7" s="75"/>
      <c r="K7" s="50"/>
    </row>
    <row r="8" spans="1:12" s="10" customFormat="1" ht="18" customHeight="1" x14ac:dyDescent="0.25">
      <c r="B8" s="19" t="s">
        <v>7</v>
      </c>
      <c r="C8" s="63">
        <f>IFERROR(AVERAGEIFS($E$97:$E$216,$C$97:$C$216,"="&amp;B8), "NA")</f>
        <v>2.1666666666666665</v>
      </c>
      <c r="D8" s="63">
        <f t="shared" ref="D8:D19" si="0">IFERROR(AVERAGEIFS($E$225:$E$448,$C$225:$C$448,"="&amp;B8), "NA")</f>
        <v>2.8125</v>
      </c>
      <c r="E8" s="38">
        <f>IFERROR(ABS(D8-C8), "NA")</f>
        <v>0.64583333333333348</v>
      </c>
      <c r="F8" s="610">
        <f t="shared" ref="F8:F19" si="1">COUNTIFS($C$97:$C$220, "="&amp;B8,$E$97:$E$220,"&gt;=0")</f>
        <v>6</v>
      </c>
      <c r="G8" s="35">
        <f t="shared" ref="G8:G19" si="2">COUNTIFS($E$225:$E$448, "&gt;=0", $C$225:$C$448, "="&amp;B8)</f>
        <v>16</v>
      </c>
      <c r="H8" s="466" t="s">
        <v>126</v>
      </c>
      <c r="I8" s="39">
        <f t="shared" ref="I8:I19" si="3">IF(AND(ISNUMBER(C8),ISNUMBER(D8)),IF(H8="Average All",((F8*C8)+(G8*D8))/(F8+G8),AVERAGE(C8:D8)), IF(AND(C8="NA", ISNUMBER(D8)), D8, "NA"))</f>
        <v>2.489583333333333</v>
      </c>
      <c r="J8" s="69"/>
      <c r="K8" s="50"/>
    </row>
    <row r="9" spans="1:12" s="10" customFormat="1" ht="18" customHeight="1" x14ac:dyDescent="0.25">
      <c r="B9" s="19" t="s">
        <v>34</v>
      </c>
      <c r="C9" s="63" t="str">
        <f t="shared" ref="C9:C19" si="4">IFERROR(AVERAGEIFS($E$97:$E$216,$C$97:$C$216,"="&amp;B9), "NA")</f>
        <v>NA</v>
      </c>
      <c r="D9" s="63" t="str">
        <f t="shared" si="0"/>
        <v>NA</v>
      </c>
      <c r="E9" s="38" t="str">
        <f t="shared" ref="E9:E19" si="5">IFERROR(ABS(D9-C9), "NA")</f>
        <v>NA</v>
      </c>
      <c r="F9" s="76">
        <f t="shared" si="1"/>
        <v>0</v>
      </c>
      <c r="G9" s="35">
        <f t="shared" si="2"/>
        <v>0</v>
      </c>
      <c r="H9" s="466" t="s">
        <v>125</v>
      </c>
      <c r="I9" s="39" t="str">
        <f t="shared" si="3"/>
        <v>NA</v>
      </c>
      <c r="J9" s="72"/>
      <c r="K9" s="50"/>
    </row>
    <row r="10" spans="1:12" s="10" customFormat="1" ht="18" customHeight="1" x14ac:dyDescent="0.25">
      <c r="B10" s="19" t="s">
        <v>8</v>
      </c>
      <c r="C10" s="63">
        <f t="shared" si="4"/>
        <v>2</v>
      </c>
      <c r="D10" s="63">
        <f t="shared" si="0"/>
        <v>2.5625</v>
      </c>
      <c r="E10" s="38">
        <f t="shared" si="5"/>
        <v>0.5625</v>
      </c>
      <c r="F10" s="76">
        <f t="shared" si="1"/>
        <v>1</v>
      </c>
      <c r="G10" s="35">
        <f t="shared" si="2"/>
        <v>16</v>
      </c>
      <c r="H10" s="466" t="s">
        <v>125</v>
      </c>
      <c r="I10" s="39">
        <f t="shared" si="3"/>
        <v>2.5294117647058822</v>
      </c>
      <c r="J10" s="72"/>
      <c r="K10" s="50"/>
    </row>
    <row r="11" spans="1:12" s="10" customFormat="1" ht="18" customHeight="1" x14ac:dyDescent="0.25">
      <c r="B11" s="19" t="s">
        <v>9</v>
      </c>
      <c r="C11" s="63">
        <f t="shared" si="4"/>
        <v>3.7777777777777777</v>
      </c>
      <c r="D11" s="63">
        <f t="shared" si="0"/>
        <v>3.5625</v>
      </c>
      <c r="E11" s="38">
        <f t="shared" si="5"/>
        <v>0.21527777777777768</v>
      </c>
      <c r="F11" s="76">
        <f t="shared" si="1"/>
        <v>9</v>
      </c>
      <c r="G11" s="35">
        <f t="shared" si="2"/>
        <v>16</v>
      </c>
      <c r="H11" s="466" t="s">
        <v>126</v>
      </c>
      <c r="I11" s="39">
        <f t="shared" si="3"/>
        <v>3.6701388888888888</v>
      </c>
      <c r="J11" s="72"/>
      <c r="K11" s="50"/>
    </row>
    <row r="12" spans="1:12" s="14" customFormat="1" x14ac:dyDescent="0.25">
      <c r="A12" s="10"/>
      <c r="B12" s="19" t="s">
        <v>10</v>
      </c>
      <c r="C12" s="63">
        <f t="shared" si="4"/>
        <v>3</v>
      </c>
      <c r="D12" s="63">
        <f t="shared" si="0"/>
        <v>3.1875</v>
      </c>
      <c r="E12" s="38">
        <f t="shared" si="5"/>
        <v>0.1875</v>
      </c>
      <c r="F12" s="76">
        <f t="shared" si="1"/>
        <v>1</v>
      </c>
      <c r="G12" s="35">
        <f t="shared" si="2"/>
        <v>16</v>
      </c>
      <c r="H12" s="466" t="s">
        <v>125</v>
      </c>
      <c r="I12" s="39">
        <f t="shared" si="3"/>
        <v>3.1764705882352939</v>
      </c>
      <c r="J12" s="72"/>
      <c r="K12" s="50"/>
    </row>
    <row r="13" spans="1:12" x14ac:dyDescent="0.25">
      <c r="A13" s="10"/>
      <c r="B13" s="19" t="s">
        <v>11</v>
      </c>
      <c r="C13" s="63">
        <f t="shared" si="4"/>
        <v>4.3</v>
      </c>
      <c r="D13" s="63">
        <f t="shared" si="0"/>
        <v>3.75</v>
      </c>
      <c r="E13" s="38">
        <f t="shared" si="5"/>
        <v>0.54999999999999982</v>
      </c>
      <c r="F13" s="76">
        <f t="shared" si="1"/>
        <v>10</v>
      </c>
      <c r="G13" s="35">
        <f t="shared" si="2"/>
        <v>16</v>
      </c>
      <c r="H13" s="466" t="s">
        <v>126</v>
      </c>
      <c r="I13" s="39">
        <f t="shared" si="3"/>
        <v>4.0250000000000004</v>
      </c>
      <c r="J13" s="72"/>
      <c r="K13" s="50"/>
    </row>
    <row r="14" spans="1:12" x14ac:dyDescent="0.25">
      <c r="A14" s="10"/>
      <c r="B14" s="19" t="s">
        <v>12</v>
      </c>
      <c r="C14" s="63">
        <f t="shared" si="4"/>
        <v>2.625</v>
      </c>
      <c r="D14" s="63">
        <f t="shared" si="0"/>
        <v>3.125</v>
      </c>
      <c r="E14" s="38">
        <f t="shared" si="5"/>
        <v>0.5</v>
      </c>
      <c r="F14" s="76">
        <f t="shared" si="1"/>
        <v>16</v>
      </c>
      <c r="G14" s="35">
        <f t="shared" si="2"/>
        <v>16</v>
      </c>
      <c r="H14" s="466" t="s">
        <v>126</v>
      </c>
      <c r="I14" s="39">
        <f t="shared" si="3"/>
        <v>2.875</v>
      </c>
      <c r="J14" s="72"/>
      <c r="K14" s="50"/>
    </row>
    <row r="15" spans="1:12" x14ac:dyDescent="0.25">
      <c r="A15" s="10"/>
      <c r="B15" s="19" t="s">
        <v>13</v>
      </c>
      <c r="C15" s="63">
        <f t="shared" si="4"/>
        <v>3</v>
      </c>
      <c r="D15" s="63">
        <f t="shared" si="0"/>
        <v>4.375</v>
      </c>
      <c r="E15" s="38">
        <f t="shared" si="5"/>
        <v>1.375</v>
      </c>
      <c r="F15" s="76">
        <f t="shared" si="1"/>
        <v>2</v>
      </c>
      <c r="G15" s="35">
        <f t="shared" si="2"/>
        <v>16</v>
      </c>
      <c r="H15" s="466" t="s">
        <v>125</v>
      </c>
      <c r="I15" s="39">
        <f t="shared" si="3"/>
        <v>4.2222222222222223</v>
      </c>
      <c r="J15" s="72"/>
      <c r="K15" s="50"/>
    </row>
    <row r="16" spans="1:12" x14ac:dyDescent="0.25">
      <c r="A16" s="10"/>
      <c r="B16" s="19" t="s">
        <v>14</v>
      </c>
      <c r="C16" s="63">
        <f t="shared" si="4"/>
        <v>2.4</v>
      </c>
      <c r="D16" s="63">
        <f t="shared" si="0"/>
        <v>2.5</v>
      </c>
      <c r="E16" s="38">
        <f t="shared" si="5"/>
        <v>0.10000000000000009</v>
      </c>
      <c r="F16" s="76">
        <f t="shared" si="1"/>
        <v>20</v>
      </c>
      <c r="G16" s="35">
        <f t="shared" si="2"/>
        <v>16</v>
      </c>
      <c r="H16" s="466" t="s">
        <v>126</v>
      </c>
      <c r="I16" s="39">
        <f t="shared" si="3"/>
        <v>2.4500000000000002</v>
      </c>
      <c r="J16" s="72"/>
      <c r="K16" s="51"/>
    </row>
    <row r="17" spans="1:11" x14ac:dyDescent="0.25">
      <c r="A17" s="10"/>
      <c r="B17" s="19" t="s">
        <v>15</v>
      </c>
      <c r="C17" s="63">
        <f t="shared" si="4"/>
        <v>1.5</v>
      </c>
      <c r="D17" s="63">
        <f t="shared" si="0"/>
        <v>3.375</v>
      </c>
      <c r="E17" s="38">
        <f t="shared" si="5"/>
        <v>1.875</v>
      </c>
      <c r="F17" s="76">
        <f t="shared" si="1"/>
        <v>2</v>
      </c>
      <c r="G17" s="35">
        <f t="shared" si="2"/>
        <v>16</v>
      </c>
      <c r="H17" s="466" t="s">
        <v>125</v>
      </c>
      <c r="I17" s="39">
        <f t="shared" si="3"/>
        <v>3.1666666666666665</v>
      </c>
      <c r="J17" s="72"/>
    </row>
    <row r="18" spans="1:11" x14ac:dyDescent="0.25">
      <c r="A18" s="10"/>
      <c r="B18" s="19" t="s">
        <v>16</v>
      </c>
      <c r="C18" s="63">
        <f t="shared" si="4"/>
        <v>3.4</v>
      </c>
      <c r="D18" s="63">
        <f t="shared" si="0"/>
        <v>2.375</v>
      </c>
      <c r="E18" s="38">
        <f t="shared" si="5"/>
        <v>1.0249999999999999</v>
      </c>
      <c r="F18" s="76">
        <f t="shared" si="1"/>
        <v>5</v>
      </c>
      <c r="G18" s="35">
        <f t="shared" si="2"/>
        <v>16</v>
      </c>
      <c r="H18" s="466" t="s">
        <v>126</v>
      </c>
      <c r="I18" s="39">
        <f t="shared" si="3"/>
        <v>2.8875000000000002</v>
      </c>
      <c r="J18" s="72"/>
      <c r="K18" s="52"/>
    </row>
    <row r="19" spans="1:11" ht="15.75" thickBot="1" x14ac:dyDescent="0.3">
      <c r="A19" s="10"/>
      <c r="B19" s="20" t="s">
        <v>17</v>
      </c>
      <c r="C19" s="64">
        <f t="shared" si="4"/>
        <v>2</v>
      </c>
      <c r="D19" s="64">
        <f t="shared" si="0"/>
        <v>3.125</v>
      </c>
      <c r="E19" s="41">
        <f t="shared" si="5"/>
        <v>1.125</v>
      </c>
      <c r="F19" s="77">
        <f t="shared" si="1"/>
        <v>14</v>
      </c>
      <c r="G19" s="36">
        <f t="shared" si="2"/>
        <v>16</v>
      </c>
      <c r="H19" s="467" t="s">
        <v>126</v>
      </c>
      <c r="I19" s="42">
        <f t="shared" si="3"/>
        <v>2.5625</v>
      </c>
      <c r="J19" s="72"/>
    </row>
    <row r="20" spans="1:11" x14ac:dyDescent="0.25">
      <c r="A20" s="10"/>
      <c r="K20" s="52"/>
    </row>
    <row r="21" spans="1:11" ht="15.75" thickBot="1" x14ac:dyDescent="0.3">
      <c r="A21" s="10"/>
      <c r="B21" s="46" t="s">
        <v>993</v>
      </c>
      <c r="K21" s="52"/>
    </row>
    <row r="22" spans="1:11" ht="60" x14ac:dyDescent="0.25">
      <c r="A22" s="10"/>
      <c r="B22" s="585"/>
      <c r="C22" s="298" t="s">
        <v>191</v>
      </c>
      <c r="D22" s="413" t="s">
        <v>192</v>
      </c>
      <c r="E22" s="413" t="s">
        <v>811</v>
      </c>
      <c r="F22" s="298" t="s">
        <v>182</v>
      </c>
      <c r="G22" s="413" t="s">
        <v>183</v>
      </c>
      <c r="H22" s="297" t="s">
        <v>128</v>
      </c>
      <c r="I22" s="297" t="s">
        <v>190</v>
      </c>
      <c r="K22" s="52"/>
    </row>
    <row r="23" spans="1:11" x14ac:dyDescent="0.25">
      <c r="A23" s="10"/>
      <c r="B23" s="19" t="s">
        <v>7</v>
      </c>
      <c r="C23" s="63">
        <f>IFERROR(AVERAGEIFS($F$97:$F$216,$C$97:$C$216,"="&amp;B23), "NA")</f>
        <v>4.5</v>
      </c>
      <c r="D23" s="63">
        <f t="shared" ref="D23:D34" si="6">IFERROR(AVERAGEIFS($F$225:$F$448,$C$225:$C$448,"="&amp;B23), "NA")</f>
        <v>3.25</v>
      </c>
      <c r="E23" s="38">
        <f>IFERROR(ABS(D23-C23), "NA")</f>
        <v>1.25</v>
      </c>
      <c r="F23" s="610">
        <f t="shared" ref="F23:F34" si="7">COUNTIFS($C$97:$C$220, "="&amp;B23,$F$97:$F$220,"&gt;=0")</f>
        <v>6</v>
      </c>
      <c r="G23" s="35">
        <f t="shared" ref="G23:G34" si="8">COUNTIFS($F$225:$F$448, "&gt;=0", $C$225:$C$448, "="&amp;B23)</f>
        <v>4</v>
      </c>
      <c r="H23" s="466" t="s">
        <v>126</v>
      </c>
      <c r="I23" s="39">
        <f t="shared" ref="I23:I34" si="9">IF(AND(ISNUMBER(C23),ISNUMBER(D23)),IF(H23="Average All",((F23*C23)+(G23*D23))/(F23+G23),AVERAGE(C23:D23)), IF(AND(C23="NA", ISNUMBER(D23)), D23, "NA"))</f>
        <v>3.875</v>
      </c>
      <c r="K23" s="52"/>
    </row>
    <row r="24" spans="1:11" x14ac:dyDescent="0.25">
      <c r="A24" s="10"/>
      <c r="B24" s="19" t="s">
        <v>34</v>
      </c>
      <c r="C24" s="63" t="str">
        <f t="shared" ref="C24:C34" si="10">IFERROR(AVERAGEIFS($F$97:$F$216,$C$97:$C$216,"="&amp;B24), "NA")</f>
        <v>NA</v>
      </c>
      <c r="D24" s="63" t="str">
        <f t="shared" si="6"/>
        <v>NA</v>
      </c>
      <c r="E24" s="38" t="str">
        <f t="shared" ref="E24:E34" si="11">IFERROR(ABS(D24-C24), "NA")</f>
        <v>NA</v>
      </c>
      <c r="F24" s="76">
        <f t="shared" si="7"/>
        <v>0</v>
      </c>
      <c r="G24" s="35">
        <f t="shared" si="8"/>
        <v>0</v>
      </c>
      <c r="H24" s="466" t="s">
        <v>125</v>
      </c>
      <c r="I24" s="39" t="str">
        <f t="shared" si="9"/>
        <v>NA</v>
      </c>
      <c r="K24" s="52"/>
    </row>
    <row r="25" spans="1:11" x14ac:dyDescent="0.25">
      <c r="A25" s="10"/>
      <c r="B25" s="19" t="s">
        <v>8</v>
      </c>
      <c r="C25" s="63">
        <f t="shared" si="10"/>
        <v>3</v>
      </c>
      <c r="D25" s="63">
        <f t="shared" si="6"/>
        <v>1.6923076923076923</v>
      </c>
      <c r="E25" s="38">
        <f t="shared" si="11"/>
        <v>1.3076923076923077</v>
      </c>
      <c r="F25" s="76">
        <f t="shared" si="7"/>
        <v>1</v>
      </c>
      <c r="G25" s="35">
        <f t="shared" si="8"/>
        <v>13</v>
      </c>
      <c r="H25" s="466" t="s">
        <v>125</v>
      </c>
      <c r="I25" s="39">
        <f t="shared" si="9"/>
        <v>1.7857142857142858</v>
      </c>
      <c r="K25" s="52"/>
    </row>
    <row r="26" spans="1:11" x14ac:dyDescent="0.25">
      <c r="A26" s="10"/>
      <c r="B26" s="19" t="s">
        <v>9</v>
      </c>
      <c r="C26" s="63">
        <f t="shared" si="10"/>
        <v>4</v>
      </c>
      <c r="D26" s="63">
        <f t="shared" si="6"/>
        <v>3.6666666666666665</v>
      </c>
      <c r="E26" s="38">
        <f t="shared" si="11"/>
        <v>0.33333333333333348</v>
      </c>
      <c r="F26" s="76">
        <f t="shared" si="7"/>
        <v>9</v>
      </c>
      <c r="G26" s="35">
        <f t="shared" si="8"/>
        <v>6</v>
      </c>
      <c r="H26" s="466" t="s">
        <v>126</v>
      </c>
      <c r="I26" s="39">
        <f t="shared" si="9"/>
        <v>3.833333333333333</v>
      </c>
      <c r="K26" s="52"/>
    </row>
    <row r="27" spans="1:11" x14ac:dyDescent="0.25">
      <c r="A27" s="10"/>
      <c r="B27" s="19" t="s">
        <v>10</v>
      </c>
      <c r="C27" s="63">
        <f t="shared" si="10"/>
        <v>5</v>
      </c>
      <c r="D27" s="63">
        <f t="shared" si="6"/>
        <v>2.8888888888888888</v>
      </c>
      <c r="E27" s="38">
        <f t="shared" si="11"/>
        <v>2.1111111111111112</v>
      </c>
      <c r="F27" s="76">
        <f t="shared" si="7"/>
        <v>1</v>
      </c>
      <c r="G27" s="35">
        <f t="shared" si="8"/>
        <v>9</v>
      </c>
      <c r="H27" s="466" t="s">
        <v>125</v>
      </c>
      <c r="I27" s="39">
        <f t="shared" si="9"/>
        <v>3.1</v>
      </c>
      <c r="K27" s="52"/>
    </row>
    <row r="28" spans="1:11" x14ac:dyDescent="0.25">
      <c r="A28" s="10"/>
      <c r="B28" s="19" t="s">
        <v>11</v>
      </c>
      <c r="C28" s="63">
        <f t="shared" si="10"/>
        <v>5</v>
      </c>
      <c r="D28" s="63">
        <f t="shared" si="6"/>
        <v>3</v>
      </c>
      <c r="E28" s="38">
        <f t="shared" si="11"/>
        <v>2</v>
      </c>
      <c r="F28" s="76">
        <f t="shared" si="7"/>
        <v>10</v>
      </c>
      <c r="G28" s="35">
        <f t="shared" si="8"/>
        <v>4</v>
      </c>
      <c r="H28" s="466" t="s">
        <v>126</v>
      </c>
      <c r="I28" s="39">
        <f t="shared" si="9"/>
        <v>4</v>
      </c>
      <c r="K28" s="52"/>
    </row>
    <row r="29" spans="1:11" x14ac:dyDescent="0.25">
      <c r="A29" s="10"/>
      <c r="B29" s="19" t="s">
        <v>12</v>
      </c>
      <c r="C29" s="63">
        <f t="shared" si="10"/>
        <v>4.875</v>
      </c>
      <c r="D29" s="63">
        <f t="shared" si="6"/>
        <v>3.8571428571428572</v>
      </c>
      <c r="E29" s="38">
        <f t="shared" si="11"/>
        <v>1.0178571428571428</v>
      </c>
      <c r="F29" s="76">
        <f t="shared" si="7"/>
        <v>16</v>
      </c>
      <c r="G29" s="35">
        <f t="shared" si="8"/>
        <v>7</v>
      </c>
      <c r="H29" s="466" t="s">
        <v>126</v>
      </c>
      <c r="I29" s="39">
        <f t="shared" si="9"/>
        <v>4.3660714285714288</v>
      </c>
      <c r="K29" s="52"/>
    </row>
    <row r="30" spans="1:11" x14ac:dyDescent="0.25">
      <c r="A30" s="10"/>
      <c r="B30" s="19" t="s">
        <v>13</v>
      </c>
      <c r="C30" s="63">
        <f t="shared" si="10"/>
        <v>3</v>
      </c>
      <c r="D30" s="63">
        <f t="shared" si="6"/>
        <v>3.5</v>
      </c>
      <c r="E30" s="38">
        <f t="shared" si="11"/>
        <v>0.5</v>
      </c>
      <c r="F30" s="76">
        <f t="shared" si="7"/>
        <v>2</v>
      </c>
      <c r="G30" s="35">
        <f t="shared" si="8"/>
        <v>2</v>
      </c>
      <c r="H30" s="466" t="s">
        <v>125</v>
      </c>
      <c r="I30" s="39">
        <f t="shared" si="9"/>
        <v>3.25</v>
      </c>
      <c r="K30" s="52"/>
    </row>
    <row r="31" spans="1:11" x14ac:dyDescent="0.25">
      <c r="A31" s="10"/>
      <c r="B31" s="19" t="s">
        <v>14</v>
      </c>
      <c r="C31" s="63">
        <f t="shared" si="10"/>
        <v>2.5789473684210527</v>
      </c>
      <c r="D31" s="63">
        <f t="shared" si="6"/>
        <v>2.8571428571428572</v>
      </c>
      <c r="E31" s="38">
        <f t="shared" si="11"/>
        <v>0.27819548872180455</v>
      </c>
      <c r="F31" s="76">
        <f t="shared" si="7"/>
        <v>19</v>
      </c>
      <c r="G31" s="35">
        <f t="shared" si="8"/>
        <v>14</v>
      </c>
      <c r="H31" s="466" t="s">
        <v>126</v>
      </c>
      <c r="I31" s="39">
        <f t="shared" si="9"/>
        <v>2.7180451127819549</v>
      </c>
      <c r="K31" s="52"/>
    </row>
    <row r="32" spans="1:11" x14ac:dyDescent="0.25">
      <c r="A32" s="10"/>
      <c r="B32" s="19" t="s">
        <v>15</v>
      </c>
      <c r="C32" s="63">
        <f t="shared" si="10"/>
        <v>4</v>
      </c>
      <c r="D32" s="63">
        <f t="shared" si="6"/>
        <v>3.1428571428571428</v>
      </c>
      <c r="E32" s="38">
        <f t="shared" si="11"/>
        <v>0.85714285714285721</v>
      </c>
      <c r="F32" s="76">
        <f t="shared" si="7"/>
        <v>2</v>
      </c>
      <c r="G32" s="35">
        <f t="shared" si="8"/>
        <v>7</v>
      </c>
      <c r="H32" s="466" t="s">
        <v>125</v>
      </c>
      <c r="I32" s="39">
        <f t="shared" si="9"/>
        <v>3.3333333333333335</v>
      </c>
      <c r="K32" s="52"/>
    </row>
    <row r="33" spans="1:11" x14ac:dyDescent="0.25">
      <c r="A33" s="10"/>
      <c r="B33" s="19" t="s">
        <v>16</v>
      </c>
      <c r="C33" s="63">
        <f t="shared" si="10"/>
        <v>3.4</v>
      </c>
      <c r="D33" s="63">
        <f t="shared" si="6"/>
        <v>1.8</v>
      </c>
      <c r="E33" s="38">
        <f t="shared" si="11"/>
        <v>1.5999999999999999</v>
      </c>
      <c r="F33" s="76">
        <f t="shared" si="7"/>
        <v>5</v>
      </c>
      <c r="G33" s="35">
        <f t="shared" si="8"/>
        <v>15</v>
      </c>
      <c r="H33" s="466" t="s">
        <v>126</v>
      </c>
      <c r="I33" s="39">
        <f t="shared" si="9"/>
        <v>2.6</v>
      </c>
      <c r="K33" s="52"/>
    </row>
    <row r="34" spans="1:11" ht="15.75" thickBot="1" x14ac:dyDescent="0.3">
      <c r="A34" s="10"/>
      <c r="B34" s="20" t="s">
        <v>17</v>
      </c>
      <c r="C34" s="64">
        <f t="shared" si="10"/>
        <v>1.9230769230769231</v>
      </c>
      <c r="D34" s="64">
        <f t="shared" si="6"/>
        <v>2.5</v>
      </c>
      <c r="E34" s="41">
        <f t="shared" si="11"/>
        <v>0.57692307692307687</v>
      </c>
      <c r="F34" s="77">
        <f t="shared" si="7"/>
        <v>13</v>
      </c>
      <c r="G34" s="36">
        <f t="shared" si="8"/>
        <v>14</v>
      </c>
      <c r="H34" s="467" t="s">
        <v>126</v>
      </c>
      <c r="I34" s="42">
        <f t="shared" si="9"/>
        <v>2.2115384615384617</v>
      </c>
      <c r="K34" s="52"/>
    </row>
    <row r="35" spans="1:11" x14ac:dyDescent="0.25">
      <c r="A35" s="10"/>
      <c r="B35" s="11"/>
      <c r="K35" s="52"/>
    </row>
    <row r="36" spans="1:11" ht="15.75" thickBot="1" x14ac:dyDescent="0.3">
      <c r="A36" s="10"/>
      <c r="B36" s="46" t="s">
        <v>994</v>
      </c>
      <c r="K36" s="52"/>
    </row>
    <row r="37" spans="1:11" ht="45" x14ac:dyDescent="0.25">
      <c r="A37" s="10"/>
      <c r="B37" s="149"/>
      <c r="C37" s="33" t="s">
        <v>189</v>
      </c>
      <c r="D37" s="33" t="s">
        <v>190</v>
      </c>
      <c r="E37" s="413" t="s">
        <v>193</v>
      </c>
      <c r="F37" s="611"/>
      <c r="G37" s="612"/>
      <c r="H37" s="612"/>
      <c r="I37" s="613"/>
      <c r="K37" s="52"/>
    </row>
    <row r="38" spans="1:11" x14ac:dyDescent="0.25">
      <c r="A38" s="10"/>
      <c r="B38" s="19" t="s">
        <v>7</v>
      </c>
      <c r="C38" s="241">
        <f t="shared" ref="C38:C49" si="12">I8</f>
        <v>2.489583333333333</v>
      </c>
      <c r="D38" s="241">
        <f t="shared" ref="D38:D49" si="13">I23</f>
        <v>3.875</v>
      </c>
      <c r="E38" s="150">
        <f>IF(OR(C38="NA", D38="NA"), "NA",AVERAGE(C38,D38))</f>
        <v>3.1822916666666665</v>
      </c>
      <c r="F38" s="614"/>
      <c r="G38" s="615"/>
      <c r="H38" s="615"/>
      <c r="I38" s="616"/>
      <c r="K38" s="52"/>
    </row>
    <row r="39" spans="1:11" x14ac:dyDescent="0.25">
      <c r="A39" s="10"/>
      <c r="B39" s="19" t="s">
        <v>34</v>
      </c>
      <c r="C39" s="241" t="str">
        <f t="shared" si="12"/>
        <v>NA</v>
      </c>
      <c r="D39" s="241" t="str">
        <f t="shared" si="13"/>
        <v>NA</v>
      </c>
      <c r="E39" s="150" t="str">
        <f t="shared" ref="E39:E49" si="14">IF(OR(C39="NA", D39="NA"), "NA",AVERAGE(C39,D39))</f>
        <v>NA</v>
      </c>
      <c r="F39" s="614"/>
      <c r="G39" s="615"/>
      <c r="H39" s="615"/>
      <c r="I39" s="616"/>
      <c r="K39" s="52"/>
    </row>
    <row r="40" spans="1:11" x14ac:dyDescent="0.25">
      <c r="A40" s="10"/>
      <c r="B40" s="19" t="s">
        <v>8</v>
      </c>
      <c r="C40" s="241">
        <f t="shared" si="12"/>
        <v>2.5294117647058822</v>
      </c>
      <c r="D40" s="241">
        <f t="shared" si="13"/>
        <v>1.7857142857142858</v>
      </c>
      <c r="E40" s="150">
        <f t="shared" si="14"/>
        <v>2.1575630252100839</v>
      </c>
      <c r="F40" s="614"/>
      <c r="G40" s="615"/>
      <c r="H40" s="615"/>
      <c r="I40" s="616"/>
      <c r="K40" s="52"/>
    </row>
    <row r="41" spans="1:11" x14ac:dyDescent="0.25">
      <c r="A41" s="10"/>
      <c r="B41" s="19" t="s">
        <v>9</v>
      </c>
      <c r="C41" s="241">
        <f t="shared" si="12"/>
        <v>3.6701388888888888</v>
      </c>
      <c r="D41" s="241">
        <f t="shared" si="13"/>
        <v>3.833333333333333</v>
      </c>
      <c r="E41" s="150">
        <f t="shared" si="14"/>
        <v>3.7517361111111107</v>
      </c>
      <c r="F41" s="614"/>
      <c r="G41" s="615"/>
      <c r="H41" s="615"/>
      <c r="I41" s="616"/>
      <c r="K41" s="52"/>
    </row>
    <row r="42" spans="1:11" x14ac:dyDescent="0.25">
      <c r="A42" s="10"/>
      <c r="B42" s="19" t="s">
        <v>10</v>
      </c>
      <c r="C42" s="241">
        <f t="shared" si="12"/>
        <v>3.1764705882352939</v>
      </c>
      <c r="D42" s="241">
        <f t="shared" si="13"/>
        <v>3.1</v>
      </c>
      <c r="E42" s="150">
        <f t="shared" si="14"/>
        <v>3.138235294117647</v>
      </c>
      <c r="F42" s="614"/>
      <c r="G42" s="615"/>
      <c r="H42" s="615"/>
      <c r="I42" s="616"/>
      <c r="K42" s="52"/>
    </row>
    <row r="43" spans="1:11" x14ac:dyDescent="0.25">
      <c r="A43" s="10"/>
      <c r="B43" s="19" t="s">
        <v>11</v>
      </c>
      <c r="C43" s="241">
        <f t="shared" si="12"/>
        <v>4.0250000000000004</v>
      </c>
      <c r="D43" s="241">
        <f t="shared" si="13"/>
        <v>4</v>
      </c>
      <c r="E43" s="150">
        <f t="shared" si="14"/>
        <v>4.0125000000000002</v>
      </c>
      <c r="F43" s="614"/>
      <c r="G43" s="615"/>
      <c r="H43" s="615"/>
      <c r="I43" s="616"/>
      <c r="K43" s="52"/>
    </row>
    <row r="44" spans="1:11" x14ac:dyDescent="0.25">
      <c r="A44" s="10"/>
      <c r="B44" s="19" t="s">
        <v>12</v>
      </c>
      <c r="C44" s="241">
        <f t="shared" si="12"/>
        <v>2.875</v>
      </c>
      <c r="D44" s="241">
        <f t="shared" si="13"/>
        <v>4.3660714285714288</v>
      </c>
      <c r="E44" s="150">
        <f t="shared" si="14"/>
        <v>3.6205357142857144</v>
      </c>
      <c r="F44" s="614"/>
      <c r="G44" s="615"/>
      <c r="H44" s="615"/>
      <c r="I44" s="616"/>
      <c r="K44" s="52"/>
    </row>
    <row r="45" spans="1:11" x14ac:dyDescent="0.25">
      <c r="A45" s="10"/>
      <c r="B45" s="19" t="s">
        <v>13</v>
      </c>
      <c r="C45" s="241">
        <f t="shared" si="12"/>
        <v>4.2222222222222223</v>
      </c>
      <c r="D45" s="241">
        <f t="shared" si="13"/>
        <v>3.25</v>
      </c>
      <c r="E45" s="150">
        <f t="shared" si="14"/>
        <v>3.7361111111111112</v>
      </c>
      <c r="F45" s="614"/>
      <c r="G45" s="615"/>
      <c r="H45" s="615"/>
      <c r="I45" s="616"/>
      <c r="K45" s="52"/>
    </row>
    <row r="46" spans="1:11" x14ac:dyDescent="0.25">
      <c r="A46" s="10"/>
      <c r="B46" s="19" t="s">
        <v>14</v>
      </c>
      <c r="C46" s="241">
        <f t="shared" si="12"/>
        <v>2.4500000000000002</v>
      </c>
      <c r="D46" s="241">
        <f t="shared" si="13"/>
        <v>2.7180451127819549</v>
      </c>
      <c r="E46" s="150">
        <f t="shared" si="14"/>
        <v>2.5840225563909778</v>
      </c>
      <c r="F46" s="614"/>
      <c r="G46" s="615"/>
      <c r="H46" s="615"/>
      <c r="I46" s="616"/>
      <c r="K46" s="52"/>
    </row>
    <row r="47" spans="1:11" x14ac:dyDescent="0.25">
      <c r="A47" s="10"/>
      <c r="B47" s="19" t="s">
        <v>15</v>
      </c>
      <c r="C47" s="241">
        <f t="shared" si="12"/>
        <v>3.1666666666666665</v>
      </c>
      <c r="D47" s="241">
        <f t="shared" si="13"/>
        <v>3.3333333333333335</v>
      </c>
      <c r="E47" s="150">
        <f t="shared" si="14"/>
        <v>3.25</v>
      </c>
      <c r="F47" s="614"/>
      <c r="G47" s="615"/>
      <c r="H47" s="615"/>
      <c r="I47" s="616"/>
      <c r="K47" s="52"/>
    </row>
    <row r="48" spans="1:11" x14ac:dyDescent="0.25">
      <c r="A48" s="10"/>
      <c r="B48" s="19" t="s">
        <v>16</v>
      </c>
      <c r="C48" s="241">
        <f t="shared" si="12"/>
        <v>2.8875000000000002</v>
      </c>
      <c r="D48" s="241">
        <f t="shared" si="13"/>
        <v>2.6</v>
      </c>
      <c r="E48" s="150">
        <f t="shared" si="14"/>
        <v>2.7437500000000004</v>
      </c>
      <c r="F48" s="614"/>
      <c r="G48" s="615"/>
      <c r="H48" s="615"/>
      <c r="I48" s="616"/>
      <c r="K48" s="52"/>
    </row>
    <row r="49" spans="1:11" ht="15.75" thickBot="1" x14ac:dyDescent="0.3">
      <c r="A49" s="10"/>
      <c r="B49" s="20" t="s">
        <v>17</v>
      </c>
      <c r="C49" s="242">
        <f t="shared" si="12"/>
        <v>2.5625</v>
      </c>
      <c r="D49" s="242">
        <f t="shared" si="13"/>
        <v>2.2115384615384617</v>
      </c>
      <c r="E49" s="151">
        <f t="shared" si="14"/>
        <v>2.3870192307692308</v>
      </c>
      <c r="F49" s="617"/>
      <c r="G49" s="618"/>
      <c r="H49" s="618"/>
      <c r="I49" s="619"/>
      <c r="K49" s="52"/>
    </row>
    <row r="50" spans="1:11" x14ac:dyDescent="0.25">
      <c r="A50" s="10"/>
      <c r="B50" s="11"/>
      <c r="K50" s="52"/>
    </row>
    <row r="51" spans="1:11" ht="15.75" thickBot="1" x14ac:dyDescent="0.3">
      <c r="A51" s="10"/>
      <c r="B51" s="46" t="s">
        <v>995</v>
      </c>
      <c r="C51" s="13"/>
      <c r="D51" s="13"/>
      <c r="E51" s="13"/>
      <c r="F51" s="13"/>
      <c r="G51" s="13"/>
      <c r="H51" s="13"/>
      <c r="I51" s="13"/>
      <c r="J51" s="13"/>
    </row>
    <row r="52" spans="1:11" ht="60" x14ac:dyDescent="0.25">
      <c r="A52" s="10"/>
      <c r="B52" s="25" t="s">
        <v>6</v>
      </c>
      <c r="C52" s="413" t="s">
        <v>194</v>
      </c>
      <c r="D52" s="413" t="s">
        <v>195</v>
      </c>
      <c r="E52" s="413" t="s">
        <v>811</v>
      </c>
      <c r="F52" s="413" t="s">
        <v>182</v>
      </c>
      <c r="G52" s="413" t="s">
        <v>183</v>
      </c>
      <c r="H52" s="413" t="s">
        <v>128</v>
      </c>
      <c r="I52" s="297" t="s">
        <v>196</v>
      </c>
    </row>
    <row r="53" spans="1:11" x14ac:dyDescent="0.25">
      <c r="A53" s="10"/>
      <c r="B53" s="19" t="s">
        <v>7</v>
      </c>
      <c r="C53" s="63">
        <f>IFERROR(AVERAGEIFS($G$97:$G$216,$C$97:$C$216,"="&amp;B53), "NA")</f>
        <v>2.3333333333333335</v>
      </c>
      <c r="D53" s="63">
        <f t="shared" ref="D53:D64" si="15">IFERROR(AVERAGEIFS($G$225:$G$448,$C$225:$C$448,"="&amp;B53), "NA")</f>
        <v>2.5333333333333332</v>
      </c>
      <c r="E53" s="38">
        <f>IFERROR(ABS(D53-C53), "NA")</f>
        <v>0.19999999999999973</v>
      </c>
      <c r="F53" s="35">
        <f t="shared" ref="F53:F64" si="16">COUNTIFS($C$97:$C$220, "="&amp;B53,$G$97:$G$220,"&gt;=0")</f>
        <v>6</v>
      </c>
      <c r="G53" s="35">
        <f t="shared" ref="G53:G64" si="17">COUNTIFS($G$225:$G$448, "&gt;=0", $C$225:$C$448, "="&amp;B53)</f>
        <v>15</v>
      </c>
      <c r="H53" s="116" t="s">
        <v>126</v>
      </c>
      <c r="I53" s="39">
        <f t="shared" ref="I53:I64" si="18">IF(AND(ISNUMBER(C53),ISNUMBER(D53)),IF(H53="Average All",((F53*C53)+(G53*D53))/(F53+G53),AVERAGE(C53:D53)), IF(AND(C53="NA", ISNUMBER(D53)), D53, "NA"))</f>
        <v>2.4333333333333336</v>
      </c>
      <c r="K53" s="52"/>
    </row>
    <row r="54" spans="1:11" x14ac:dyDescent="0.25">
      <c r="A54" s="10"/>
      <c r="B54" s="19" t="s">
        <v>34</v>
      </c>
      <c r="C54" s="63" t="str">
        <f t="shared" ref="C54:C64" si="19">IFERROR(AVERAGEIFS($G$97:$G$216,$C$97:$C$216,"="&amp;B54), "NA")</f>
        <v>NA</v>
      </c>
      <c r="D54" s="63" t="str">
        <f t="shared" si="15"/>
        <v>NA</v>
      </c>
      <c r="E54" s="38" t="str">
        <f t="shared" ref="E54:E64" si="20">IFERROR(ABS(D54-C54), "NA")</f>
        <v>NA</v>
      </c>
      <c r="F54" s="35">
        <f t="shared" si="16"/>
        <v>0</v>
      </c>
      <c r="G54" s="35">
        <f t="shared" si="17"/>
        <v>0</v>
      </c>
      <c r="H54" s="116" t="s">
        <v>125</v>
      </c>
      <c r="I54" s="39" t="str">
        <f t="shared" si="18"/>
        <v>NA</v>
      </c>
    </row>
    <row r="55" spans="1:11" x14ac:dyDescent="0.25">
      <c r="A55" s="10"/>
      <c r="B55" s="19" t="s">
        <v>8</v>
      </c>
      <c r="C55" s="63">
        <f t="shared" si="19"/>
        <v>5</v>
      </c>
      <c r="D55" s="63">
        <f t="shared" si="15"/>
        <v>4.1428571428571432</v>
      </c>
      <c r="E55" s="38">
        <f t="shared" si="20"/>
        <v>0.85714285714285676</v>
      </c>
      <c r="F55" s="35">
        <f t="shared" si="16"/>
        <v>1</v>
      </c>
      <c r="G55" s="35">
        <f t="shared" si="17"/>
        <v>14</v>
      </c>
      <c r="H55" s="116" t="s">
        <v>125</v>
      </c>
      <c r="I55" s="39">
        <f t="shared" si="18"/>
        <v>4.2</v>
      </c>
      <c r="K55" s="52"/>
    </row>
    <row r="56" spans="1:11" s="13" customFormat="1" x14ac:dyDescent="0.25">
      <c r="A56" s="10"/>
      <c r="B56" s="19" t="s">
        <v>9</v>
      </c>
      <c r="C56" s="63">
        <f t="shared" si="19"/>
        <v>3.3333333333333335</v>
      </c>
      <c r="D56" s="63">
        <f t="shared" si="15"/>
        <v>3.3571428571428572</v>
      </c>
      <c r="E56" s="38">
        <f t="shared" si="20"/>
        <v>2.3809523809523725E-2</v>
      </c>
      <c r="F56" s="35">
        <f t="shared" si="16"/>
        <v>9</v>
      </c>
      <c r="G56" s="35">
        <f t="shared" si="17"/>
        <v>14</v>
      </c>
      <c r="H56" s="116" t="s">
        <v>126</v>
      </c>
      <c r="I56" s="39">
        <f t="shared" si="18"/>
        <v>3.3452380952380953</v>
      </c>
      <c r="J56"/>
      <c r="K56" s="52"/>
    </row>
    <row r="57" spans="1:11" x14ac:dyDescent="0.25">
      <c r="A57" s="10"/>
      <c r="B57" s="19" t="s">
        <v>10</v>
      </c>
      <c r="C57" s="63">
        <f t="shared" si="19"/>
        <v>3</v>
      </c>
      <c r="D57" s="63">
        <f t="shared" si="15"/>
        <v>1.8571428571428572</v>
      </c>
      <c r="E57" s="38">
        <f t="shared" si="20"/>
        <v>1.1428571428571428</v>
      </c>
      <c r="F57" s="35">
        <f t="shared" si="16"/>
        <v>1</v>
      </c>
      <c r="G57" s="35">
        <f t="shared" si="17"/>
        <v>14</v>
      </c>
      <c r="H57" s="116" t="s">
        <v>125</v>
      </c>
      <c r="I57" s="39">
        <f t="shared" si="18"/>
        <v>1.9333333333333333</v>
      </c>
    </row>
    <row r="58" spans="1:11" x14ac:dyDescent="0.25">
      <c r="A58" s="10"/>
      <c r="B58" s="19" t="s">
        <v>11</v>
      </c>
      <c r="C58" s="63">
        <f t="shared" si="19"/>
        <v>4.2</v>
      </c>
      <c r="D58" s="63">
        <f t="shared" si="15"/>
        <v>4.5714285714285712</v>
      </c>
      <c r="E58" s="38">
        <f t="shared" si="20"/>
        <v>0.371428571428571</v>
      </c>
      <c r="F58" s="35">
        <f t="shared" si="16"/>
        <v>10</v>
      </c>
      <c r="G58" s="35">
        <f t="shared" si="17"/>
        <v>14</v>
      </c>
      <c r="H58" s="116" t="s">
        <v>126</v>
      </c>
      <c r="I58" s="39">
        <f t="shared" si="18"/>
        <v>4.3857142857142861</v>
      </c>
    </row>
    <row r="59" spans="1:11" x14ac:dyDescent="0.25">
      <c r="A59" s="10"/>
      <c r="B59" s="19" t="s">
        <v>12</v>
      </c>
      <c r="C59" s="63">
        <f t="shared" si="19"/>
        <v>3.4375</v>
      </c>
      <c r="D59" s="63">
        <f t="shared" si="15"/>
        <v>3.8571428571428572</v>
      </c>
      <c r="E59" s="38">
        <f t="shared" si="20"/>
        <v>0.41964285714285721</v>
      </c>
      <c r="F59" s="35">
        <f t="shared" si="16"/>
        <v>16</v>
      </c>
      <c r="G59" s="35">
        <f t="shared" si="17"/>
        <v>14</v>
      </c>
      <c r="H59" s="116" t="s">
        <v>126</v>
      </c>
      <c r="I59" s="39">
        <f t="shared" si="18"/>
        <v>3.6473214285714288</v>
      </c>
    </row>
    <row r="60" spans="1:11" x14ac:dyDescent="0.25">
      <c r="A60" s="10"/>
      <c r="B60" s="19" t="s">
        <v>13</v>
      </c>
      <c r="C60" s="63">
        <f t="shared" si="19"/>
        <v>3</v>
      </c>
      <c r="D60" s="63">
        <f t="shared" si="15"/>
        <v>4</v>
      </c>
      <c r="E60" s="38">
        <f t="shared" si="20"/>
        <v>1</v>
      </c>
      <c r="F60" s="35">
        <f t="shared" si="16"/>
        <v>2</v>
      </c>
      <c r="G60" s="35">
        <f t="shared" si="17"/>
        <v>14</v>
      </c>
      <c r="H60" s="116" t="s">
        <v>125</v>
      </c>
      <c r="I60" s="39">
        <f t="shared" si="18"/>
        <v>3.875</v>
      </c>
    </row>
    <row r="61" spans="1:11" x14ac:dyDescent="0.25">
      <c r="A61" s="10"/>
      <c r="B61" s="19" t="s">
        <v>14</v>
      </c>
      <c r="C61" s="63">
        <f t="shared" si="19"/>
        <v>3.15</v>
      </c>
      <c r="D61" s="63">
        <f t="shared" si="15"/>
        <v>4</v>
      </c>
      <c r="E61" s="38">
        <f t="shared" si="20"/>
        <v>0.85000000000000009</v>
      </c>
      <c r="F61" s="35">
        <f t="shared" si="16"/>
        <v>20</v>
      </c>
      <c r="G61" s="35">
        <f t="shared" si="17"/>
        <v>14</v>
      </c>
      <c r="H61" s="116" t="s">
        <v>126</v>
      </c>
      <c r="I61" s="39">
        <f t="shared" si="18"/>
        <v>3.5750000000000002</v>
      </c>
    </row>
    <row r="62" spans="1:11" x14ac:dyDescent="0.25">
      <c r="A62" s="10"/>
      <c r="B62" s="19" t="s">
        <v>15</v>
      </c>
      <c r="C62" s="63">
        <f t="shared" si="19"/>
        <v>3.5</v>
      </c>
      <c r="D62" s="63">
        <f t="shared" si="15"/>
        <v>4.0714285714285712</v>
      </c>
      <c r="E62" s="38">
        <f t="shared" si="20"/>
        <v>0.57142857142857117</v>
      </c>
      <c r="F62" s="35">
        <f t="shared" si="16"/>
        <v>2</v>
      </c>
      <c r="G62" s="35">
        <f t="shared" si="17"/>
        <v>14</v>
      </c>
      <c r="H62" s="116" t="s">
        <v>125</v>
      </c>
      <c r="I62" s="39">
        <f t="shared" si="18"/>
        <v>4</v>
      </c>
    </row>
    <row r="63" spans="1:11" x14ac:dyDescent="0.25">
      <c r="A63" s="10"/>
      <c r="B63" s="19" t="s">
        <v>16</v>
      </c>
      <c r="C63" s="63">
        <f t="shared" si="19"/>
        <v>5</v>
      </c>
      <c r="D63" s="63">
        <f t="shared" si="15"/>
        <v>4.4285714285714288</v>
      </c>
      <c r="E63" s="38">
        <f t="shared" si="20"/>
        <v>0.57142857142857117</v>
      </c>
      <c r="F63" s="35">
        <f t="shared" si="16"/>
        <v>5</v>
      </c>
      <c r="G63" s="35">
        <f t="shared" si="17"/>
        <v>14</v>
      </c>
      <c r="H63" s="116" t="s">
        <v>126</v>
      </c>
      <c r="I63" s="39">
        <f t="shared" si="18"/>
        <v>4.7142857142857144</v>
      </c>
    </row>
    <row r="64" spans="1:11" ht="15.75" thickBot="1" x14ac:dyDescent="0.3">
      <c r="A64" s="10"/>
      <c r="B64" s="20" t="s">
        <v>17</v>
      </c>
      <c r="C64" s="64">
        <f t="shared" si="19"/>
        <v>3.2857142857142856</v>
      </c>
      <c r="D64" s="64">
        <f t="shared" si="15"/>
        <v>4.3571428571428568</v>
      </c>
      <c r="E64" s="41">
        <f t="shared" si="20"/>
        <v>1.0714285714285712</v>
      </c>
      <c r="F64" s="36">
        <f t="shared" si="16"/>
        <v>14</v>
      </c>
      <c r="G64" s="36">
        <f t="shared" si="17"/>
        <v>14</v>
      </c>
      <c r="H64" s="117" t="s">
        <v>126</v>
      </c>
      <c r="I64" s="42">
        <f t="shared" si="18"/>
        <v>3.8214285714285712</v>
      </c>
    </row>
    <row r="65" spans="1:9" x14ac:dyDescent="0.25">
      <c r="A65" s="10"/>
      <c r="F65" s="6"/>
    </row>
    <row r="66" spans="1:9" ht="15.75" thickBot="1" x14ac:dyDescent="0.3">
      <c r="A66" s="10"/>
      <c r="B66" s="46" t="s">
        <v>996</v>
      </c>
      <c r="C66" s="6"/>
      <c r="D66" s="6"/>
      <c r="E66" s="6"/>
    </row>
    <row r="67" spans="1:9" ht="60" x14ac:dyDescent="0.25">
      <c r="A67" s="10"/>
      <c r="B67" s="25"/>
      <c r="C67" s="33" t="s">
        <v>193</v>
      </c>
      <c r="D67" s="33" t="s">
        <v>196</v>
      </c>
      <c r="E67" s="297" t="s">
        <v>791</v>
      </c>
      <c r="F67" s="611"/>
      <c r="G67" s="612"/>
      <c r="H67" s="612"/>
      <c r="I67" s="613"/>
    </row>
    <row r="68" spans="1:9" x14ac:dyDescent="0.25">
      <c r="A68" s="10"/>
      <c r="B68" s="19" t="s">
        <v>7</v>
      </c>
      <c r="C68" s="150">
        <f t="shared" ref="C68:C79" si="21">E38</f>
        <v>3.1822916666666665</v>
      </c>
      <c r="D68" s="38">
        <f t="shared" ref="D68:D79" si="22">I53</f>
        <v>2.4333333333333336</v>
      </c>
      <c r="E68" s="98">
        <f t="shared" ref="E68:E79" si="23">IF(OR(C68="NA",D68="NA"),"NA",AVERAGE(C68:D68))</f>
        <v>2.8078124999999998</v>
      </c>
      <c r="F68" s="614"/>
      <c r="G68" s="615"/>
      <c r="H68" s="615"/>
      <c r="I68" s="616"/>
    </row>
    <row r="69" spans="1:9" x14ac:dyDescent="0.25">
      <c r="A69" s="10"/>
      <c r="B69" s="19" t="s">
        <v>34</v>
      </c>
      <c r="C69" s="150" t="str">
        <f t="shared" si="21"/>
        <v>NA</v>
      </c>
      <c r="D69" s="38" t="str">
        <f t="shared" si="22"/>
        <v>NA</v>
      </c>
      <c r="E69" s="98" t="str">
        <f t="shared" si="23"/>
        <v>NA</v>
      </c>
      <c r="F69" s="614"/>
      <c r="G69" s="615"/>
      <c r="H69" s="615"/>
      <c r="I69" s="616"/>
    </row>
    <row r="70" spans="1:9" x14ac:dyDescent="0.25">
      <c r="A70" s="10"/>
      <c r="B70" s="19" t="s">
        <v>8</v>
      </c>
      <c r="C70" s="150">
        <f t="shared" si="21"/>
        <v>2.1575630252100839</v>
      </c>
      <c r="D70" s="38">
        <f t="shared" si="22"/>
        <v>4.2</v>
      </c>
      <c r="E70" s="98">
        <f t="shared" si="23"/>
        <v>3.1787815126050418</v>
      </c>
      <c r="F70" s="614"/>
      <c r="G70" s="615"/>
      <c r="H70" s="615"/>
      <c r="I70" s="616"/>
    </row>
    <row r="71" spans="1:9" x14ac:dyDescent="0.25">
      <c r="A71" s="10"/>
      <c r="B71" s="19" t="s">
        <v>9</v>
      </c>
      <c r="C71" s="150">
        <f t="shared" si="21"/>
        <v>3.7517361111111107</v>
      </c>
      <c r="D71" s="38">
        <f t="shared" si="22"/>
        <v>3.3452380952380953</v>
      </c>
      <c r="E71" s="98">
        <f t="shared" si="23"/>
        <v>3.5484871031746028</v>
      </c>
      <c r="F71" s="614"/>
      <c r="G71" s="615"/>
      <c r="H71" s="615"/>
      <c r="I71" s="616"/>
    </row>
    <row r="72" spans="1:9" x14ac:dyDescent="0.25">
      <c r="A72" s="10"/>
      <c r="B72" s="19" t="s">
        <v>10</v>
      </c>
      <c r="C72" s="150">
        <f t="shared" si="21"/>
        <v>3.138235294117647</v>
      </c>
      <c r="D72" s="38">
        <f t="shared" si="22"/>
        <v>1.9333333333333333</v>
      </c>
      <c r="E72" s="98">
        <f t="shared" si="23"/>
        <v>2.5357843137254901</v>
      </c>
      <c r="F72" s="614"/>
      <c r="G72" s="615"/>
      <c r="H72" s="615"/>
      <c r="I72" s="616"/>
    </row>
    <row r="73" spans="1:9" x14ac:dyDescent="0.25">
      <c r="A73" s="14"/>
      <c r="B73" s="19" t="s">
        <v>11</v>
      </c>
      <c r="C73" s="150">
        <f t="shared" si="21"/>
        <v>4.0125000000000002</v>
      </c>
      <c r="D73" s="38">
        <f t="shared" si="22"/>
        <v>4.3857142857142861</v>
      </c>
      <c r="E73" s="98">
        <f t="shared" si="23"/>
        <v>4.1991071428571427</v>
      </c>
      <c r="F73" s="614"/>
      <c r="G73" s="615"/>
      <c r="H73" s="615"/>
      <c r="I73" s="616"/>
    </row>
    <row r="74" spans="1:9" x14ac:dyDescent="0.25">
      <c r="B74" s="19" t="s">
        <v>12</v>
      </c>
      <c r="C74" s="150">
        <f t="shared" si="21"/>
        <v>3.6205357142857144</v>
      </c>
      <c r="D74" s="38">
        <f t="shared" si="22"/>
        <v>3.6473214285714288</v>
      </c>
      <c r="E74" s="98">
        <f t="shared" si="23"/>
        <v>3.6339285714285716</v>
      </c>
      <c r="F74" s="614"/>
      <c r="G74" s="615"/>
      <c r="H74" s="615"/>
      <c r="I74" s="616"/>
    </row>
    <row r="75" spans="1:9" x14ac:dyDescent="0.25">
      <c r="B75" s="19" t="s">
        <v>13</v>
      </c>
      <c r="C75" s="150">
        <f t="shared" si="21"/>
        <v>3.7361111111111112</v>
      </c>
      <c r="D75" s="38">
        <f t="shared" si="22"/>
        <v>3.875</v>
      </c>
      <c r="E75" s="98">
        <f t="shared" si="23"/>
        <v>3.8055555555555554</v>
      </c>
      <c r="F75" s="614"/>
      <c r="G75" s="615"/>
      <c r="H75" s="615"/>
      <c r="I75" s="616"/>
    </row>
    <row r="76" spans="1:9" x14ac:dyDescent="0.25">
      <c r="B76" s="19" t="s">
        <v>14</v>
      </c>
      <c r="C76" s="150">
        <f t="shared" si="21"/>
        <v>2.5840225563909778</v>
      </c>
      <c r="D76" s="38">
        <f t="shared" si="22"/>
        <v>3.5750000000000002</v>
      </c>
      <c r="E76" s="98">
        <f t="shared" si="23"/>
        <v>3.079511278195489</v>
      </c>
      <c r="F76" s="614"/>
      <c r="G76" s="615"/>
      <c r="H76" s="615"/>
      <c r="I76" s="616"/>
    </row>
    <row r="77" spans="1:9" x14ac:dyDescent="0.25">
      <c r="B77" s="19" t="s">
        <v>15</v>
      </c>
      <c r="C77" s="150">
        <f t="shared" si="21"/>
        <v>3.25</v>
      </c>
      <c r="D77" s="38">
        <f t="shared" si="22"/>
        <v>4</v>
      </c>
      <c r="E77" s="98">
        <f t="shared" si="23"/>
        <v>3.625</v>
      </c>
      <c r="F77" s="614"/>
      <c r="G77" s="615"/>
      <c r="H77" s="615"/>
      <c r="I77" s="616"/>
    </row>
    <row r="78" spans="1:9" x14ac:dyDescent="0.25">
      <c r="B78" s="19" t="s">
        <v>16</v>
      </c>
      <c r="C78" s="150">
        <f t="shared" si="21"/>
        <v>2.7437500000000004</v>
      </c>
      <c r="D78" s="38">
        <f t="shared" si="22"/>
        <v>4.7142857142857144</v>
      </c>
      <c r="E78" s="98">
        <f t="shared" si="23"/>
        <v>3.7290178571428574</v>
      </c>
      <c r="F78" s="614"/>
      <c r="G78" s="615"/>
      <c r="H78" s="615"/>
      <c r="I78" s="616"/>
    </row>
    <row r="79" spans="1:9" ht="15.75" thickBot="1" x14ac:dyDescent="0.3">
      <c r="B79" s="20" t="s">
        <v>17</v>
      </c>
      <c r="C79" s="151">
        <f t="shared" si="21"/>
        <v>2.3870192307692308</v>
      </c>
      <c r="D79" s="41">
        <f t="shared" si="22"/>
        <v>3.8214285714285712</v>
      </c>
      <c r="E79" s="99">
        <f t="shared" si="23"/>
        <v>3.104223901098901</v>
      </c>
      <c r="F79" s="617"/>
      <c r="G79" s="618"/>
      <c r="H79" s="618"/>
      <c r="I79" s="619"/>
    </row>
    <row r="81" spans="2:9" ht="15.75" hidden="1" thickBot="1" x14ac:dyDescent="0.3">
      <c r="B81" s="1" t="s">
        <v>846</v>
      </c>
    </row>
    <row r="82" spans="2:9" ht="60" hidden="1" x14ac:dyDescent="0.25">
      <c r="B82" s="25" t="s">
        <v>851</v>
      </c>
      <c r="C82" s="413" t="str">
        <f>C67</f>
        <v>Coordination Performance Measure Scores</v>
      </c>
      <c r="D82" s="413" t="str">
        <f t="shared" ref="D82:E82" si="24">D67</f>
        <v>Education and Outreach Performance Measure Scores</v>
      </c>
      <c r="E82" s="297" t="str">
        <f t="shared" si="24"/>
        <v xml:space="preserve">Regional Integration and Coordination Evaluation Objective Unweighted Score  </v>
      </c>
      <c r="F82" s="231"/>
      <c r="G82" s="231"/>
      <c r="H82" s="231"/>
    </row>
    <row r="83" spans="2:9" hidden="1" x14ac:dyDescent="0.25">
      <c r="B83" s="463" t="s">
        <v>848</v>
      </c>
      <c r="C83" s="241">
        <f>MAX(C68:C79)</f>
        <v>4.0125000000000002</v>
      </c>
      <c r="D83" s="241">
        <f>MAX(D68:D79)</f>
        <v>4.7142857142857144</v>
      </c>
      <c r="E83" s="464">
        <f>MAX(E68:E79)</f>
        <v>4.1991071428571427</v>
      </c>
      <c r="F83" s="231"/>
      <c r="G83" s="231"/>
      <c r="H83" s="231"/>
    </row>
    <row r="84" spans="2:9" ht="45" hidden="1" x14ac:dyDescent="0.25">
      <c r="B84" s="463" t="s">
        <v>849</v>
      </c>
      <c r="C84" s="461" t="str">
        <f>INDEX($B68:$B79,MATCH(C83,C68:C79,0))</f>
        <v>Potable Reuse</v>
      </c>
      <c r="D84" s="461" t="str">
        <f>INDEX($B68:$B79,MATCH(D83,D68:D79,0))</f>
        <v>Urban and Agricultural Water Use Efficiency</v>
      </c>
      <c r="E84" s="462" t="str">
        <f>INDEX($B68:$B79,MATCH(E83,E68:E79,0))</f>
        <v>Potable Reuse</v>
      </c>
      <c r="F84" s="231"/>
      <c r="G84" s="231"/>
      <c r="H84" s="231"/>
    </row>
    <row r="85" spans="2:9" hidden="1" x14ac:dyDescent="0.25">
      <c r="B85" s="504" t="s">
        <v>861</v>
      </c>
      <c r="C85" s="497">
        <f>LARGE(C68:C79,2)</f>
        <v>3.7517361111111107</v>
      </c>
      <c r="D85" s="497">
        <f>LARGE(D68:D79,2)</f>
        <v>4.3857142857142861</v>
      </c>
      <c r="E85" s="498">
        <f>LARGE(E68:E79,2)</f>
        <v>3.8055555555555554</v>
      </c>
      <c r="F85" s="231"/>
      <c r="G85" s="231"/>
      <c r="H85" s="231"/>
    </row>
    <row r="86" spans="2:9" ht="30" hidden="1" x14ac:dyDescent="0.25">
      <c r="B86" s="505" t="s">
        <v>862</v>
      </c>
      <c r="C86" s="499" t="str">
        <f>INDEX($B68:$B79,MATCH(C85,C68:C79,0))</f>
        <v>Groundwater</v>
      </c>
      <c r="D86" s="499" t="str">
        <f>INDEX($B68:$B79,MATCH(D85,D68:D79,0))</f>
        <v>Potable Reuse</v>
      </c>
      <c r="E86" s="500" t="str">
        <f>INDEX($B68:$B79,MATCH(E85,E68:E79,0))</f>
        <v>Seawater Desalination</v>
      </c>
      <c r="F86" s="231"/>
      <c r="G86" s="231"/>
      <c r="H86" s="231"/>
    </row>
    <row r="87" spans="2:9" hidden="1" x14ac:dyDescent="0.25">
      <c r="B87" s="463" t="s">
        <v>847</v>
      </c>
      <c r="C87" s="241">
        <f>MIN(C68:C79)</f>
        <v>2.1575630252100839</v>
      </c>
      <c r="D87" s="241">
        <f>MIN(D68:D79)</f>
        <v>1.9333333333333333</v>
      </c>
      <c r="E87" s="464">
        <f>MIN(E68:E79)</f>
        <v>2.5357843137254901</v>
      </c>
      <c r="F87" s="231"/>
      <c r="G87" s="231"/>
      <c r="H87" s="231"/>
    </row>
    <row r="88" spans="2:9" ht="30" hidden="1" x14ac:dyDescent="0.25">
      <c r="B88" s="505" t="s">
        <v>850</v>
      </c>
      <c r="C88" s="499" t="str">
        <f>INDEX($B68:$B79,MATCH(C87,C68:C79,0))</f>
        <v>Gray Water Use</v>
      </c>
      <c r="D88" s="499" t="str">
        <f>INDEX($B68:$B79,MATCH(D87,D68:D79,0))</f>
        <v>Imported Water Purchases</v>
      </c>
      <c r="E88" s="500" t="str">
        <f>INDEX($B68:$B79,MATCH(E87,E68:E79,0))</f>
        <v>Imported Water Purchases</v>
      </c>
      <c r="F88" s="241"/>
      <c r="G88" s="241"/>
      <c r="H88" s="241"/>
    </row>
    <row r="89" spans="2:9" hidden="1" x14ac:dyDescent="0.25">
      <c r="B89" s="504" t="s">
        <v>864</v>
      </c>
      <c r="C89" s="497">
        <f>SMALL(C68:C79,2)</f>
        <v>2.3870192307692308</v>
      </c>
      <c r="D89" s="497">
        <f>SMALL(D68:D79,2)</f>
        <v>2.4333333333333336</v>
      </c>
      <c r="E89" s="498">
        <f>SMALL(E68:E79,2)</f>
        <v>2.8078124999999998</v>
      </c>
      <c r="F89" s="241"/>
      <c r="G89" s="241"/>
      <c r="H89" s="241"/>
    </row>
    <row r="90" spans="2:9" ht="45" hidden="1" x14ac:dyDescent="0.25">
      <c r="B90" s="505" t="s">
        <v>863</v>
      </c>
      <c r="C90" s="499" t="str">
        <f>INDEX($B68:$B79,MATCH(C89,C68:C79,0))</f>
        <v>Watershed and Ecosystem Management</v>
      </c>
      <c r="D90" s="499" t="str">
        <f>INDEX($B68:$B79,MATCH(D89,D68:D79,0))</f>
        <v>Conveyance Improvement</v>
      </c>
      <c r="E90" s="500" t="str">
        <f>INDEX($B68:$B79,MATCH(E89,E68:E79,0))</f>
        <v>Conveyance Improvement</v>
      </c>
      <c r="F90" s="241"/>
      <c r="G90" s="241"/>
      <c r="H90" s="241"/>
    </row>
    <row r="91" spans="2:9" hidden="1" x14ac:dyDescent="0.25">
      <c r="B91" s="506" t="s">
        <v>844</v>
      </c>
      <c r="C91" s="502">
        <f>C83-C87</f>
        <v>1.8549369747899163</v>
      </c>
      <c r="D91" s="502">
        <f>D83-D87</f>
        <v>2.7809523809523808</v>
      </c>
      <c r="E91" s="503">
        <f>E83-E87</f>
        <v>1.6633228291316526</v>
      </c>
      <c r="F91" s="461"/>
      <c r="G91" s="461"/>
      <c r="H91" s="461"/>
    </row>
    <row r="92" spans="2:9" ht="15.75" hidden="1" thickBot="1" x14ac:dyDescent="0.3">
      <c r="B92" s="507" t="s">
        <v>865</v>
      </c>
      <c r="C92" s="41">
        <f>AVERAGE(C68:C79)</f>
        <v>3.1421604281511404</v>
      </c>
      <c r="D92" s="41">
        <f>AVERAGE(D68:D79)</f>
        <v>3.6300595238095239</v>
      </c>
      <c r="E92" s="44">
        <f>AVERAGE(E68:E79)</f>
        <v>3.3861099759803319</v>
      </c>
      <c r="F92" s="461"/>
      <c r="G92" s="461"/>
      <c r="H92" s="461"/>
    </row>
    <row r="93" spans="2:9" hidden="1" x14ac:dyDescent="0.25"/>
    <row r="94" spans="2:9" ht="15.75" hidden="1" thickBot="1" x14ac:dyDescent="0.3">
      <c r="B94" s="1" t="s">
        <v>724</v>
      </c>
      <c r="H94" s="6"/>
      <c r="I94" s="6"/>
    </row>
    <row r="95" spans="2:9" ht="47.25" hidden="1" customHeight="1" x14ac:dyDescent="0.25">
      <c r="B95" s="800" t="s">
        <v>37</v>
      </c>
      <c r="C95" s="337"/>
      <c r="D95" s="337"/>
      <c r="E95" s="828" t="s">
        <v>707</v>
      </c>
      <c r="F95" s="829"/>
      <c r="G95" s="349" t="s">
        <v>708</v>
      </c>
      <c r="H95" s="239"/>
    </row>
    <row r="96" spans="2:9" ht="45.75" hidden="1" thickBot="1" x14ac:dyDescent="0.3">
      <c r="B96" s="801"/>
      <c r="C96" s="341" t="s">
        <v>6</v>
      </c>
      <c r="D96" s="354"/>
      <c r="E96" s="352" t="s">
        <v>187</v>
      </c>
      <c r="F96" s="353" t="s">
        <v>191</v>
      </c>
      <c r="G96" s="355" t="s">
        <v>194</v>
      </c>
      <c r="H96" s="231"/>
    </row>
    <row r="97" spans="1:8" ht="15" hidden="1" customHeight="1" x14ac:dyDescent="0.25">
      <c r="B97" s="329" t="str">
        <f>'Project-Level Data'!B7</f>
        <v>69th St Green Street</v>
      </c>
      <c r="C97" s="474" t="str">
        <f>'Project-Level Data'!C7</f>
        <v>Watershed and Ecosystem Management</v>
      </c>
      <c r="D97" s="477"/>
      <c r="E97" s="374">
        <f>'Project-Level Data'!AG7</f>
        <v>1</v>
      </c>
      <c r="F97" s="376">
        <f>'Project-Level Data'!AH7</f>
        <v>1</v>
      </c>
      <c r="G97" s="377">
        <f>'Project-Level Data'!AJ7</f>
        <v>3</v>
      </c>
      <c r="H97" s="240"/>
    </row>
    <row r="98" spans="1:8" ht="38.25" hidden="1" x14ac:dyDescent="0.25">
      <c r="B98" s="227" t="str">
        <f>'Project-Level Data'!B8</f>
        <v>Alternative Compliance Retrofit Project Avenida Del Diablo Park,
Escondido</v>
      </c>
      <c r="C98" s="475" t="str">
        <f>'Project-Level Data'!C8</f>
        <v>Watershed and Ecosystem Management</v>
      </c>
      <c r="D98" s="477"/>
      <c r="E98" s="378" t="str">
        <f>'Project-Level Data'!AG8</f>
        <v>No Response</v>
      </c>
      <c r="F98" s="380" t="str">
        <f>'Project-Level Data'!AH8</f>
        <v>No Response</v>
      </c>
      <c r="G98" s="381" t="str">
        <f>'Project-Level Data'!AJ8</f>
        <v>No Response</v>
      </c>
      <c r="H98" s="240"/>
    </row>
    <row r="99" spans="1:8" ht="38.25" hidden="1" x14ac:dyDescent="0.25">
      <c r="B99" s="227" t="str">
        <f>'Project-Level Data'!B9</f>
        <v>Alternative Compliance Retrofit Project El Norte Parkway and Rincon
Villa Drive, Escondido</v>
      </c>
      <c r="C99" s="475" t="str">
        <f>'Project-Level Data'!C9</f>
        <v>Stormwater BMPs</v>
      </c>
      <c r="D99" s="477"/>
      <c r="E99" s="378" t="str">
        <f>'Project-Level Data'!AG9</f>
        <v>No Response</v>
      </c>
      <c r="F99" s="380" t="str">
        <f>'Project-Level Data'!AH9</f>
        <v>No Response</v>
      </c>
      <c r="G99" s="381" t="str">
        <f>'Project-Level Data'!AJ9</f>
        <v>No Response</v>
      </c>
      <c r="H99" s="240"/>
    </row>
    <row r="100" spans="1:8" ht="25.5" hidden="1" x14ac:dyDescent="0.25">
      <c r="B100" s="227" t="str">
        <f>'Project-Level Data'!B10</f>
        <v>Alternative Compliance Retrofit Project Mountain View Park, Escondido</v>
      </c>
      <c r="C100" s="475" t="str">
        <f>'Project-Level Data'!C10</f>
        <v>Stormwater BMPs</v>
      </c>
      <c r="D100" s="477"/>
      <c r="E100" s="378" t="str">
        <f>'Project-Level Data'!AG10</f>
        <v>No Response</v>
      </c>
      <c r="F100" s="380" t="str">
        <f>'Project-Level Data'!AH10</f>
        <v>No Response</v>
      </c>
      <c r="G100" s="381" t="str">
        <f>'Project-Level Data'!AJ10</f>
        <v>No Response</v>
      </c>
      <c r="H100" s="240"/>
    </row>
    <row r="101" spans="1:8" hidden="1" x14ac:dyDescent="0.25">
      <c r="B101" s="227" t="str">
        <f>'Project-Level Data'!B11</f>
        <v>Bakersfield Street and San Altos Channel Restoration</v>
      </c>
      <c r="C101" s="475" t="str">
        <f>'Project-Level Data'!C11</f>
        <v>Stormwater BMPs</v>
      </c>
      <c r="D101" s="477"/>
      <c r="E101" s="378">
        <f>'Project-Level Data'!AG11</f>
        <v>1</v>
      </c>
      <c r="F101" s="380">
        <f>'Project-Level Data'!AH11</f>
        <v>1</v>
      </c>
      <c r="G101" s="381">
        <f>'Project-Level Data'!AJ11</f>
        <v>4</v>
      </c>
      <c r="H101" s="240"/>
    </row>
    <row r="102" spans="1:8" ht="38.25" hidden="1" x14ac:dyDescent="0.25">
      <c r="A102" s="14"/>
      <c r="B102" s="227" t="str">
        <f>'Project-Level Data'!B12</f>
        <v>Broadway Channel Flood Risk Reduction and Water Quality
Improvements</v>
      </c>
      <c r="C102" s="475" t="str">
        <f>'Project-Level Data'!C12</f>
        <v>Stormwater BMPs</v>
      </c>
      <c r="D102" s="477"/>
      <c r="E102" s="378">
        <f>'Project-Level Data'!AG12</f>
        <v>4</v>
      </c>
      <c r="F102" s="380">
        <f>'Project-Level Data'!AH12</f>
        <v>1</v>
      </c>
      <c r="G102" s="381">
        <f>'Project-Level Data'!AJ12</f>
        <v>4</v>
      </c>
      <c r="H102" s="240"/>
    </row>
    <row r="103" spans="1:8" ht="15" hidden="1" customHeight="1" x14ac:dyDescent="0.25">
      <c r="B103" s="227" t="str">
        <f>'Project-Level Data'!B13</f>
        <v>Broadway/Federal Blvd Green Street</v>
      </c>
      <c r="C103" s="475" t="str">
        <f>'Project-Level Data'!C13</f>
        <v>Watershed and Ecosystem Management</v>
      </c>
      <c r="D103" s="477"/>
      <c r="E103" s="378">
        <f>'Project-Level Data'!AG13</f>
        <v>1</v>
      </c>
      <c r="F103" s="380">
        <f>'Project-Level Data'!AH13</f>
        <v>1</v>
      </c>
      <c r="G103" s="381">
        <f>'Project-Level Data'!AJ13</f>
        <v>3</v>
      </c>
      <c r="H103" s="240"/>
    </row>
    <row r="104" spans="1:8" ht="15" hidden="1" customHeight="1" x14ac:dyDescent="0.25">
      <c r="B104" s="227" t="str">
        <f>'Project-Level Data'!B14</f>
        <v>Cadiz additional imported supplies</v>
      </c>
      <c r="C104" s="475" t="str">
        <f>'Project-Level Data'!C14</f>
        <v>Imported Water Purchases</v>
      </c>
      <c r="D104" s="477"/>
      <c r="E104" s="378">
        <f>'Project-Level Data'!AG14</f>
        <v>3</v>
      </c>
      <c r="F104" s="380">
        <f>'Project-Level Data'!AH14</f>
        <v>5</v>
      </c>
      <c r="G104" s="381">
        <f>'Project-Level Data'!AJ14</f>
        <v>3</v>
      </c>
      <c r="H104" s="240"/>
    </row>
    <row r="105" spans="1:8" hidden="1" x14ac:dyDescent="0.25">
      <c r="B105" s="227" t="str">
        <f>'Project-Level Data'!B15</f>
        <v>Camp Pendleton Desalination Facility</v>
      </c>
      <c r="C105" s="475" t="str">
        <f>'Project-Level Data'!C15</f>
        <v>Seawater Desalination</v>
      </c>
      <c r="D105" s="477"/>
      <c r="E105" s="378">
        <f>'Project-Level Data'!AG15</f>
        <v>3</v>
      </c>
      <c r="F105" s="380">
        <f>'Project-Level Data'!AH15</f>
        <v>1</v>
      </c>
      <c r="G105" s="381">
        <f>'Project-Level Data'!AJ15</f>
        <v>2</v>
      </c>
      <c r="H105" s="240"/>
    </row>
    <row r="106" spans="1:8" ht="15" hidden="1" customHeight="1" x14ac:dyDescent="0.25">
      <c r="B106" s="227" t="str">
        <f>'Project-Level Data'!B16</f>
        <v>Canton Dr Green Street</v>
      </c>
      <c r="C106" s="475" t="str">
        <f>'Project-Level Data'!C16</f>
        <v>Watershed and Ecosystem Management</v>
      </c>
      <c r="D106" s="477"/>
      <c r="E106" s="378">
        <f>'Project-Level Data'!AG16</f>
        <v>1</v>
      </c>
      <c r="F106" s="380">
        <f>'Project-Level Data'!AH16</f>
        <v>1</v>
      </c>
      <c r="G106" s="381">
        <f>'Project-Level Data'!AJ16</f>
        <v>3</v>
      </c>
      <c r="H106" s="240"/>
    </row>
    <row r="107" spans="1:8" hidden="1" x14ac:dyDescent="0.25">
      <c r="B107" s="227" t="str">
        <f>'Project-Level Data'!B17</f>
        <v>Carlsbad WRF - Landscape, Agriculture 2025</v>
      </c>
      <c r="C107" s="475" t="str">
        <f>'Project-Level Data'!C17</f>
        <v>Recycled Water</v>
      </c>
      <c r="D107" s="477"/>
      <c r="E107" s="378">
        <f>'Project-Level Data'!AG17</f>
        <v>3</v>
      </c>
      <c r="F107" s="380">
        <f>'Project-Level Data'!AH17</f>
        <v>5</v>
      </c>
      <c r="G107" s="381">
        <f>'Project-Level Data'!AJ17</f>
        <v>2</v>
      </c>
      <c r="H107" s="240"/>
    </row>
    <row r="108" spans="1:8" hidden="1" x14ac:dyDescent="0.25">
      <c r="B108" s="227" t="str">
        <f>'Project-Level Data'!B18</f>
        <v>Carlsbad WRF - Landscape, Agriculture 2050</v>
      </c>
      <c r="C108" s="475" t="str">
        <f>'Project-Level Data'!C18</f>
        <v>Recycled Water</v>
      </c>
      <c r="D108" s="477"/>
      <c r="E108" s="378">
        <f>'Project-Level Data'!AG18</f>
        <v>3</v>
      </c>
      <c r="F108" s="380">
        <f>'Project-Level Data'!AH18</f>
        <v>5</v>
      </c>
      <c r="G108" s="381">
        <f>'Project-Level Data'!AJ18</f>
        <v>2</v>
      </c>
      <c r="H108" s="240"/>
    </row>
    <row r="109" spans="1:8" ht="15" hidden="1" customHeight="1" x14ac:dyDescent="0.25">
      <c r="B109" s="227" t="str">
        <f>'Project-Level Data'!B19</f>
        <v>Central Avenue Green Street</v>
      </c>
      <c r="C109" s="475" t="str">
        <f>'Project-Level Data'!C19</f>
        <v>Watershed and Ecosystem Management</v>
      </c>
      <c r="D109" s="477"/>
      <c r="E109" s="378">
        <f>'Project-Level Data'!AG19</f>
        <v>1</v>
      </c>
      <c r="F109" s="380">
        <f>'Project-Level Data'!AH19</f>
        <v>1</v>
      </c>
      <c r="G109" s="381">
        <f>'Project-Level Data'!AJ19</f>
        <v>3</v>
      </c>
      <c r="H109" s="240"/>
    </row>
    <row r="110" spans="1:8" hidden="1" x14ac:dyDescent="0.25">
      <c r="B110" s="227" t="str">
        <f>'Project-Level Data'!B20</f>
        <v>City of Oceanside Loma Alta Slough Restoration Project</v>
      </c>
      <c r="C110" s="475" t="str">
        <f>'Project-Level Data'!C20</f>
        <v>Stormwater BMPs</v>
      </c>
      <c r="D110" s="477"/>
      <c r="E110" s="378" t="str">
        <f>'Project-Level Data'!AG20</f>
        <v>No Response</v>
      </c>
      <c r="F110" s="380" t="str">
        <f>'Project-Level Data'!AH20</f>
        <v>No Response</v>
      </c>
      <c r="G110" s="381" t="str">
        <f>'Project-Level Data'!AJ20</f>
        <v>No Response</v>
      </c>
      <c r="H110" s="240"/>
    </row>
    <row r="111" spans="1:8" ht="25.5" hidden="1" x14ac:dyDescent="0.25">
      <c r="B111" s="227" t="str">
        <f>'Project-Level Data'!B21</f>
        <v>Conservation Home Makeover in the Chollas Creek Watershed</v>
      </c>
      <c r="C111" s="475" t="str">
        <f>'Project-Level Data'!C21</f>
        <v>Gray Water Use</v>
      </c>
      <c r="D111" s="477"/>
      <c r="E111" s="378" t="str">
        <f>'Project-Level Data'!AG21</f>
        <v>No Response</v>
      </c>
      <c r="F111" s="380" t="str">
        <f>'Project-Level Data'!AH21</f>
        <v>No Response</v>
      </c>
      <c r="G111" s="381" t="str">
        <f>'Project-Level Data'!AJ21</f>
        <v>No Response</v>
      </c>
      <c r="H111" s="240"/>
    </row>
    <row r="112" spans="1:8" ht="15" hidden="1" customHeight="1" x14ac:dyDescent="0.25">
      <c r="B112" s="227" t="str">
        <f>'Project-Level Data'!B22</f>
        <v>Dulzura Conduit Refurbishment</v>
      </c>
      <c r="C112" s="475" t="str">
        <f>'Project-Level Data'!C22</f>
        <v>Conveyance Improvement</v>
      </c>
      <c r="D112" s="477"/>
      <c r="E112" s="378">
        <f>'Project-Level Data'!AG22</f>
        <v>2</v>
      </c>
      <c r="F112" s="380">
        <f>'Project-Level Data'!AH22</f>
        <v>5</v>
      </c>
      <c r="G112" s="381">
        <f>'Project-Level Data'!AJ22</f>
        <v>1</v>
      </c>
      <c r="H112" s="240"/>
    </row>
    <row r="113" spans="1:8" ht="25.5" hidden="1" x14ac:dyDescent="0.25">
      <c r="B113" s="227" t="str">
        <f>'Project-Level Data'!B23</f>
        <v>East County Advanced Water Purification Program Phase 1</v>
      </c>
      <c r="C113" s="475" t="str">
        <f>'Project-Level Data'!C23</f>
        <v>Potable Reuse</v>
      </c>
      <c r="D113" s="477"/>
      <c r="E113" s="378">
        <f>'Project-Level Data'!AG23</f>
        <v>4</v>
      </c>
      <c r="F113" s="380">
        <f>'Project-Level Data'!AH23</f>
        <v>5</v>
      </c>
      <c r="G113" s="381">
        <f>'Project-Level Data'!AJ23</f>
        <v>5</v>
      </c>
      <c r="H113" s="240"/>
    </row>
    <row r="114" spans="1:8" ht="25.5" hidden="1" x14ac:dyDescent="0.25">
      <c r="B114" s="227" t="str">
        <f>'Project-Level Data'!B24</f>
        <v>East County Advanced Water Purification Program Phase 2</v>
      </c>
      <c r="C114" s="475" t="str">
        <f>'Project-Level Data'!C24</f>
        <v>Potable Reuse</v>
      </c>
      <c r="D114" s="477"/>
      <c r="E114" s="378">
        <f>'Project-Level Data'!AG24</f>
        <v>5</v>
      </c>
      <c r="F114" s="380">
        <f>'Project-Level Data'!AH24</f>
        <v>5</v>
      </c>
      <c r="G114" s="381">
        <f>'Project-Level Data'!AJ24</f>
        <v>5</v>
      </c>
      <c r="H114" s="240"/>
    </row>
    <row r="115" spans="1:8" ht="25.5" hidden="1" x14ac:dyDescent="0.25">
      <c r="B115" s="227" t="str">
        <f>'Project-Level Data'!B25</f>
        <v>East County Advanced Water Purification Program Phase 3</v>
      </c>
      <c r="C115" s="475" t="str">
        <f>'Project-Level Data'!C25</f>
        <v>Potable Reuse</v>
      </c>
      <c r="D115" s="477"/>
      <c r="E115" s="378">
        <f>'Project-Level Data'!AG25</f>
        <v>5</v>
      </c>
      <c r="F115" s="380">
        <f>'Project-Level Data'!AH25</f>
        <v>5</v>
      </c>
      <c r="G115" s="381">
        <f>'Project-Level Data'!AJ25</f>
        <v>5</v>
      </c>
      <c r="H115" s="240"/>
    </row>
    <row r="116" spans="1:8" hidden="1" x14ac:dyDescent="0.25">
      <c r="B116" s="227" t="str">
        <f>'Project-Level Data'!B26</f>
        <v>Encina Wastewater Water Reuse Project</v>
      </c>
      <c r="C116" s="475" t="str">
        <f>'Project-Level Data'!C26</f>
        <v>Potable Reuse</v>
      </c>
      <c r="D116" s="477"/>
      <c r="E116" s="378">
        <f>'Project-Level Data'!AG26</f>
        <v>3</v>
      </c>
      <c r="F116" s="380">
        <f>'Project-Level Data'!AH26</f>
        <v>5</v>
      </c>
      <c r="G116" s="381">
        <f>'Project-Level Data'!AJ26</f>
        <v>5</v>
      </c>
      <c r="H116" s="240"/>
    </row>
    <row r="117" spans="1:8" hidden="1" x14ac:dyDescent="0.25">
      <c r="B117" s="227" t="str">
        <f>'Project-Level Data'!B27</f>
        <v xml:space="preserve">Enhanced Conservation </v>
      </c>
      <c r="C117" s="475" t="str">
        <f>'Project-Level Data'!C27</f>
        <v>Enhanced Conservation</v>
      </c>
      <c r="D117" s="477"/>
      <c r="E117" s="378" t="str">
        <f>'Project-Level Data'!AG27</f>
        <v>REMOVED</v>
      </c>
      <c r="F117" s="380" t="str">
        <f>'Project-Level Data'!AH27</f>
        <v>REMOVED</v>
      </c>
      <c r="G117" s="381" t="str">
        <f>'Project-Level Data'!AJ27</f>
        <v>REMOVED</v>
      </c>
      <c r="H117" s="240"/>
    </row>
    <row r="118" spans="1:8" hidden="1" x14ac:dyDescent="0.25">
      <c r="A118" s="14"/>
      <c r="B118" s="227" t="str">
        <f>'Project-Level Data'!B28</f>
        <v>Extension 153 Phase I</v>
      </c>
      <c r="C118" s="475" t="str">
        <f>'Project-Level Data'!C28</f>
        <v>Recycled Water</v>
      </c>
      <c r="D118" s="477"/>
      <c r="E118" s="378">
        <f>'Project-Level Data'!AG28</f>
        <v>1</v>
      </c>
      <c r="F118" s="380">
        <f>'Project-Level Data'!AH28</f>
        <v>5</v>
      </c>
      <c r="G118" s="381">
        <f>'Project-Level Data'!AJ28</f>
        <v>4</v>
      </c>
      <c r="H118" s="240"/>
    </row>
    <row r="119" spans="1:8" hidden="1" x14ac:dyDescent="0.25">
      <c r="B119" s="227" t="str">
        <f>'Project-Level Data'!B29</f>
        <v>Extension 153 Phase II</v>
      </c>
      <c r="C119" s="475" t="str">
        <f>'Project-Level Data'!C29</f>
        <v>Recycled Water</v>
      </c>
      <c r="D119" s="477"/>
      <c r="E119" s="378">
        <f>'Project-Level Data'!AG29</f>
        <v>1</v>
      </c>
      <c r="F119" s="380">
        <f>'Project-Level Data'!AH29</f>
        <v>5</v>
      </c>
      <c r="G119" s="381">
        <f>'Project-Level Data'!AJ29</f>
        <v>4</v>
      </c>
      <c r="H119" s="240"/>
    </row>
    <row r="120" spans="1:8" ht="15" hidden="1" customHeight="1" x14ac:dyDescent="0.25">
      <c r="B120" s="227" t="str">
        <f>'Project-Level Data'!B30</f>
        <v>Federal Blvd Channel</v>
      </c>
      <c r="C120" s="475" t="str">
        <f>'Project-Level Data'!C30</f>
        <v>Watershed and Ecosystem Management</v>
      </c>
      <c r="D120" s="477"/>
      <c r="E120" s="378">
        <f>'Project-Level Data'!AG30</f>
        <v>1</v>
      </c>
      <c r="F120" s="380">
        <f>'Project-Level Data'!AH30</f>
        <v>1</v>
      </c>
      <c r="G120" s="381">
        <f>'Project-Level Data'!AJ30</f>
        <v>4</v>
      </c>
      <c r="H120" s="240"/>
    </row>
    <row r="121" spans="1:8" ht="15" hidden="1" customHeight="1" x14ac:dyDescent="0.25">
      <c r="B121" s="227" t="str">
        <f>'Project-Level Data'!B31</f>
        <v>Hodges Water Quality Improvement Program</v>
      </c>
      <c r="C121" s="475" t="str">
        <f>'Project-Level Data'!C31</f>
        <v>Watershed and Ecosystem Management</v>
      </c>
      <c r="D121" s="477"/>
      <c r="E121" s="378">
        <f>'Project-Level Data'!AG31</f>
        <v>4</v>
      </c>
      <c r="F121" s="380">
        <f>'Project-Level Data'!AH31</f>
        <v>3</v>
      </c>
      <c r="G121" s="381">
        <f>'Project-Level Data'!AJ31</f>
        <v>4</v>
      </c>
      <c r="H121" s="240"/>
    </row>
    <row r="122" spans="1:8" hidden="1" x14ac:dyDescent="0.25">
      <c r="B122" s="227" t="str">
        <f>'Project-Level Data'!B32</f>
        <v>Golden Ave Green Street</v>
      </c>
      <c r="C122" s="475" t="str">
        <f>'Project-Level Data'!C32</f>
        <v>Stormwater BMPs</v>
      </c>
      <c r="D122" s="477"/>
      <c r="E122" s="378">
        <f>'Project-Level Data'!AG32</f>
        <v>1</v>
      </c>
      <c r="F122" s="380">
        <f>'Project-Level Data'!AH32</f>
        <v>1</v>
      </c>
      <c r="G122" s="381">
        <f>'Project-Level Data'!AJ32</f>
        <v>3</v>
      </c>
      <c r="H122" s="240"/>
    </row>
    <row r="123" spans="1:8" hidden="1" x14ac:dyDescent="0.25">
      <c r="B123" s="227" t="str">
        <f>'Project-Level Data'!B33</f>
        <v>Graywater pilot project</v>
      </c>
      <c r="C123" s="475" t="str">
        <f>'Project-Level Data'!C33</f>
        <v>Gray Water Use</v>
      </c>
      <c r="D123" s="477"/>
      <c r="E123" s="378">
        <f>'Project-Level Data'!AG33</f>
        <v>2</v>
      </c>
      <c r="F123" s="380">
        <f>'Project-Level Data'!AH33</f>
        <v>3</v>
      </c>
      <c r="G123" s="381">
        <f>'Project-Level Data'!AJ33</f>
        <v>5</v>
      </c>
      <c r="H123" s="240"/>
    </row>
    <row r="124" spans="1:8" hidden="1" x14ac:dyDescent="0.25">
      <c r="B124" s="227" t="str">
        <f>'Project-Level Data'!B34</f>
        <v>Groundwater Extraction Santee/El Monte</v>
      </c>
      <c r="C124" s="475" t="str">
        <f>'Project-Level Data'!C34</f>
        <v>Groundwater</v>
      </c>
      <c r="D124" s="477"/>
      <c r="E124" s="378">
        <f>'Project-Level Data'!AG34</f>
        <v>4</v>
      </c>
      <c r="F124" s="380">
        <f>'Project-Level Data'!AH34</f>
        <v>5</v>
      </c>
      <c r="G124" s="381">
        <f>'Project-Level Data'!AJ34</f>
        <v>2</v>
      </c>
      <c r="H124" s="240"/>
    </row>
    <row r="125" spans="1:8" ht="25.5" hidden="1" x14ac:dyDescent="0.25">
      <c r="B125" s="227" t="str">
        <f>'Project-Level Data'!B35</f>
        <v>Hale Avenue Resource Recovery Facility (HARRF) - Landscape, Agriculture, Industrial, PR</v>
      </c>
      <c r="C125" s="475" t="str">
        <f>'Project-Level Data'!C35</f>
        <v>Recycled Water</v>
      </c>
      <c r="D125" s="477"/>
      <c r="E125" s="378" t="str">
        <f>'Project-Level Data'!AG35</f>
        <v>No Response</v>
      </c>
      <c r="F125" s="380" t="str">
        <f>'Project-Level Data'!AH35</f>
        <v>No Response</v>
      </c>
      <c r="G125" s="381" t="str">
        <f>'Project-Level Data'!AJ35</f>
        <v>No Response</v>
      </c>
      <c r="H125" s="240"/>
    </row>
    <row r="126" spans="1:8" ht="25.5" hidden="1" x14ac:dyDescent="0.25">
      <c r="B126" s="227" t="str">
        <f>'Project-Level Data'!B36</f>
        <v>Integrated Water Resource Solutions for the Carlsbad Watershed</v>
      </c>
      <c r="C126" s="475" t="str">
        <f>'Project-Level Data'!C36</f>
        <v>Recycled Water</v>
      </c>
      <c r="D126" s="477"/>
      <c r="E126" s="378">
        <f>'Project-Level Data'!AG36</f>
        <v>2</v>
      </c>
      <c r="F126" s="380">
        <f>'Project-Level Data'!AH36</f>
        <v>5</v>
      </c>
      <c r="G126" s="381">
        <f>'Project-Level Data'!AJ36</f>
        <v>4</v>
      </c>
      <c r="H126" s="240"/>
    </row>
    <row r="127" spans="1:8" ht="25.5" hidden="1" x14ac:dyDescent="0.25">
      <c r="B127" s="227" t="str">
        <f>'Project-Level Data'!B37</f>
        <v>Intergrated Water Resource Solutions for the Carlsbad Watershed</v>
      </c>
      <c r="C127" s="475" t="str">
        <f>'Project-Level Data'!C37</f>
        <v>Recycled Water</v>
      </c>
      <c r="D127" s="477"/>
      <c r="E127" s="378">
        <f>'Project-Level Data'!AG37</f>
        <v>2</v>
      </c>
      <c r="F127" s="380">
        <f>'Project-Level Data'!AH37</f>
        <v>5</v>
      </c>
      <c r="G127" s="381">
        <f>'Project-Level Data'!AJ37</f>
        <v>4</v>
      </c>
      <c r="H127" s="240"/>
    </row>
    <row r="128" spans="1:8" hidden="1" x14ac:dyDescent="0.25">
      <c r="B128" s="227" t="str">
        <f>'Project-Level Data'!B38</f>
        <v>Joint RW Transmission Project with SFID and OMWD</v>
      </c>
      <c r="C128" s="475" t="str">
        <f>'Project-Level Data'!C38</f>
        <v>Recycled Water</v>
      </c>
      <c r="D128" s="477"/>
      <c r="E128" s="378">
        <f>'Project-Level Data'!AG38</f>
        <v>4</v>
      </c>
      <c r="F128" s="380">
        <f>'Project-Level Data'!AH38</f>
        <v>5</v>
      </c>
      <c r="G128" s="381">
        <f>'Project-Level Data'!AJ38</f>
        <v>5</v>
      </c>
      <c r="H128" s="240"/>
    </row>
    <row r="129" spans="2:8" hidden="1" x14ac:dyDescent="0.25">
      <c r="B129" s="227" t="str">
        <f>'Project-Level Data'!B39</f>
        <v>Las Colinas Channel Improvments</v>
      </c>
      <c r="C129" s="475" t="str">
        <f>'Project-Level Data'!C39</f>
        <v>Stormwater BMPs</v>
      </c>
      <c r="D129" s="477"/>
      <c r="E129" s="378">
        <f>'Project-Level Data'!AG39</f>
        <v>2</v>
      </c>
      <c r="F129" s="380">
        <f>'Project-Level Data'!AH39</f>
        <v>5</v>
      </c>
      <c r="G129" s="381">
        <f>'Project-Level Data'!AJ39</f>
        <v>4</v>
      </c>
      <c r="H129" s="240"/>
    </row>
    <row r="130" spans="2:8" hidden="1" x14ac:dyDescent="0.25">
      <c r="B130" s="227" t="str">
        <f>'Project-Level Data'!B40</f>
        <v>Lemon Grove Avenue Green Streets</v>
      </c>
      <c r="C130" s="475" t="str">
        <f>'Project-Level Data'!C40</f>
        <v>Stormwater BMPs</v>
      </c>
      <c r="D130" s="477"/>
      <c r="E130" s="378">
        <f>'Project-Level Data'!AG40</f>
        <v>1</v>
      </c>
      <c r="F130" s="380">
        <f>'Project-Level Data'!AH40</f>
        <v>1</v>
      </c>
      <c r="G130" s="381">
        <f>'Project-Level Data'!AJ40</f>
        <v>3</v>
      </c>
      <c r="H130" s="240"/>
    </row>
    <row r="131" spans="2:8" ht="25.5" hidden="1" x14ac:dyDescent="0.25">
      <c r="B131" s="227" t="str">
        <f>'Project-Level Data'!B41</f>
        <v>Leucadia Roadside Park Stormwater Capture/Reuse Project</v>
      </c>
      <c r="C131" s="475" t="str">
        <f>'Project-Level Data'!C41</f>
        <v>Stormwater BMPs</v>
      </c>
      <c r="D131" s="477"/>
      <c r="E131" s="378">
        <f>'Project-Level Data'!AG41</f>
        <v>3</v>
      </c>
      <c r="F131" s="380">
        <f>'Project-Level Data'!AH41</f>
        <v>4</v>
      </c>
      <c r="G131" s="381">
        <f>'Project-Level Data'!AJ41</f>
        <v>3</v>
      </c>
      <c r="H131" s="240"/>
    </row>
    <row r="132" spans="2:8" hidden="1" x14ac:dyDescent="0.25">
      <c r="B132" s="227" t="str">
        <f>'Project-Level Data'!B42</f>
        <v>Lilac Hills Ranch WRF</v>
      </c>
      <c r="C132" s="475" t="str">
        <f>'Project-Level Data'!C42</f>
        <v>Recycled Water</v>
      </c>
      <c r="D132" s="477"/>
      <c r="E132" s="378" t="str">
        <f>'Project-Level Data'!AG42</f>
        <v>No Response</v>
      </c>
      <c r="F132" s="380" t="str">
        <f>'Project-Level Data'!AH42</f>
        <v>No Response</v>
      </c>
      <c r="G132" s="381" t="str">
        <f>'Project-Level Data'!AJ42</f>
        <v>No Response</v>
      </c>
      <c r="H132" s="240"/>
    </row>
    <row r="133" spans="2:8" hidden="1" x14ac:dyDescent="0.25">
      <c r="B133" s="227" t="str">
        <f>'Project-Level Data'!B43</f>
        <v>Lincoln St Green Street</v>
      </c>
      <c r="C133" s="475" t="str">
        <f>'Project-Level Data'!C43</f>
        <v>Stormwater BMPs</v>
      </c>
      <c r="D133" s="477"/>
      <c r="E133" s="378">
        <f>'Project-Level Data'!AG43</f>
        <v>1</v>
      </c>
      <c r="F133" s="380">
        <f>'Project-Level Data'!AH43</f>
        <v>1</v>
      </c>
      <c r="G133" s="381">
        <f>'Project-Level Data'!AJ43</f>
        <v>3</v>
      </c>
      <c r="H133" s="240"/>
    </row>
    <row r="134" spans="2:8" ht="25.5" hidden="1" x14ac:dyDescent="0.25">
      <c r="B134" s="227" t="str">
        <f>'Project-Level Data'!B44</f>
        <v xml:space="preserve">Low Impact Development Urban Runoff Control Projects for the Tijuana Estuary </v>
      </c>
      <c r="C134" s="475" t="str">
        <f>'Project-Level Data'!C44</f>
        <v>Stormwater BMPs</v>
      </c>
      <c r="D134" s="477"/>
      <c r="E134" s="378">
        <f>'Project-Level Data'!AG44</f>
        <v>5</v>
      </c>
      <c r="F134" s="380">
        <f>'Project-Level Data'!AH44</f>
        <v>5</v>
      </c>
      <c r="G134" s="381">
        <f>'Project-Level Data'!AJ44</f>
        <v>4</v>
      </c>
      <c r="H134" s="240"/>
    </row>
    <row r="135" spans="2:8" hidden="1" x14ac:dyDescent="0.25">
      <c r="B135" s="227" t="str">
        <f>'Project-Level Data'!B45</f>
        <v>Lower Moosa Canyon WRF</v>
      </c>
      <c r="C135" s="475" t="str">
        <f>'Project-Level Data'!C45</f>
        <v>Recycled Water</v>
      </c>
      <c r="D135" s="477"/>
      <c r="E135" s="378" t="str">
        <f>'Project-Level Data'!AG45</f>
        <v>No Response</v>
      </c>
      <c r="F135" s="380" t="str">
        <f>'Project-Level Data'!AH45</f>
        <v>No Response</v>
      </c>
      <c r="G135" s="381" t="str">
        <f>'Project-Level Data'!AJ45</f>
        <v>No Response</v>
      </c>
      <c r="H135" s="240"/>
    </row>
    <row r="136" spans="2:8" hidden="1" x14ac:dyDescent="0.25">
      <c r="B136" s="227" t="str">
        <f>'Project-Level Data'!B46</f>
        <v>Madera St Green Street</v>
      </c>
      <c r="C136" s="475" t="str">
        <f>'Project-Level Data'!C46</f>
        <v>Stormwater BMPs</v>
      </c>
      <c r="D136" s="477"/>
      <c r="E136" s="378">
        <f>'Project-Level Data'!AG46</f>
        <v>1</v>
      </c>
      <c r="F136" s="380">
        <f>'Project-Level Data'!AH46</f>
        <v>1</v>
      </c>
      <c r="G136" s="381">
        <f>'Project-Level Data'!AJ46</f>
        <v>3</v>
      </c>
      <c r="H136" s="240"/>
    </row>
    <row r="137" spans="2:8" hidden="1" x14ac:dyDescent="0.25">
      <c r="B137" s="227" t="str">
        <f>'Project-Level Data'!B47</f>
        <v>Main Street Promenade Extension</v>
      </c>
      <c r="C137" s="475" t="str">
        <f>'Project-Level Data'!C47</f>
        <v>Stormwater BMPs</v>
      </c>
      <c r="D137" s="477"/>
      <c r="E137" s="378">
        <f>'Project-Level Data'!AG47</f>
        <v>1</v>
      </c>
      <c r="F137" s="380">
        <f>'Project-Level Data'!AH47</f>
        <v>1</v>
      </c>
      <c r="G137" s="381">
        <f>'Project-Level Data'!AJ47</f>
        <v>3</v>
      </c>
      <c r="H137" s="240"/>
    </row>
    <row r="138" spans="2:8" ht="25.5" hidden="1" x14ac:dyDescent="0.25">
      <c r="B138" s="227" t="str">
        <f>'Project-Level Data'!B48</f>
        <v>Mapleview Street ‐ Green Infrastructure and Stormwater QualityImprovement Project</v>
      </c>
      <c r="C138" s="475" t="str">
        <f>'Project-Level Data'!C48</f>
        <v>Stormwater BMPs</v>
      </c>
      <c r="D138" s="477"/>
      <c r="E138" s="378">
        <f>'Project-Level Data'!AG48</f>
        <v>2</v>
      </c>
      <c r="F138" s="380">
        <f>'Project-Level Data'!AH48</f>
        <v>4</v>
      </c>
      <c r="G138" s="381">
        <f>'Project-Level Data'!AJ48</f>
        <v>2</v>
      </c>
      <c r="H138" s="240"/>
    </row>
    <row r="139" spans="2:8" ht="15" hidden="1" customHeight="1" x14ac:dyDescent="0.25">
      <c r="B139" s="227" t="str">
        <f>'Project-Level Data'!B49</f>
        <v>Massachusetts Blvd Green Street</v>
      </c>
      <c r="C139" s="475" t="str">
        <f>'Project-Level Data'!C49</f>
        <v>Watershed and Ecosystem Management</v>
      </c>
      <c r="D139" s="477"/>
      <c r="E139" s="378">
        <f>'Project-Level Data'!AG49</f>
        <v>1</v>
      </c>
      <c r="F139" s="380">
        <f>'Project-Level Data'!AH49</f>
        <v>1</v>
      </c>
      <c r="G139" s="381">
        <f>'Project-Level Data'!AJ49</f>
        <v>3</v>
      </c>
      <c r="H139" s="240"/>
    </row>
    <row r="140" spans="2:8" hidden="1" x14ac:dyDescent="0.25">
      <c r="B140" s="227" t="str">
        <f>'Project-Level Data'!B50</f>
        <v>Meadowlark WRF</v>
      </c>
      <c r="C140" s="475" t="str">
        <f>'Project-Level Data'!C50</f>
        <v>Recycled Water</v>
      </c>
      <c r="D140" s="477"/>
      <c r="E140" s="378" t="str">
        <f>'Project-Level Data'!AG50</f>
        <v>No Response</v>
      </c>
      <c r="F140" s="380" t="str">
        <f>'Project-Level Data'!AH50</f>
        <v>No Response</v>
      </c>
      <c r="G140" s="381" t="str">
        <f>'Project-Level Data'!AJ50</f>
        <v>No Response</v>
      </c>
      <c r="H140" s="240"/>
    </row>
    <row r="141" spans="2:8" hidden="1" x14ac:dyDescent="0.25">
      <c r="B141" s="227" t="str">
        <f>'Project-Level Data'!B51</f>
        <v>Meadowood WRF</v>
      </c>
      <c r="C141" s="475" t="str">
        <f>'Project-Level Data'!C51</f>
        <v>Recycled Water</v>
      </c>
      <c r="D141" s="477"/>
      <c r="E141" s="378" t="str">
        <f>'Project-Level Data'!AG51</f>
        <v>No Response</v>
      </c>
      <c r="F141" s="380" t="str">
        <f>'Project-Level Data'!AH51</f>
        <v>No Response</v>
      </c>
      <c r="G141" s="381" t="str">
        <f>'Project-Level Data'!AJ51</f>
        <v>No Response</v>
      </c>
      <c r="H141" s="240"/>
    </row>
    <row r="142" spans="2:8" ht="25.5" hidden="1" x14ac:dyDescent="0.25">
      <c r="B142" s="227" t="str">
        <f>'Project-Level Data'!B52</f>
        <v>Middle Sweetwater River Basin Groundwater Well System</v>
      </c>
      <c r="C142" s="475" t="str">
        <f>'Project-Level Data'!C52</f>
        <v>Groundwater</v>
      </c>
      <c r="D142" s="477"/>
      <c r="E142" s="378">
        <f>'Project-Level Data'!AG52</f>
        <v>3</v>
      </c>
      <c r="F142" s="380">
        <f>'Project-Level Data'!AH52</f>
        <v>5</v>
      </c>
      <c r="G142" s="381">
        <f>'Project-Level Data'!AJ52</f>
        <v>3</v>
      </c>
      <c r="H142" s="240"/>
    </row>
    <row r="143" spans="2:8" ht="15" hidden="1" customHeight="1" x14ac:dyDescent="0.25">
      <c r="B143" s="227" t="str">
        <f>'Project-Level Data'!B53</f>
        <v>Mission Trails Projects Alternative 1</v>
      </c>
      <c r="C143" s="475" t="str">
        <f>'Project-Level Data'!C53</f>
        <v>Conveyance Improvement</v>
      </c>
      <c r="D143" s="477"/>
      <c r="E143" s="378">
        <f>'Project-Level Data'!AG53</f>
        <v>1</v>
      </c>
      <c r="F143" s="380">
        <f>'Project-Level Data'!AH53</f>
        <v>4</v>
      </c>
      <c r="G143" s="381">
        <f>'Project-Level Data'!AJ53</f>
        <v>3</v>
      </c>
      <c r="H143" s="240"/>
    </row>
    <row r="144" spans="2:8" hidden="1" x14ac:dyDescent="0.25">
      <c r="B144" s="227" t="str">
        <f>'Project-Level Data'!B54</f>
        <v>Mission Valley Brackish Groundwater Recovery Project</v>
      </c>
      <c r="C144" s="475" t="str">
        <f>'Project-Level Data'!C54</f>
        <v>Groundwater</v>
      </c>
      <c r="D144" s="477"/>
      <c r="E144" s="378">
        <f>'Project-Level Data'!AG54</f>
        <v>4</v>
      </c>
      <c r="F144" s="380">
        <f>'Project-Level Data'!AH54</f>
        <v>5</v>
      </c>
      <c r="G144" s="381">
        <f>'Project-Level Data'!AJ54</f>
        <v>4</v>
      </c>
      <c r="H144" s="240"/>
    </row>
    <row r="145" spans="2:8" ht="15" hidden="1" customHeight="1" x14ac:dyDescent="0.25">
      <c r="B145" s="227" t="str">
        <f>'Project-Level Data'!B55</f>
        <v xml:space="preserve">Ms. Smarty-Plants Grows Water-Wise Schools </v>
      </c>
      <c r="C145" s="475" t="str">
        <f>'Project-Level Data'!C55</f>
        <v>Urban and Agricultural Water Use Efficiency</v>
      </c>
      <c r="D145" s="477"/>
      <c r="E145" s="378" t="str">
        <f>'Project-Level Data'!AG55</f>
        <v>No Response</v>
      </c>
      <c r="F145" s="380" t="str">
        <f>'Project-Level Data'!AH55</f>
        <v>No Response</v>
      </c>
      <c r="G145" s="381" t="str">
        <f>'Project-Level Data'!AJ55</f>
        <v>No Response</v>
      </c>
      <c r="H145" s="240"/>
    </row>
    <row r="146" spans="2:8" ht="15" hidden="1" customHeight="1" x14ac:dyDescent="0.25">
      <c r="B146" s="227" t="str">
        <f>'Project-Level Data'!B56</f>
        <v>Mt. Vernon St Green Street</v>
      </c>
      <c r="C146" s="475" t="str">
        <f>'Project-Level Data'!C56</f>
        <v>Watershed and Ecosystem Management</v>
      </c>
      <c r="D146" s="477"/>
      <c r="E146" s="378">
        <f>'Project-Level Data'!AG56</f>
        <v>1</v>
      </c>
      <c r="F146" s="380">
        <f>'Project-Level Data'!AH56</f>
        <v>1</v>
      </c>
      <c r="G146" s="381">
        <f>'Project-Level Data'!AJ56</f>
        <v>3</v>
      </c>
      <c r="H146" s="240"/>
    </row>
    <row r="147" spans="2:8" hidden="1" x14ac:dyDescent="0.25">
      <c r="B147" s="227" t="str">
        <f>'Project-Level Data'!B57</f>
        <v>Murray Urban Runoff Diversion System Capture</v>
      </c>
      <c r="C147" s="475" t="str">
        <f>'Project-Level Data'!C57</f>
        <v>Stormwater Capture</v>
      </c>
      <c r="D147" s="477"/>
      <c r="E147" s="378">
        <f>'Project-Level Data'!AG57</f>
        <v>1</v>
      </c>
      <c r="F147" s="380">
        <f>'Project-Level Data'!AH57</f>
        <v>5</v>
      </c>
      <c r="G147" s="381">
        <f>'Project-Level Data'!AJ57</f>
        <v>2</v>
      </c>
      <c r="H147" s="240"/>
    </row>
    <row r="148" spans="2:8" ht="15" hidden="1" customHeight="1" x14ac:dyDescent="0.25">
      <c r="B148" s="227" t="str">
        <f>'Project-Level Data'!B58</f>
        <v>Nestor Creek Channel Restoration</v>
      </c>
      <c r="C148" s="475" t="str">
        <f>'Project-Level Data'!C58</f>
        <v>Watershed and Ecosystem Management</v>
      </c>
      <c r="D148" s="477"/>
      <c r="E148" s="378" t="str">
        <f>'Project-Level Data'!AG58</f>
        <v>No Response</v>
      </c>
      <c r="F148" s="380" t="str">
        <f>'Project-Level Data'!AH58</f>
        <v>No Response</v>
      </c>
      <c r="G148" s="381" t="str">
        <f>'Project-Level Data'!AJ58</f>
        <v>No Response</v>
      </c>
      <c r="H148" s="240"/>
    </row>
    <row r="149" spans="2:8" ht="25.5" hidden="1" x14ac:dyDescent="0.25">
      <c r="B149" s="227" t="str">
        <f>'Project-Level Data'!B59</f>
        <v>New Local Supply Rincon del Diablo - Hale Avenue RRF/ City of Escondido/WRFs</v>
      </c>
      <c r="C149" s="475" t="str">
        <f>'Project-Level Data'!C59</f>
        <v>Potable Reuse</v>
      </c>
      <c r="D149" s="477"/>
      <c r="E149" s="378" t="str">
        <f>'Project-Level Data'!AG59</f>
        <v>No Response</v>
      </c>
      <c r="F149" s="380" t="str">
        <f>'Project-Level Data'!AH59</f>
        <v>No Response</v>
      </c>
      <c r="G149" s="381" t="str">
        <f>'Project-Level Data'!AJ59</f>
        <v>No Response</v>
      </c>
      <c r="H149" s="240"/>
    </row>
    <row r="150" spans="2:8" ht="15" hidden="1" customHeight="1" x14ac:dyDescent="0.25">
      <c r="B150" s="227" t="str">
        <f>'Project-Level Data'!B60</f>
        <v>North Ave and Grove Green Street</v>
      </c>
      <c r="C150" s="475" t="str">
        <f>'Project-Level Data'!C60</f>
        <v>Watershed and Ecosystem Management</v>
      </c>
      <c r="D150" s="477"/>
      <c r="E150" s="378">
        <f>'Project-Level Data'!AG60</f>
        <v>1</v>
      </c>
      <c r="F150" s="380">
        <f>'Project-Level Data'!AH60</f>
        <v>1</v>
      </c>
      <c r="G150" s="381">
        <f>'Project-Level Data'!AJ60</f>
        <v>3</v>
      </c>
      <c r="H150" s="240"/>
    </row>
    <row r="151" spans="2:8" hidden="1" x14ac:dyDescent="0.25">
      <c r="B151" s="227" t="str">
        <f>'Project-Level Data'!B61</f>
        <v>North City WRP - Project 1</v>
      </c>
      <c r="C151" s="475" t="str">
        <f>'Project-Level Data'!C61</f>
        <v>Recycled Water</v>
      </c>
      <c r="D151" s="477"/>
      <c r="E151" s="378">
        <f>'Project-Level Data'!AG61</f>
        <v>4</v>
      </c>
      <c r="F151" s="380">
        <f>'Project-Level Data'!AH61</f>
        <v>5</v>
      </c>
      <c r="G151" s="381">
        <f>'Project-Level Data'!AJ61</f>
        <v>2</v>
      </c>
      <c r="H151" s="240"/>
    </row>
    <row r="152" spans="2:8" hidden="1" x14ac:dyDescent="0.25">
      <c r="B152" s="227" t="str">
        <f>'Project-Level Data'!B62</f>
        <v>North City WRP - Project 2</v>
      </c>
      <c r="C152" s="475" t="str">
        <f>'Project-Level Data'!C62</f>
        <v>Recycled Water</v>
      </c>
      <c r="D152" s="477"/>
      <c r="E152" s="378">
        <f>'Project-Level Data'!AG62</f>
        <v>4</v>
      </c>
      <c r="F152" s="380">
        <f>'Project-Level Data'!AH62</f>
        <v>5</v>
      </c>
      <c r="G152" s="381">
        <f>'Project-Level Data'!AJ62</f>
        <v>2</v>
      </c>
      <c r="H152" s="240"/>
    </row>
    <row r="153" spans="2:8" hidden="1" x14ac:dyDescent="0.25">
      <c r="B153" s="227" t="str">
        <f>'Project-Level Data'!B63</f>
        <v>North District Recycled System/RW Chapman WRF</v>
      </c>
      <c r="C153" s="475" t="str">
        <f>'Project-Level Data'!C63</f>
        <v>Recycled Water</v>
      </c>
      <c r="D153" s="477"/>
      <c r="E153" s="378">
        <f>'Project-Level Data'!AG63</f>
        <v>3</v>
      </c>
      <c r="F153" s="380">
        <f>'Project-Level Data'!AH63</f>
        <v>5</v>
      </c>
      <c r="G153" s="381">
        <f>'Project-Level Data'!AJ63</f>
        <v>3</v>
      </c>
      <c r="H153" s="240"/>
    </row>
    <row r="154" spans="2:8" ht="25.5" hidden="1" x14ac:dyDescent="0.25">
      <c r="B154" s="227" t="str">
        <f>'Project-Level Data'!B64</f>
        <v>North San Diego County Regional Recycled Water Project-Phase ll</v>
      </c>
      <c r="C154" s="475" t="str">
        <f>'Project-Level Data'!C64</f>
        <v>Recycled Water</v>
      </c>
      <c r="D154" s="477"/>
      <c r="E154" s="378">
        <f>'Project-Level Data'!AG64</f>
        <v>3</v>
      </c>
      <c r="F154" s="380">
        <f>'Project-Level Data'!AH64</f>
        <v>5</v>
      </c>
      <c r="G154" s="381">
        <f>'Project-Level Data'!AJ64</f>
        <v>5</v>
      </c>
      <c r="H154" s="240"/>
    </row>
    <row r="155" spans="2:8" hidden="1" x14ac:dyDescent="0.25">
      <c r="B155" s="227" t="str">
        <f>'Project-Level Data'!B65</f>
        <v>North Village WRF</v>
      </c>
      <c r="C155" s="475" t="str">
        <f>'Project-Level Data'!C65</f>
        <v>Recycled Water</v>
      </c>
      <c r="D155" s="477"/>
      <c r="E155" s="378" t="str">
        <f>'Project-Level Data'!AG65</f>
        <v>No Response</v>
      </c>
      <c r="F155" s="380" t="str">
        <f>'Project-Level Data'!AH65</f>
        <v>No Response</v>
      </c>
      <c r="G155" s="381" t="str">
        <f>'Project-Level Data'!AJ65</f>
        <v>No Response</v>
      </c>
      <c r="H155" s="240"/>
    </row>
    <row r="156" spans="2:8" hidden="1" x14ac:dyDescent="0.25">
      <c r="B156" s="227" t="str">
        <f>'Project-Level Data'!B66</f>
        <v>North WWTP Landscape Application</v>
      </c>
      <c r="C156" s="475" t="str">
        <f>'Project-Level Data'!C66</f>
        <v>Recycled Water</v>
      </c>
      <c r="D156" s="477"/>
      <c r="E156" s="378">
        <f>'Project-Level Data'!AG66</f>
        <v>2</v>
      </c>
      <c r="F156" s="380">
        <f>'Project-Level Data'!AH66</f>
        <v>4</v>
      </c>
      <c r="G156" s="381">
        <f>'Project-Level Data'!AJ66</f>
        <v>2</v>
      </c>
      <c r="H156" s="240"/>
    </row>
    <row r="157" spans="2:8" hidden="1" x14ac:dyDescent="0.25">
      <c r="B157" s="227" t="str">
        <f>'Project-Level Data'!B67</f>
        <v>Otay Mesa Lot 7 Groundwater Well System (capacity)</v>
      </c>
      <c r="C157" s="475" t="str">
        <f>'Project-Level Data'!C67</f>
        <v>Groundwater</v>
      </c>
      <c r="D157" s="477"/>
      <c r="E157" s="378">
        <f>'Project-Level Data'!AG67</f>
        <v>4</v>
      </c>
      <c r="F157" s="380">
        <f>'Project-Level Data'!AH67</f>
        <v>1</v>
      </c>
      <c r="G157" s="381">
        <f>'Project-Level Data'!AJ67</f>
        <v>3</v>
      </c>
      <c r="H157" s="240"/>
    </row>
    <row r="158" spans="2:8" ht="25.5" hidden="1" x14ac:dyDescent="0.25">
      <c r="B158" s="227" t="str">
        <f>'Project-Level Data'!B68</f>
        <v>Otay River Valley GW Aquifer Studies &amp; Field Investigations</v>
      </c>
      <c r="C158" s="475" t="str">
        <f>'Project-Level Data'!C68</f>
        <v>Groundwater</v>
      </c>
      <c r="D158" s="477"/>
      <c r="E158" s="378">
        <f>'Project-Level Data'!AG68</f>
        <v>4</v>
      </c>
      <c r="F158" s="380">
        <f>'Project-Level Data'!AH68</f>
        <v>5</v>
      </c>
      <c r="G158" s="381">
        <f>'Project-Level Data'!AJ68</f>
        <v>4</v>
      </c>
      <c r="H158" s="240"/>
    </row>
    <row r="159" spans="2:8" ht="15" hidden="1" customHeight="1" x14ac:dyDescent="0.25">
      <c r="B159" s="227" t="str">
        <f>'Project-Level Data'!B69</f>
        <v>Palm St Green Street</v>
      </c>
      <c r="C159" s="475" t="str">
        <f>'Project-Level Data'!C69</f>
        <v>Watershed and Ecosystem Management</v>
      </c>
      <c r="D159" s="477"/>
      <c r="E159" s="378">
        <f>'Project-Level Data'!AG69</f>
        <v>1</v>
      </c>
      <c r="F159" s="380">
        <f>'Project-Level Data'!AH69</f>
        <v>1</v>
      </c>
      <c r="G159" s="381">
        <f>'Project-Level Data'!AJ69</f>
        <v>3</v>
      </c>
      <c r="H159" s="240"/>
    </row>
    <row r="160" spans="2:8" ht="15" hidden="1" customHeight="1" x14ac:dyDescent="0.25">
      <c r="B160" s="227" t="str">
        <f>'Project-Level Data'!B70</f>
        <v>Paradise Creek Restoration Phase II</v>
      </c>
      <c r="C160" s="475" t="str">
        <f>'Project-Level Data'!C70</f>
        <v>Watershed and Ecosystem Management</v>
      </c>
      <c r="D160" s="477"/>
      <c r="E160" s="378">
        <f>'Project-Level Data'!AG70</f>
        <v>5</v>
      </c>
      <c r="F160" s="380" t="str">
        <f>'Project-Level Data'!AH70</f>
        <v>MISSING</v>
      </c>
      <c r="G160" s="381">
        <f>'Project-Level Data'!AJ70</f>
        <v>5</v>
      </c>
      <c r="H160" s="240"/>
    </row>
    <row r="161" spans="2:8" ht="25.5" hidden="1" x14ac:dyDescent="0.25">
      <c r="B161" s="227" t="str">
        <f>'Project-Level Data'!B71</f>
        <v>Paradise Valley Creek Water Quality and Community Enhancement</v>
      </c>
      <c r="C161" s="475" t="str">
        <f>'Project-Level Data'!C71</f>
        <v>Stormwater BMPs</v>
      </c>
      <c r="D161" s="477"/>
      <c r="E161" s="378">
        <f>'Project-Level Data'!AG71</f>
        <v>4</v>
      </c>
      <c r="F161" s="380" t="str">
        <f>'Project-Level Data'!AH71</f>
        <v>MISSING</v>
      </c>
      <c r="G161" s="381">
        <f>'Project-Level Data'!AJ71</f>
        <v>4</v>
      </c>
      <c r="H161" s="240"/>
    </row>
    <row r="162" spans="2:8" ht="15" hidden="1" customHeight="1" x14ac:dyDescent="0.25">
      <c r="B162" s="227" t="str">
        <f>'Project-Level Data'!B72</f>
        <v>Pipeline 3/Pipeline 4 Conversion</v>
      </c>
      <c r="C162" s="475" t="str">
        <f>'Project-Level Data'!C72</f>
        <v>Conveyance Improvement</v>
      </c>
      <c r="D162" s="477"/>
      <c r="E162" s="378">
        <f>'Project-Level Data'!AG72</f>
        <v>3</v>
      </c>
      <c r="F162" s="380">
        <f>'Project-Level Data'!AH72</f>
        <v>5</v>
      </c>
      <c r="G162" s="381">
        <f>'Project-Level Data'!AJ72</f>
        <v>3</v>
      </c>
      <c r="H162" s="240"/>
    </row>
    <row r="163" spans="2:8" ht="25.5" hidden="1" x14ac:dyDescent="0.25">
      <c r="B163" s="227" t="str">
        <f>'Project-Level Data'!B73</f>
        <v xml:space="preserve">Potable Reuse/Hale Avenue Resource Recovery Facility (HARRF) </v>
      </c>
      <c r="C163" s="475" t="str">
        <f>'Project-Level Data'!C73</f>
        <v>Potable Reuse</v>
      </c>
      <c r="D163" s="477"/>
      <c r="E163" s="378" t="str">
        <f>'Project-Level Data'!AG73</f>
        <v>No Response</v>
      </c>
      <c r="F163" s="380" t="str">
        <f>'Project-Level Data'!AH73</f>
        <v>No Response</v>
      </c>
      <c r="G163" s="381" t="str">
        <f>'Project-Level Data'!AJ73</f>
        <v>No Response</v>
      </c>
      <c r="H163" s="240"/>
    </row>
    <row r="164" spans="2:8" ht="25.5" hidden="1" x14ac:dyDescent="0.25">
      <c r="B164" s="227" t="str">
        <f>'Project-Level Data'!B74</f>
        <v>Pure Water - Los Penasquitos Creek Urban Dry-Weather Water Harvesting</v>
      </c>
      <c r="C164" s="475" t="str">
        <f>'Project-Level Data'!C74</f>
        <v>Stormwater BMPs</v>
      </c>
      <c r="D164" s="477"/>
      <c r="E164" s="378">
        <f>'Project-Level Data'!AG74</f>
        <v>4</v>
      </c>
      <c r="F164" s="380">
        <f>'Project-Level Data'!AH74</f>
        <v>4</v>
      </c>
      <c r="G164" s="381">
        <f>'Project-Level Data'!AJ74</f>
        <v>4</v>
      </c>
      <c r="H164" s="240"/>
    </row>
    <row r="165" spans="2:8" hidden="1" x14ac:dyDescent="0.25">
      <c r="B165" s="227" t="str">
        <f>'Project-Level Data'!B75</f>
        <v xml:space="preserve">Pure Water San Diego Phase 1 - North City </v>
      </c>
      <c r="C165" s="475" t="str">
        <f>'Project-Level Data'!C75</f>
        <v>Potable Reuse</v>
      </c>
      <c r="D165" s="477"/>
      <c r="E165" s="378">
        <f>'Project-Level Data'!AG75</f>
        <v>5</v>
      </c>
      <c r="F165" s="380">
        <f>'Project-Level Data'!AH75</f>
        <v>5</v>
      </c>
      <c r="G165" s="381">
        <f>'Project-Level Data'!AJ75</f>
        <v>5</v>
      </c>
      <c r="H165" s="240"/>
    </row>
    <row r="166" spans="2:8" hidden="1" x14ac:dyDescent="0.25">
      <c r="B166" s="227" t="str">
        <f>'Project-Level Data'!B76</f>
        <v>Pure Water San Diego Phase 2 - Central</v>
      </c>
      <c r="C166" s="475" t="str">
        <f>'Project-Level Data'!C76</f>
        <v>Potable Reuse</v>
      </c>
      <c r="D166" s="477"/>
      <c r="E166" s="378">
        <f>'Project-Level Data'!AG76</f>
        <v>5</v>
      </c>
      <c r="F166" s="380">
        <f>'Project-Level Data'!AH76</f>
        <v>5</v>
      </c>
      <c r="G166" s="381">
        <f>'Project-Level Data'!AJ76</f>
        <v>5</v>
      </c>
      <c r="H166" s="240"/>
    </row>
    <row r="167" spans="2:8" hidden="1" x14ac:dyDescent="0.25">
      <c r="B167" s="227" t="str">
        <f>'Project-Level Data'!B77</f>
        <v>Rainwater harvesting</v>
      </c>
      <c r="C167" s="475" t="str">
        <f>'Project-Level Data'!C77</f>
        <v>Stormwater Capture</v>
      </c>
      <c r="D167" s="477"/>
      <c r="E167" s="378">
        <f>'Project-Level Data'!AG77</f>
        <v>2</v>
      </c>
      <c r="F167" s="380">
        <f>'Project-Level Data'!AH77</f>
        <v>3</v>
      </c>
      <c r="G167" s="381">
        <f>'Project-Level Data'!AJ77</f>
        <v>5</v>
      </c>
      <c r="H167" s="240"/>
    </row>
    <row r="168" spans="2:8" hidden="1" x14ac:dyDescent="0.25">
      <c r="B168" s="227" t="str">
        <f>'Project-Level Data'!B78</f>
        <v>Rancho Cielo</v>
      </c>
      <c r="C168" s="475" t="str">
        <f>'Project-Level Data'!C78</f>
        <v>Recycled Water</v>
      </c>
      <c r="D168" s="477"/>
      <c r="E168" s="378">
        <f>'Project-Level Data'!AG78</f>
        <v>2</v>
      </c>
      <c r="F168" s="380">
        <f>'Project-Level Data'!AH78</f>
        <v>5</v>
      </c>
      <c r="G168" s="381">
        <f>'Project-Level Data'!AJ78</f>
        <v>4</v>
      </c>
      <c r="H168" s="240"/>
    </row>
    <row r="169" spans="2:8" ht="25.5" hidden="1" x14ac:dyDescent="0.25">
      <c r="B169" s="227" t="str">
        <f>'Project-Level Data'!B79</f>
        <v>Rancho del Rey Groundwater Well Development (capacity)</v>
      </c>
      <c r="C169" s="475" t="str">
        <f>'Project-Level Data'!C79</f>
        <v>Groundwater</v>
      </c>
      <c r="D169" s="477"/>
      <c r="E169" s="378">
        <f>'Project-Level Data'!AG79</f>
        <v>4</v>
      </c>
      <c r="F169" s="380">
        <f>'Project-Level Data'!AH79</f>
        <v>1</v>
      </c>
      <c r="G169" s="381">
        <f>'Project-Level Data'!AJ79</f>
        <v>4</v>
      </c>
      <c r="H169" s="240"/>
    </row>
    <row r="170" spans="2:8" hidden="1" x14ac:dyDescent="0.25">
      <c r="B170" s="227" t="str">
        <f>'Project-Level Data'!B80</f>
        <v>Ray Stoyer WRF - Landscape, Irrigation, Dust Control</v>
      </c>
      <c r="C170" s="475" t="str">
        <f>'Project-Level Data'!C80</f>
        <v>Recycled Water</v>
      </c>
      <c r="D170" s="477"/>
      <c r="E170" s="378">
        <f>'Project-Level Data'!AG80</f>
        <v>3</v>
      </c>
      <c r="F170" s="380">
        <f>'Project-Level Data'!AH80</f>
        <v>5</v>
      </c>
      <c r="G170" s="381">
        <f>'Project-Level Data'!AJ80</f>
        <v>4</v>
      </c>
      <c r="H170" s="240"/>
    </row>
    <row r="171" spans="2:8" ht="15" hidden="1" customHeight="1" x14ac:dyDescent="0.25">
      <c r="B171" s="227" t="str">
        <f>'Project-Level Data'!B81</f>
        <v>Regional Demand Management Program Expansion</v>
      </c>
      <c r="C171" s="475" t="str">
        <f>'Project-Level Data'!C81</f>
        <v>Urban and Agricultural Water Use Efficiency</v>
      </c>
      <c r="D171" s="477"/>
      <c r="E171" s="378">
        <f>'Project-Level Data'!AG81</f>
        <v>5</v>
      </c>
      <c r="F171" s="380">
        <f>'Project-Level Data'!AH81</f>
        <v>1</v>
      </c>
      <c r="G171" s="381">
        <f>'Project-Level Data'!AJ81</f>
        <v>5</v>
      </c>
      <c r="H171" s="240"/>
    </row>
    <row r="172" spans="2:8" ht="15" hidden="1" customHeight="1" x14ac:dyDescent="0.25">
      <c r="B172" s="227" t="str">
        <f>'Project-Level Data'!B82</f>
        <v>Regional Drought Resilience Program</v>
      </c>
      <c r="C172" s="475" t="str">
        <f>'Project-Level Data'!C82</f>
        <v>Urban and Agricultural Water Use Efficiency</v>
      </c>
      <c r="D172" s="477"/>
      <c r="E172" s="378">
        <f>'Project-Level Data'!AG82</f>
        <v>5</v>
      </c>
      <c r="F172" s="380">
        <f>'Project-Level Data'!AH82</f>
        <v>1</v>
      </c>
      <c r="G172" s="381">
        <f>'Project-Level Data'!AJ82</f>
        <v>5</v>
      </c>
      <c r="H172" s="240"/>
    </row>
    <row r="173" spans="2:8" hidden="1" x14ac:dyDescent="0.25">
      <c r="B173" s="227" t="str">
        <f>'Project-Level Data'!B83</f>
        <v>Re-rating of Carlsbad Desalination for higher flow</v>
      </c>
      <c r="C173" s="475" t="str">
        <f>'Project-Level Data'!C83</f>
        <v>Seawater Desalination</v>
      </c>
      <c r="D173" s="477"/>
      <c r="E173" s="378" t="str">
        <f>'Project-Level Data'!AG83</f>
        <v>No Response</v>
      </c>
      <c r="F173" s="380" t="str">
        <f>'Project-Level Data'!AH83</f>
        <v>No Response</v>
      </c>
      <c r="G173" s="381" t="str">
        <f>'Project-Level Data'!AJ83</f>
        <v>No Response</v>
      </c>
      <c r="H173" s="240"/>
    </row>
    <row r="174" spans="2:8" ht="15" hidden="1" customHeight="1" x14ac:dyDescent="0.25">
      <c r="B174" s="227" t="str">
        <f>'Project-Level Data'!B84</f>
        <v>Rincon Customer-Driven Demand Management Program</v>
      </c>
      <c r="C174" s="475" t="str">
        <f>'Project-Level Data'!C84</f>
        <v>Urban and Agricultural Water Use Efficiency</v>
      </c>
      <c r="D174" s="477"/>
      <c r="E174" s="378" t="str">
        <f>'Project-Level Data'!AG84</f>
        <v>No Response</v>
      </c>
      <c r="F174" s="380" t="str">
        <f>'Project-Level Data'!AH84</f>
        <v>No Response</v>
      </c>
      <c r="G174" s="381" t="str">
        <f>'Project-Level Data'!AJ84</f>
        <v>No Response</v>
      </c>
      <c r="H174" s="240"/>
    </row>
    <row r="175" spans="2:8" hidden="1" x14ac:dyDescent="0.25">
      <c r="B175" s="227" t="str">
        <f>'Project-Level Data'!B85</f>
        <v>Rosarito Beach Desalination</v>
      </c>
      <c r="C175" s="475" t="str">
        <f>'Project-Level Data'!C85</f>
        <v>Seawater Desalination</v>
      </c>
      <c r="D175" s="477"/>
      <c r="E175" s="378">
        <f>'Project-Level Data'!AG85</f>
        <v>3</v>
      </c>
      <c r="F175" s="380">
        <f>'Project-Level Data'!AH85</f>
        <v>5</v>
      </c>
      <c r="G175" s="381">
        <f>'Project-Level Data'!AJ85</f>
        <v>4</v>
      </c>
      <c r="H175" s="240"/>
    </row>
    <row r="176" spans="2:8" hidden="1" x14ac:dyDescent="0.25">
      <c r="B176" s="227" t="str">
        <f>'Project-Level Data'!B86</f>
        <v>Safari Drought Response and Outreach</v>
      </c>
      <c r="C176" s="475" t="str">
        <f>'Project-Level Data'!C86</f>
        <v>Recycled Water</v>
      </c>
      <c r="D176" s="477"/>
      <c r="E176" s="378" t="str">
        <f>'Project-Level Data'!AG86</f>
        <v>No Response</v>
      </c>
      <c r="F176" s="380" t="str">
        <f>'Project-Level Data'!AH86</f>
        <v>No Response</v>
      </c>
      <c r="G176" s="381" t="str">
        <f>'Project-Level Data'!AJ86</f>
        <v>No Response</v>
      </c>
      <c r="H176" s="240"/>
    </row>
    <row r="177" spans="1:8" hidden="1" x14ac:dyDescent="0.25">
      <c r="B177" s="227" t="str">
        <f>'Project-Level Data'!B87</f>
        <v>Safari Park Storm Water Capture and Reuse Project</v>
      </c>
      <c r="C177" s="475" t="str">
        <f>'Project-Level Data'!C87</f>
        <v>Stormwater BMPs</v>
      </c>
      <c r="D177" s="477"/>
      <c r="E177" s="378" t="str">
        <f>'Project-Level Data'!AG87</f>
        <v>No Response</v>
      </c>
      <c r="F177" s="380" t="str">
        <f>'Project-Level Data'!AH87</f>
        <v>No Response</v>
      </c>
      <c r="G177" s="381" t="str">
        <f>'Project-Level Data'!AJ87</f>
        <v>No Response</v>
      </c>
      <c r="H177" s="240"/>
    </row>
    <row r="178" spans="1:8" ht="25.5" hidden="1" x14ac:dyDescent="0.25">
      <c r="B178" s="227" t="str">
        <f>'Project-Level Data'!B88</f>
        <v>Safari Park Water Reuse Sustainability and Watershed Protection Prgram</v>
      </c>
      <c r="C178" s="475" t="str">
        <f>'Project-Level Data'!C88</f>
        <v>Stormwater BMPs</v>
      </c>
      <c r="D178" s="477"/>
      <c r="E178" s="378" t="str">
        <f>'Project-Level Data'!AG88</f>
        <v>No Response</v>
      </c>
      <c r="F178" s="380" t="str">
        <f>'Project-Level Data'!AH88</f>
        <v>No Response</v>
      </c>
      <c r="G178" s="381" t="str">
        <f>'Project-Level Data'!AJ88</f>
        <v>No Response</v>
      </c>
      <c r="H178" s="240"/>
    </row>
    <row r="179" spans="1:8" ht="15" hidden="1" customHeight="1" x14ac:dyDescent="0.25">
      <c r="B179" s="227" t="str">
        <f>'Project-Level Data'!B89</f>
        <v>San Diego County Reservoir Intertie</v>
      </c>
      <c r="C179" s="475" t="str">
        <f>'Project-Level Data'!C89</f>
        <v>Conveyance Improvement</v>
      </c>
      <c r="D179" s="477"/>
      <c r="E179" s="378">
        <f>'Project-Level Data'!AG89</f>
        <v>3</v>
      </c>
      <c r="F179" s="380">
        <f>'Project-Level Data'!AH89</f>
        <v>5</v>
      </c>
      <c r="G179" s="381">
        <f>'Project-Level Data'!AJ89</f>
        <v>1</v>
      </c>
      <c r="H179" s="240"/>
    </row>
    <row r="180" spans="1:8" ht="25.5" hidden="1" x14ac:dyDescent="0.25">
      <c r="B180" s="227" t="str">
        <f>'Project-Level Data'!B90</f>
        <v>San Diego Formation - Southeaster San Diego, including Mt Hope</v>
      </c>
      <c r="C180" s="475" t="str">
        <f>'Project-Level Data'!C90</f>
        <v>Groundwater</v>
      </c>
      <c r="D180" s="477"/>
      <c r="E180" s="378">
        <f>'Project-Level Data'!AG90</f>
        <v>3</v>
      </c>
      <c r="F180" s="380">
        <f>'Project-Level Data'!AH90</f>
        <v>5</v>
      </c>
      <c r="G180" s="381">
        <f>'Project-Level Data'!AJ90</f>
        <v>2</v>
      </c>
      <c r="H180" s="240"/>
    </row>
    <row r="181" spans="1:8" ht="15" hidden="1" customHeight="1" x14ac:dyDescent="0.25">
      <c r="B181" s="227" t="str">
        <f>'Project-Level Data'!B91</f>
        <v>San Diego Healthy Headwaters Restoration</v>
      </c>
      <c r="C181" s="475" t="str">
        <f>'Project-Level Data'!C91</f>
        <v>Watershed and Ecosystem Management</v>
      </c>
      <c r="D181" s="477"/>
      <c r="E181" s="378">
        <f>'Project-Level Data'!AG91</f>
        <v>3</v>
      </c>
      <c r="F181" s="380">
        <f>'Project-Level Data'!AH91</f>
        <v>5</v>
      </c>
      <c r="G181" s="381">
        <f>'Project-Level Data'!AJ91</f>
        <v>4</v>
      </c>
      <c r="H181" s="240"/>
    </row>
    <row r="182" spans="1:8" ht="15" hidden="1" customHeight="1" x14ac:dyDescent="0.25">
      <c r="B182" s="227" t="str">
        <f>'Project-Level Data'!B92</f>
        <v>San Diego Water Conservation Program</v>
      </c>
      <c r="C182" s="475" t="str">
        <f>'Project-Level Data'!C92</f>
        <v>Urban and Agricultural Water Use Efficiency</v>
      </c>
      <c r="D182" s="477"/>
      <c r="E182" s="378">
        <f>'Project-Level Data'!AG92</f>
        <v>2</v>
      </c>
      <c r="F182" s="380">
        <f>'Project-Level Data'!AH92</f>
        <v>5</v>
      </c>
      <c r="G182" s="381">
        <f>'Project-Level Data'!AJ92</f>
        <v>5</v>
      </c>
      <c r="H182" s="240"/>
    </row>
    <row r="183" spans="1:8" ht="15" hidden="1" customHeight="1" x14ac:dyDescent="0.25">
      <c r="B183" s="227" t="str">
        <f>'Project-Level Data'!B93</f>
        <v>San Diego Water Use Reduction Program</v>
      </c>
      <c r="C183" s="475" t="str">
        <f>'Project-Level Data'!C93</f>
        <v>Urban and Agricultural Water Use Efficiency</v>
      </c>
      <c r="D183" s="477"/>
      <c r="E183" s="378">
        <f>'Project-Level Data'!AG93</f>
        <v>2</v>
      </c>
      <c r="F183" s="380">
        <f>'Project-Level Data'!AH93</f>
        <v>5</v>
      </c>
      <c r="G183" s="381">
        <f>'Project-Level Data'!AJ93</f>
        <v>5</v>
      </c>
      <c r="H183" s="240"/>
    </row>
    <row r="184" spans="1:8" ht="25.5" hidden="1" x14ac:dyDescent="0.25">
      <c r="B184" s="227" t="str">
        <f>'Project-Level Data'!B94</f>
        <v>San Dieguito River Basin Brackish GW Recovery and Treatment</v>
      </c>
      <c r="C184" s="475" t="str">
        <f>'Project-Level Data'!C94</f>
        <v>Groundwater</v>
      </c>
      <c r="D184" s="477"/>
      <c r="E184" s="378">
        <f>'Project-Level Data'!AG94</f>
        <v>4</v>
      </c>
      <c r="F184" s="380">
        <f>'Project-Level Data'!AH94</f>
        <v>5</v>
      </c>
      <c r="G184" s="381">
        <f>'Project-Level Data'!AJ94</f>
        <v>5</v>
      </c>
      <c r="H184" s="240"/>
    </row>
    <row r="185" spans="1:8" hidden="1" x14ac:dyDescent="0.25">
      <c r="B185" s="227" t="str">
        <f>'Project-Level Data'!B95</f>
        <v>San Luis Rey Groundwater Study</v>
      </c>
      <c r="C185" s="475" t="str">
        <f>'Project-Level Data'!C95</f>
        <v>Groundwater</v>
      </c>
      <c r="D185" s="477"/>
      <c r="E185" s="378" t="str">
        <f>'Project-Level Data'!AG95</f>
        <v>No Response</v>
      </c>
      <c r="F185" s="380" t="str">
        <f>'Project-Level Data'!AH95</f>
        <v>No Response</v>
      </c>
      <c r="G185" s="381" t="str">
        <f>'Project-Level Data'!AJ95</f>
        <v>No Response</v>
      </c>
      <c r="H185" s="240"/>
    </row>
    <row r="186" spans="1:8" ht="25.5" hidden="1" x14ac:dyDescent="0.25">
      <c r="B186" s="227" t="str">
        <f>'Project-Level Data'!B96</f>
        <v>San Marino Drive Green Street and Dry Weather Flow Management Sweetwater</v>
      </c>
      <c r="C186" s="475" t="str">
        <f>'Project-Level Data'!C96</f>
        <v>Stormwater BMPs</v>
      </c>
      <c r="D186" s="477"/>
      <c r="E186" s="378">
        <f>'Project-Level Data'!AG96</f>
        <v>2</v>
      </c>
      <c r="F186" s="380">
        <f>'Project-Level Data'!AH96</f>
        <v>4</v>
      </c>
      <c r="G186" s="381">
        <f>'Project-Level Data'!AJ96</f>
        <v>2</v>
      </c>
      <c r="H186" s="240"/>
    </row>
    <row r="187" spans="1:8" ht="25.5" hidden="1" x14ac:dyDescent="0.25">
      <c r="B187" s="227" t="str">
        <f>'Project-Level Data'!B97</f>
        <v>San Marino Drive Green Street and Dry Weather Flow Management Vallecitos</v>
      </c>
      <c r="C187" s="475" t="str">
        <f>'Project-Level Data'!C97</f>
        <v>Stormwater BMPs</v>
      </c>
      <c r="D187" s="477"/>
      <c r="E187" s="378">
        <f>'Project-Level Data'!AG97</f>
        <v>2</v>
      </c>
      <c r="F187" s="380">
        <f>'Project-Level Data'!AH97</f>
        <v>4</v>
      </c>
      <c r="G187" s="381">
        <f>'Project-Level Data'!AJ97</f>
        <v>2</v>
      </c>
      <c r="H187" s="240"/>
    </row>
    <row r="188" spans="1:8" hidden="1" x14ac:dyDescent="0.25">
      <c r="A188" s="84"/>
      <c r="B188" s="227" t="str">
        <f>'Project-Level Data'!B98</f>
        <v>San Miguel Green Street</v>
      </c>
      <c r="C188" s="475" t="str">
        <f>'Project-Level Data'!C98</f>
        <v>Stormwater BMPs</v>
      </c>
      <c r="D188" s="477"/>
      <c r="E188" s="378" t="str">
        <f>'Project-Level Data'!AG98</f>
        <v>No Response</v>
      </c>
      <c r="F188" s="380" t="str">
        <f>'Project-Level Data'!AH98</f>
        <v>No Response</v>
      </c>
      <c r="G188" s="381" t="str">
        <f>'Project-Level Data'!AJ98</f>
        <v>No Response</v>
      </c>
      <c r="H188" s="240"/>
    </row>
    <row r="189" spans="1:8" hidden="1" x14ac:dyDescent="0.25">
      <c r="A189" s="11"/>
      <c r="B189" s="227" t="str">
        <f>'Project-Level Data'!B99</f>
        <v>San Pasqual Brackish Groundwater Recovery Project</v>
      </c>
      <c r="C189" s="475" t="str">
        <f>'Project-Level Data'!C99</f>
        <v>Groundwater</v>
      </c>
      <c r="D189" s="477"/>
      <c r="E189" s="378">
        <f>'Project-Level Data'!AG99</f>
        <v>4</v>
      </c>
      <c r="F189" s="380">
        <f>'Project-Level Data'!AH99</f>
        <v>4</v>
      </c>
      <c r="G189" s="381">
        <f>'Project-Level Data'!AJ99</f>
        <v>3</v>
      </c>
      <c r="H189" s="240"/>
    </row>
    <row r="190" spans="1:8" ht="15" hidden="1" customHeight="1" x14ac:dyDescent="0.25">
      <c r="A190" s="11"/>
      <c r="B190" s="227" t="str">
        <f>'Project-Level Data'!B100</f>
        <v>San Vicente 3rd Pump Drive and Power</v>
      </c>
      <c r="C190" s="475" t="str">
        <f>'Project-Level Data'!C100</f>
        <v>Conveyance Improvement</v>
      </c>
      <c r="D190" s="477"/>
      <c r="E190" s="378">
        <f>'Project-Level Data'!AG100</f>
        <v>1</v>
      </c>
      <c r="F190" s="380">
        <f>'Project-Level Data'!AH100</f>
        <v>3</v>
      </c>
      <c r="G190" s="381">
        <f>'Project-Level Data'!AJ100</f>
        <v>3</v>
      </c>
      <c r="H190" s="240"/>
    </row>
    <row r="191" spans="1:8" ht="38.25" hidden="1" x14ac:dyDescent="0.25">
      <c r="A191" s="11"/>
      <c r="B191" s="227" t="str">
        <f>'Project-Level Data'!B101</f>
        <v>Santa Margarita Conjunctive-Use Project - Local surface water recharge and expansion of Camp Pendleton groundwater recovery program</v>
      </c>
      <c r="C191" s="475" t="str">
        <f>'Project-Level Data'!C101</f>
        <v>Groundwater</v>
      </c>
      <c r="D191" s="477"/>
      <c r="E191" s="378" t="str">
        <f>'Project-Level Data'!AG101</f>
        <v>No Response</v>
      </c>
      <c r="F191" s="380" t="str">
        <f>'Project-Level Data'!AH101</f>
        <v>No Response</v>
      </c>
      <c r="G191" s="381" t="str">
        <f>'Project-Level Data'!AJ101</f>
        <v>No Response</v>
      </c>
      <c r="H191" s="240"/>
    </row>
    <row r="192" spans="1:8" hidden="1" x14ac:dyDescent="0.25">
      <c r="A192" s="11"/>
      <c r="B192" s="227" t="str">
        <f>'Project-Level Data'!B102</f>
        <v>Santa Maria WRP</v>
      </c>
      <c r="C192" s="475" t="str">
        <f>'Project-Level Data'!C102</f>
        <v>Recycled Water</v>
      </c>
      <c r="D192" s="477"/>
      <c r="E192" s="378" t="str">
        <f>'Project-Level Data'!AG102</f>
        <v>No Response</v>
      </c>
      <c r="F192" s="380" t="str">
        <f>'Project-Level Data'!AH102</f>
        <v>No Response</v>
      </c>
      <c r="G192" s="381" t="str">
        <f>'Project-Level Data'!AJ102</f>
        <v>No Response</v>
      </c>
      <c r="H192" s="240"/>
    </row>
    <row r="193" spans="1:8" ht="15" hidden="1" customHeight="1" x14ac:dyDescent="0.25">
      <c r="A193" s="11"/>
      <c r="B193" s="227" t="str">
        <f>'Project-Level Data'!B103</f>
        <v>Second Crossover Pipeline</v>
      </c>
      <c r="C193" s="475" t="str">
        <f>'Project-Level Data'!C103</f>
        <v>Conveyance Improvement</v>
      </c>
      <c r="D193" s="477"/>
      <c r="E193" s="378">
        <f>'Project-Level Data'!AG103</f>
        <v>3</v>
      </c>
      <c r="F193" s="380">
        <f>'Project-Level Data'!AH103</f>
        <v>5</v>
      </c>
      <c r="G193" s="381">
        <f>'Project-Level Data'!AJ103</f>
        <v>3</v>
      </c>
      <c r="H193" s="240"/>
    </row>
    <row r="194" spans="1:8" hidden="1" x14ac:dyDescent="0.25">
      <c r="A194" s="11"/>
      <c r="B194" s="227" t="str">
        <f>'Project-Level Data'!B104</f>
        <v>SFID/SDWD/SEJPA Potable Reuse Project</v>
      </c>
      <c r="C194" s="475" t="str">
        <f>'Project-Level Data'!C104</f>
        <v>Potable Reuse</v>
      </c>
      <c r="D194" s="477"/>
      <c r="E194" s="378">
        <f>'Project-Level Data'!AG104</f>
        <v>4</v>
      </c>
      <c r="F194" s="380">
        <f>'Project-Level Data'!AH104</f>
        <v>5</v>
      </c>
      <c r="G194" s="381">
        <f>'Project-Level Data'!AJ104</f>
        <v>5</v>
      </c>
      <c r="H194" s="240"/>
    </row>
    <row r="195" spans="1:8" hidden="1" x14ac:dyDescent="0.25">
      <c r="A195" s="11"/>
      <c r="B195" s="227" t="str">
        <f>'Project-Level Data'!B105</f>
        <v>Shadowridge WRP</v>
      </c>
      <c r="C195" s="475" t="str">
        <f>'Project-Level Data'!C105</f>
        <v>Recycled Water</v>
      </c>
      <c r="D195" s="477"/>
      <c r="E195" s="378" t="str">
        <f>'Project-Level Data'!AG105</f>
        <v>No Response</v>
      </c>
      <c r="F195" s="380" t="str">
        <f>'Project-Level Data'!AH105</f>
        <v>No Response</v>
      </c>
      <c r="G195" s="381" t="str">
        <f>'Project-Level Data'!AJ105</f>
        <v>No Response</v>
      </c>
      <c r="H195" s="240"/>
    </row>
    <row r="196" spans="1:8" hidden="1" x14ac:dyDescent="0.25">
      <c r="A196" s="11"/>
      <c r="B196" s="227" t="str">
        <f>'Project-Level Data'!B106</f>
        <v>Skyline Dr and Kempt St Green Streets</v>
      </c>
      <c r="C196" s="475" t="str">
        <f>'Project-Level Data'!C106</f>
        <v>Stormwater BMPs</v>
      </c>
      <c r="D196" s="477"/>
      <c r="E196" s="378">
        <f>'Project-Level Data'!AG106</f>
        <v>1</v>
      </c>
      <c r="F196" s="380">
        <f>'Project-Level Data'!AH106</f>
        <v>1</v>
      </c>
      <c r="G196" s="381">
        <f>'Project-Level Data'!AJ106</f>
        <v>3</v>
      </c>
      <c r="H196" s="240"/>
    </row>
    <row r="197" spans="1:8" hidden="1" x14ac:dyDescent="0.25">
      <c r="A197" s="11"/>
      <c r="B197" s="227" t="str">
        <f>'Project-Level Data'!B107</f>
        <v>South Santa Fe Green Street Project</v>
      </c>
      <c r="C197" s="475" t="str">
        <f>'Project-Level Data'!C107</f>
        <v>Stormwater BMPs</v>
      </c>
      <c r="D197" s="477"/>
      <c r="E197" s="378">
        <f>'Project-Level Data'!AG107</f>
        <v>5</v>
      </c>
      <c r="F197" s="380">
        <f>'Project-Level Data'!AH107</f>
        <v>5</v>
      </c>
      <c r="G197" s="381">
        <f>'Project-Level Data'!AJ107</f>
        <v>4</v>
      </c>
      <c r="H197" s="240"/>
    </row>
    <row r="198" spans="1:8" hidden="1" x14ac:dyDescent="0.25">
      <c r="A198" s="11"/>
      <c r="B198" s="227" t="str">
        <f>'Project-Level Data'!B108</f>
        <v>South WWTP - Indirect Potable Recharge</v>
      </c>
      <c r="C198" s="475" t="str">
        <f>'Project-Level Data'!C108</f>
        <v>Potable Reuse</v>
      </c>
      <c r="D198" s="477"/>
      <c r="E198" s="378">
        <f>'Project-Level Data'!AG108</f>
        <v>4</v>
      </c>
      <c r="F198" s="380">
        <f>'Project-Level Data'!AH108</f>
        <v>5</v>
      </c>
      <c r="G198" s="381">
        <f>'Project-Level Data'!AJ108</f>
        <v>5</v>
      </c>
      <c r="H198" s="240"/>
    </row>
    <row r="199" spans="1:8" hidden="1" x14ac:dyDescent="0.25">
      <c r="A199" s="11"/>
      <c r="B199" s="227" t="str">
        <f>'Project-Level Data'!B109</f>
        <v>South WWTP - Injection to Las Flores Basin</v>
      </c>
      <c r="C199" s="475" t="str">
        <f>'Project-Level Data'!C109</f>
        <v>Potable Reuse</v>
      </c>
      <c r="D199" s="477"/>
      <c r="E199" s="378">
        <f>'Project-Level Data'!AG109</f>
        <v>4</v>
      </c>
      <c r="F199" s="380">
        <f>'Project-Level Data'!AH109</f>
        <v>5</v>
      </c>
      <c r="G199" s="381">
        <f>'Project-Level Data'!AJ109</f>
        <v>1</v>
      </c>
      <c r="H199" s="240"/>
    </row>
    <row r="200" spans="1:8" hidden="1" x14ac:dyDescent="0.25">
      <c r="A200" s="11"/>
      <c r="B200" s="227" t="str">
        <f>'Project-Level Data'!B110</f>
        <v>South WWTP - Injection to Santa Margarita Basin</v>
      </c>
      <c r="C200" s="475" t="str">
        <f>'Project-Level Data'!C110</f>
        <v>Potable Reuse</v>
      </c>
      <c r="D200" s="477"/>
      <c r="E200" s="378">
        <f>'Project-Level Data'!AG110</f>
        <v>4</v>
      </c>
      <c r="F200" s="380">
        <f>'Project-Level Data'!AH110</f>
        <v>5</v>
      </c>
      <c r="G200" s="381">
        <f>'Project-Level Data'!AJ110</f>
        <v>1</v>
      </c>
      <c r="H200" s="240"/>
    </row>
    <row r="201" spans="1:8" hidden="1" x14ac:dyDescent="0.25">
      <c r="A201" s="11"/>
      <c r="B201" s="227" t="str">
        <f>'Project-Level Data'!B111</f>
        <v>Spruce Street Channel Improvement Project</v>
      </c>
      <c r="C201" s="475" t="str">
        <f>'Project-Level Data'!C111</f>
        <v>Stormwater BMPs</v>
      </c>
      <c r="D201" s="477"/>
      <c r="E201" s="378" t="str">
        <f>'Project-Level Data'!AG111</f>
        <v>No Response</v>
      </c>
      <c r="F201" s="380" t="str">
        <f>'Project-Level Data'!AH111</f>
        <v>No Response</v>
      </c>
      <c r="G201" s="381" t="str">
        <f>'Project-Level Data'!AJ111</f>
        <v>No Response</v>
      </c>
      <c r="H201" s="240"/>
    </row>
    <row r="202" spans="1:8" ht="25.5" hidden="1" customHeight="1" x14ac:dyDescent="0.25">
      <c r="A202" s="11"/>
      <c r="B202" s="227" t="str">
        <f>'Project-Level Data'!B112</f>
        <v>Storm water Capture off San Diego River along Alvarado Canyon and Fairmont Canyon to Fish and Wildlife site</v>
      </c>
      <c r="C202" s="475" t="str">
        <f>'Project-Level Data'!C112</f>
        <v>Stormwater BMPs</v>
      </c>
      <c r="D202" s="477"/>
      <c r="E202" s="378">
        <f>'Project-Level Data'!AG112</f>
        <v>4</v>
      </c>
      <c r="F202" s="380">
        <f>'Project-Level Data'!AH112</f>
        <v>1</v>
      </c>
      <c r="G202" s="381">
        <f>'Project-Level Data'!AJ112</f>
        <v>2</v>
      </c>
      <c r="H202" s="240"/>
    </row>
    <row r="203" spans="1:8" ht="25.5" hidden="1" x14ac:dyDescent="0.25">
      <c r="A203" s="11"/>
      <c r="B203" s="227" t="str">
        <f>'Project-Level Data'!B113</f>
        <v>Sustaining Healthy Tributaries to the Upper San Diego River and Protecting Local Water Supplies</v>
      </c>
      <c r="C203" s="475" t="str">
        <f>'Project-Level Data'!C113</f>
        <v>Watershed and Ecosystem Management</v>
      </c>
      <c r="D203" s="477"/>
      <c r="E203" s="378" t="str">
        <f>'Project-Level Data'!AG113</f>
        <v>No Response</v>
      </c>
      <c r="F203" s="380" t="str">
        <f>'Project-Level Data'!AH113</f>
        <v>No Response</v>
      </c>
      <c r="G203" s="381" t="str">
        <f>'Project-Level Data'!AJ113</f>
        <v>No Response</v>
      </c>
      <c r="H203" s="240"/>
    </row>
    <row r="204" spans="1:8" hidden="1" x14ac:dyDescent="0.25">
      <c r="A204" s="11"/>
      <c r="B204" s="227" t="str">
        <f>'Project-Level Data'!B114</f>
        <v>Sweetwater Rd Green Street</v>
      </c>
      <c r="C204" s="475" t="str">
        <f>'Project-Level Data'!C114</f>
        <v>Stormwater BMPs</v>
      </c>
      <c r="D204" s="477"/>
      <c r="E204" s="378">
        <f>'Project-Level Data'!AG114</f>
        <v>1</v>
      </c>
      <c r="F204" s="380">
        <f>'Project-Level Data'!AH114</f>
        <v>1</v>
      </c>
      <c r="G204" s="381">
        <f>'Project-Level Data'!AJ114</f>
        <v>3</v>
      </c>
      <c r="H204" s="240"/>
    </row>
    <row r="205" spans="1:8" ht="15" hidden="1" customHeight="1" x14ac:dyDescent="0.25">
      <c r="A205" s="11"/>
      <c r="B205" s="227" t="str">
        <f>'Project-Level Data'!B115</f>
        <v>Sweetwater Reservoir Wetlands Habitat Recovery</v>
      </c>
      <c r="C205" s="475" t="str">
        <f>'Project-Level Data'!C115</f>
        <v>Watershed and Ecosystem Management</v>
      </c>
      <c r="D205" s="477"/>
      <c r="E205" s="378">
        <f>'Project-Level Data'!AG115</f>
        <v>4</v>
      </c>
      <c r="F205" s="380">
        <f>'Project-Level Data'!AH115</f>
        <v>4</v>
      </c>
      <c r="G205" s="381">
        <f>'Project-Level Data'!AJ115</f>
        <v>2</v>
      </c>
      <c r="H205" s="240"/>
    </row>
    <row r="206" spans="1:8" hidden="1" x14ac:dyDescent="0.25">
      <c r="A206" s="11"/>
      <c r="B206" s="227" t="str">
        <f>'Project-Level Data'!B116</f>
        <v>Sweetwater River Park Bioretention</v>
      </c>
      <c r="C206" s="475" t="str">
        <f>'Project-Level Data'!C116</f>
        <v>Stormwater BMPs</v>
      </c>
      <c r="D206" s="477"/>
      <c r="E206" s="378" t="str">
        <f>'Project-Level Data'!AG116</f>
        <v>No Response</v>
      </c>
      <c r="F206" s="380" t="str">
        <f>'Project-Level Data'!AH116</f>
        <v>No Response</v>
      </c>
      <c r="G206" s="381" t="str">
        <f>'Project-Level Data'!AJ116</f>
        <v>No Response</v>
      </c>
      <c r="H206" s="240"/>
    </row>
    <row r="207" spans="1:8" ht="15" hidden="1" customHeight="1" x14ac:dyDescent="0.25">
      <c r="A207" s="11"/>
      <c r="B207" s="227" t="str">
        <f>'Project-Level Data'!B117</f>
        <v>Sycamore Creek Restoration</v>
      </c>
      <c r="C207" s="475" t="str">
        <f>'Project-Level Data'!C117</f>
        <v>Watershed and Ecosystem Management</v>
      </c>
      <c r="D207" s="477"/>
      <c r="E207" s="378">
        <f>'Project-Level Data'!AG117</f>
        <v>3</v>
      </c>
      <c r="F207" s="380">
        <f>'Project-Level Data'!AH117</f>
        <v>4</v>
      </c>
      <c r="G207" s="381">
        <f>'Project-Level Data'!AJ117</f>
        <v>3</v>
      </c>
      <c r="H207" s="240"/>
    </row>
    <row r="208" spans="1:8" ht="25.5" hidden="1" x14ac:dyDescent="0.25">
      <c r="A208" s="11"/>
      <c r="B208" s="227" t="str">
        <f>'Project-Level Data'!B118</f>
        <v>TBD - Evaluation Multiple Options/TBD - Supply/ Source Treatment Plant/Agency for recycled water</v>
      </c>
      <c r="C208" s="475" t="str">
        <f>'Project-Level Data'!C118</f>
        <v>Recycled Water</v>
      </c>
      <c r="D208" s="477"/>
      <c r="E208" s="378">
        <f>'Project-Level Data'!AG118</f>
        <v>2</v>
      </c>
      <c r="F208" s="380">
        <f>'Project-Level Data'!AH118</f>
        <v>4</v>
      </c>
      <c r="G208" s="381">
        <f>'Project-Level Data'!AJ118</f>
        <v>3</v>
      </c>
      <c r="H208" s="240"/>
    </row>
    <row r="209" spans="1:8" hidden="1" x14ac:dyDescent="0.25">
      <c r="A209" s="11"/>
      <c r="B209" s="227" t="str">
        <f>'Project-Level Data'!B119</f>
        <v>Telegraph Canyon Channel Improvement Project</v>
      </c>
      <c r="C209" s="475" t="str">
        <f>'Project-Level Data'!C119</f>
        <v>Stormwater BMPs</v>
      </c>
      <c r="D209" s="477"/>
      <c r="E209" s="378" t="str">
        <f>'Project-Level Data'!AG119</f>
        <v>No Response</v>
      </c>
      <c r="F209" s="380" t="str">
        <f>'Project-Level Data'!AH119</f>
        <v>No Response</v>
      </c>
      <c r="G209" s="381" t="str">
        <f>'Project-Level Data'!AJ119</f>
        <v>No Response</v>
      </c>
      <c r="H209" s="240"/>
    </row>
    <row r="210" spans="1:8" ht="15" hidden="1" customHeight="1" x14ac:dyDescent="0.25">
      <c r="A210" s="11"/>
      <c r="B210" s="227" t="str">
        <f>'Project-Level Data'!B120</f>
        <v>Tijuana River Floating Trash Capture System</v>
      </c>
      <c r="C210" s="475" t="str">
        <f>'Project-Level Data'!C120</f>
        <v>Watershed and Ecosystem Management</v>
      </c>
      <c r="D210" s="477"/>
      <c r="E210" s="378" t="str">
        <f>'Project-Level Data'!AG120</f>
        <v>No Response</v>
      </c>
      <c r="F210" s="380" t="str">
        <f>'Project-Level Data'!AH120</f>
        <v>No Response</v>
      </c>
      <c r="G210" s="381" t="str">
        <f>'Project-Level Data'!AJ120</f>
        <v>No Response</v>
      </c>
      <c r="H210" s="240"/>
    </row>
    <row r="211" spans="1:8" ht="25.5" hidden="1" x14ac:dyDescent="0.25">
      <c r="A211" s="11"/>
      <c r="B211" s="227" t="str">
        <f>'Project-Level Data'!B121</f>
        <v>UC San Diego Water Conservation and Watershed Protection</v>
      </c>
      <c r="C211" s="475" t="str">
        <f>'Project-Level Data'!C121</f>
        <v>Urban and Agricultural Water Use Efficiency</v>
      </c>
      <c r="D211" s="477"/>
      <c r="E211" s="378">
        <f>'Project-Level Data'!AG121</f>
        <v>3</v>
      </c>
      <c r="F211" s="380">
        <f>'Project-Level Data'!AH121</f>
        <v>5</v>
      </c>
      <c r="G211" s="381">
        <f>'Project-Level Data'!AJ121</f>
        <v>5</v>
      </c>
      <c r="H211" s="240"/>
    </row>
    <row r="212" spans="1:8" hidden="1" x14ac:dyDescent="0.25">
      <c r="A212" s="11"/>
      <c r="B212" s="227" t="str">
        <f>'Project-Level Data'!B122</f>
        <v>Village Park Recycled Water Expansion Project</v>
      </c>
      <c r="C212" s="475" t="str">
        <f>'Project-Level Data'!C122</f>
        <v>Recycled Water</v>
      </c>
      <c r="D212" s="477"/>
      <c r="E212" s="378">
        <f>'Project-Level Data'!AG122</f>
        <v>3</v>
      </c>
      <c r="F212" s="380">
        <f>'Project-Level Data'!AH122</f>
        <v>5</v>
      </c>
      <c r="G212" s="381">
        <f>'Project-Level Data'!AJ122</f>
        <v>5</v>
      </c>
      <c r="H212" s="240"/>
    </row>
    <row r="213" spans="1:8" hidden="1" x14ac:dyDescent="0.25">
      <c r="A213" s="11"/>
      <c r="B213" s="227" t="str">
        <f>'Project-Level Data'!B123</f>
        <v>W+157:181RP/Recycled Water Distribution System</v>
      </c>
      <c r="C213" s="475" t="str">
        <f>'Project-Level Data'!C123</f>
        <v>Recycled Water</v>
      </c>
      <c r="D213" s="477"/>
      <c r="E213" s="378" t="str">
        <f>'Project-Level Data'!AG123</f>
        <v>No Response</v>
      </c>
      <c r="F213" s="380" t="str">
        <f>'Project-Level Data'!AH123</f>
        <v>No Response</v>
      </c>
      <c r="G213" s="381" t="str">
        <f>'Project-Level Data'!AJ123</f>
        <v>No Response</v>
      </c>
      <c r="H213" s="240"/>
    </row>
    <row r="214" spans="1:8" hidden="1" x14ac:dyDescent="0.25">
      <c r="A214" s="11"/>
      <c r="B214" s="227" t="str">
        <f>'Project-Level Data'!B124</f>
        <v>Welk WRF</v>
      </c>
      <c r="C214" s="475" t="str">
        <f>'Project-Level Data'!C124</f>
        <v>Recycled Water</v>
      </c>
      <c r="D214" s="477"/>
      <c r="E214" s="378" t="str">
        <f>'Project-Level Data'!AG124</f>
        <v>No Response</v>
      </c>
      <c r="F214" s="380" t="str">
        <f>'Project-Level Data'!AH124</f>
        <v>No Response</v>
      </c>
      <c r="G214" s="381" t="str">
        <f>'Project-Level Data'!AJ124</f>
        <v>No Response</v>
      </c>
      <c r="H214" s="240"/>
    </row>
    <row r="215" spans="1:8" hidden="1" x14ac:dyDescent="0.25">
      <c r="A215" s="11"/>
      <c r="B215" s="227" t="str">
        <f>'Project-Level Data'!B125</f>
        <v>Woods Valley Ranch WRF Phase 3</v>
      </c>
      <c r="C215" s="475" t="str">
        <f>'Project-Level Data'!C125</f>
        <v>Recycled Water</v>
      </c>
      <c r="D215" s="477"/>
      <c r="E215" s="378" t="str">
        <f>'Project-Level Data'!AG125</f>
        <v>No Response</v>
      </c>
      <c r="F215" s="380" t="str">
        <f>'Project-Level Data'!AH125</f>
        <v>No Response</v>
      </c>
      <c r="G215" s="381" t="str">
        <f>'Project-Level Data'!AJ125</f>
        <v>No Response</v>
      </c>
      <c r="H215" s="240"/>
    </row>
    <row r="216" spans="1:8" ht="15.75" hidden="1" thickBot="1" x14ac:dyDescent="0.3">
      <c r="A216" s="11"/>
      <c r="B216" s="508" t="str">
        <f>'Project-Level Data'!B126</f>
        <v>Woodside Avenue Complete Green Street</v>
      </c>
      <c r="C216" s="509" t="str">
        <f>'Project-Level Data'!C126</f>
        <v>Stormwater BMPs</v>
      </c>
      <c r="D216" s="510"/>
      <c r="E216" s="523">
        <f>'Project-Level Data'!AG126</f>
        <v>3</v>
      </c>
      <c r="F216" s="511">
        <f>'Project-Level Data'!AH126</f>
        <v>4</v>
      </c>
      <c r="G216" s="530">
        <f>'Project-Level Data'!AJ126</f>
        <v>3</v>
      </c>
      <c r="H216" s="240"/>
    </row>
    <row r="217" spans="1:8" hidden="1" x14ac:dyDescent="0.25">
      <c r="A217" s="11"/>
      <c r="B217" s="370"/>
      <c r="C217" s="515" t="s">
        <v>855</v>
      </c>
      <c r="D217" s="515"/>
      <c r="E217" s="485">
        <f>COUNTIFS(E97:E216, "=MISSING")</f>
        <v>0</v>
      </c>
      <c r="F217" s="389">
        <f t="shared" ref="F217:G217" si="25">COUNTIFS(F97:F216, "=MISSING")</f>
        <v>2</v>
      </c>
      <c r="G217" s="398">
        <f t="shared" si="25"/>
        <v>0</v>
      </c>
      <c r="H217" s="240"/>
    </row>
    <row r="218" spans="1:8" hidden="1" x14ac:dyDescent="0.25">
      <c r="A218" s="11"/>
      <c r="B218" s="227"/>
      <c r="C218" s="516" t="s">
        <v>856</v>
      </c>
      <c r="D218" s="516"/>
      <c r="E218" s="378">
        <f>COUNTIFS(E97:E216, "=No Response")</f>
        <v>33</v>
      </c>
      <c r="F218" s="380">
        <f t="shared" ref="F218:G218" si="26">COUNTIFS(F97:F216, "=No Response")</f>
        <v>33</v>
      </c>
      <c r="G218" s="381">
        <f t="shared" si="26"/>
        <v>33</v>
      </c>
      <c r="H218" s="240"/>
    </row>
    <row r="219" spans="1:8" hidden="1" x14ac:dyDescent="0.25">
      <c r="A219" s="11"/>
      <c r="B219" s="227"/>
      <c r="C219" s="516" t="s">
        <v>858</v>
      </c>
      <c r="D219" s="516"/>
      <c r="E219" s="378">
        <f>COUNTIFS(E97:E216, "=REMOVED")</f>
        <v>1</v>
      </c>
      <c r="F219" s="380">
        <f t="shared" ref="F219:G219" si="27">COUNTIFS(F97:F216, "=REMOVED")</f>
        <v>1</v>
      </c>
      <c r="G219" s="381">
        <f t="shared" si="27"/>
        <v>1</v>
      </c>
      <c r="H219" s="240"/>
    </row>
    <row r="220" spans="1:8" ht="15.75" hidden="1" thickBot="1" x14ac:dyDescent="0.3">
      <c r="A220" s="11"/>
      <c r="B220" s="328"/>
      <c r="C220" s="517" t="s">
        <v>859</v>
      </c>
      <c r="D220" s="517"/>
      <c r="E220" s="382">
        <f>COUNTIFS(E97:E216, "&gt;0")</f>
        <v>86</v>
      </c>
      <c r="F220" s="384">
        <f t="shared" ref="F220:G220" si="28">COUNTIFS(F97:F216, "&gt;0")</f>
        <v>84</v>
      </c>
      <c r="G220" s="385">
        <f t="shared" si="28"/>
        <v>86</v>
      </c>
      <c r="H220" s="240"/>
    </row>
    <row r="221" spans="1:8" hidden="1" x14ac:dyDescent="0.25">
      <c r="A221" s="11"/>
      <c r="B221" s="11"/>
      <c r="C221" s="84"/>
      <c r="D221" s="84"/>
      <c r="H221" s="11"/>
    </row>
    <row r="222" spans="1:8" ht="15.75" hidden="1" thickBot="1" x14ac:dyDescent="0.3">
      <c r="A222" s="11"/>
      <c r="B222" s="1" t="s">
        <v>709</v>
      </c>
      <c r="H222" s="11"/>
    </row>
    <row r="223" spans="1:8" ht="47.25" hidden="1" customHeight="1" x14ac:dyDescent="0.25">
      <c r="A223" s="11"/>
      <c r="B223" s="800" t="s">
        <v>374</v>
      </c>
      <c r="C223" s="821" t="s">
        <v>6</v>
      </c>
      <c r="D223" s="821"/>
      <c r="E223" s="830" t="s">
        <v>707</v>
      </c>
      <c r="F223" s="818"/>
      <c r="G223" s="349" t="s">
        <v>708</v>
      </c>
      <c r="H223" s="239"/>
    </row>
    <row r="224" spans="1:8" ht="45.75" hidden="1" thickBot="1" x14ac:dyDescent="0.3">
      <c r="A224" s="11"/>
      <c r="B224" s="801"/>
      <c r="C224" s="827"/>
      <c r="D224" s="827"/>
      <c r="E224" s="357" t="s">
        <v>188</v>
      </c>
      <c r="F224" s="353" t="s">
        <v>192</v>
      </c>
      <c r="G224" s="351" t="s">
        <v>195</v>
      </c>
      <c r="H224" s="231"/>
    </row>
    <row r="225" spans="1:8" hidden="1" x14ac:dyDescent="0.25">
      <c r="A225" s="11"/>
      <c r="B225" s="370" t="str">
        <f>'Concept-Level Data'!A7</f>
        <v>Respondent 1</v>
      </c>
      <c r="C225" s="805" t="str">
        <f>'Concept-Level Data'!B7</f>
        <v>Conveyance Improvement</v>
      </c>
      <c r="D225" s="806"/>
      <c r="E225" s="374">
        <f>'Concept-Level Data'!Q7</f>
        <v>3</v>
      </c>
      <c r="F225" s="386" t="str">
        <f>'Concept-Level Data'!R7</f>
        <v>MISSING</v>
      </c>
      <c r="G225" s="377">
        <f>'Concept-Level Data'!T7</f>
        <v>2</v>
      </c>
      <c r="H225" s="240"/>
    </row>
    <row r="226" spans="1:8" hidden="1" x14ac:dyDescent="0.25">
      <c r="A226" s="11"/>
      <c r="B226" s="227" t="str">
        <f>'Concept-Level Data'!A8</f>
        <v>Respondent 1</v>
      </c>
      <c r="C226" s="793" t="str">
        <f>'Concept-Level Data'!B8</f>
        <v>Drought Restriction/Allocation</v>
      </c>
      <c r="D226" s="794"/>
      <c r="E226" s="378">
        <f>'Concept-Level Data'!Q8</f>
        <v>3</v>
      </c>
      <c r="F226" s="387">
        <f>'Concept-Level Data'!R8</f>
        <v>1</v>
      </c>
      <c r="G226" s="381">
        <f>'Concept-Level Data'!T8</f>
        <v>5</v>
      </c>
      <c r="H226" s="240"/>
    </row>
    <row r="227" spans="1:8" hidden="1" x14ac:dyDescent="0.25">
      <c r="A227" s="11"/>
      <c r="B227" s="227" t="str">
        <f>'Concept-Level Data'!A9</f>
        <v>Respondent 1</v>
      </c>
      <c r="C227" s="793" t="str">
        <f>'Concept-Level Data'!B9</f>
        <v>Firm Water Supply Agreements</v>
      </c>
      <c r="D227" s="794"/>
      <c r="E227" s="378">
        <f>'Concept-Level Data'!Q9</f>
        <v>5</v>
      </c>
      <c r="F227" s="387">
        <f>'Concept-Level Data'!R9</f>
        <v>4</v>
      </c>
      <c r="G227" s="381">
        <f>'Concept-Level Data'!T9</f>
        <v>2</v>
      </c>
      <c r="H227" s="240"/>
    </row>
    <row r="228" spans="1:8" hidden="1" x14ac:dyDescent="0.25">
      <c r="A228" s="11"/>
      <c r="B228" s="227" t="str">
        <f>'Concept-Level Data'!A10</f>
        <v>Respondent 1</v>
      </c>
      <c r="C228" s="793" t="str">
        <f>'Concept-Level Data'!B10</f>
        <v>Gray Water Use</v>
      </c>
      <c r="D228" s="794"/>
      <c r="E228" s="378">
        <f>'Concept-Level Data'!Q10</f>
        <v>2</v>
      </c>
      <c r="F228" s="387">
        <f>'Concept-Level Data'!R10</f>
        <v>1</v>
      </c>
      <c r="G228" s="381">
        <f>'Concept-Level Data'!T10</f>
        <v>5</v>
      </c>
      <c r="H228" s="240"/>
    </row>
    <row r="229" spans="1:8" hidden="1" x14ac:dyDescent="0.25">
      <c r="A229" s="11"/>
      <c r="B229" s="227" t="str">
        <f>'Concept-Level Data'!A11</f>
        <v>Respondent 1</v>
      </c>
      <c r="C229" s="793" t="str">
        <f>'Concept-Level Data'!B11</f>
        <v>Groundwater</v>
      </c>
      <c r="D229" s="794"/>
      <c r="E229" s="378">
        <f>'Concept-Level Data'!Q11</f>
        <v>4</v>
      </c>
      <c r="F229" s="387" t="str">
        <f>'Concept-Level Data'!R11</f>
        <v>MISSING</v>
      </c>
      <c r="G229" s="381">
        <f>'Concept-Level Data'!T11</f>
        <v>5</v>
      </c>
      <c r="H229" s="240"/>
    </row>
    <row r="230" spans="1:8" hidden="1" x14ac:dyDescent="0.25">
      <c r="A230" s="11"/>
      <c r="B230" s="227" t="str">
        <f>'Concept-Level Data'!A12</f>
        <v>Respondent 1</v>
      </c>
      <c r="C230" s="793" t="str">
        <f>'Concept-Level Data'!B12</f>
        <v>Imported Water Purchases</v>
      </c>
      <c r="D230" s="794"/>
      <c r="E230" s="378">
        <f>'Concept-Level Data'!Q12</f>
        <v>3</v>
      </c>
      <c r="F230" s="387">
        <f>'Concept-Level Data'!R12</f>
        <v>4</v>
      </c>
      <c r="G230" s="381">
        <f>'Concept-Level Data'!T12</f>
        <v>1</v>
      </c>
      <c r="H230" s="240"/>
    </row>
    <row r="231" spans="1:8" hidden="1" x14ac:dyDescent="0.25">
      <c r="A231" s="11"/>
      <c r="B231" s="227" t="str">
        <f>'Concept-Level Data'!A13</f>
        <v>Respondent 1</v>
      </c>
      <c r="C231" s="793" t="str">
        <f>'Concept-Level Data'!B13</f>
        <v>Local Surface Water Reservoirs</v>
      </c>
      <c r="D231" s="794"/>
      <c r="E231" s="378">
        <f>'Concept-Level Data'!Q13</f>
        <v>4</v>
      </c>
      <c r="F231" s="387">
        <f>'Concept-Level Data'!R13</f>
        <v>4</v>
      </c>
      <c r="G231" s="381">
        <f>'Concept-Level Data'!T13</f>
        <v>3</v>
      </c>
      <c r="H231" s="240"/>
    </row>
    <row r="232" spans="1:8" hidden="1" x14ac:dyDescent="0.25">
      <c r="A232" s="11"/>
      <c r="B232" s="227" t="str">
        <f>'Concept-Level Data'!A14</f>
        <v>Respondent 1</v>
      </c>
      <c r="C232" s="793" t="str">
        <f>'Concept-Level Data'!B14</f>
        <v>Potable Reuse</v>
      </c>
      <c r="D232" s="794"/>
      <c r="E232" s="378">
        <f>'Concept-Level Data'!Q14</f>
        <v>5</v>
      </c>
      <c r="F232" s="387" t="str">
        <f>'Concept-Level Data'!R14</f>
        <v>MISSING</v>
      </c>
      <c r="G232" s="381">
        <f>'Concept-Level Data'!T14</f>
        <v>5</v>
      </c>
      <c r="H232" s="240"/>
    </row>
    <row r="233" spans="1:8" hidden="1" x14ac:dyDescent="0.25">
      <c r="A233" s="11"/>
      <c r="B233" s="227" t="str">
        <f>'Concept-Level Data'!A15</f>
        <v>Respondent 1</v>
      </c>
      <c r="C233" s="793" t="str">
        <f>'Concept-Level Data'!B15</f>
        <v>Recycled Water</v>
      </c>
      <c r="D233" s="794"/>
      <c r="E233" s="378">
        <f>'Concept-Level Data'!Q15</f>
        <v>3</v>
      </c>
      <c r="F233" s="387">
        <f>'Concept-Level Data'!R15</f>
        <v>4</v>
      </c>
      <c r="G233" s="381">
        <f>'Concept-Level Data'!T15</f>
        <v>5</v>
      </c>
      <c r="H233" s="240"/>
    </row>
    <row r="234" spans="1:8" hidden="1" x14ac:dyDescent="0.25">
      <c r="A234" s="11"/>
      <c r="B234" s="227" t="str">
        <f>'Concept-Level Data'!A16</f>
        <v>Respondent 1</v>
      </c>
      <c r="C234" s="793" t="str">
        <f>'Concept-Level Data'!B16</f>
        <v>Seawater Desalination</v>
      </c>
      <c r="D234" s="794"/>
      <c r="E234" s="378">
        <f>'Concept-Level Data'!Q16</f>
        <v>5</v>
      </c>
      <c r="F234" s="387" t="str">
        <f>'Concept-Level Data'!R16</f>
        <v>MISSING</v>
      </c>
      <c r="G234" s="381">
        <f>'Concept-Level Data'!T16</f>
        <v>4</v>
      </c>
      <c r="H234" s="240"/>
    </row>
    <row r="235" spans="1:8" hidden="1" x14ac:dyDescent="0.25">
      <c r="A235" s="11"/>
      <c r="B235" s="227" t="str">
        <f>'Concept-Level Data'!A17</f>
        <v>Respondent 1</v>
      </c>
      <c r="C235" s="793" t="str">
        <f>'Concept-Level Data'!B17</f>
        <v>Stormwater BMPs</v>
      </c>
      <c r="D235" s="794"/>
      <c r="E235" s="378">
        <f>'Concept-Level Data'!Q17</f>
        <v>3</v>
      </c>
      <c r="F235" s="387">
        <f>'Concept-Level Data'!R17</f>
        <v>4</v>
      </c>
      <c r="G235" s="381">
        <f>'Concept-Level Data'!T17</f>
        <v>4</v>
      </c>
      <c r="H235" s="240"/>
    </row>
    <row r="236" spans="1:8" hidden="1" x14ac:dyDescent="0.25">
      <c r="A236" s="11"/>
      <c r="B236" s="227" t="str">
        <f>'Concept-Level Data'!A18</f>
        <v>Respondent 1</v>
      </c>
      <c r="C236" s="793" t="str">
        <f>'Concept-Level Data'!B18</f>
        <v>Stormwater Capture</v>
      </c>
      <c r="D236" s="794"/>
      <c r="E236" s="378">
        <f>'Concept-Level Data'!Q18</f>
        <v>2</v>
      </c>
      <c r="F236" s="387">
        <f>'Concept-Level Data'!R18</f>
        <v>4</v>
      </c>
      <c r="G236" s="381">
        <f>'Concept-Level Data'!T18</f>
        <v>5</v>
      </c>
      <c r="H236" s="240"/>
    </row>
    <row r="237" spans="1:8" hidden="1" x14ac:dyDescent="0.25">
      <c r="A237" s="11"/>
      <c r="B237" s="227" t="str">
        <f>'Concept-Level Data'!A19</f>
        <v>Respondent 1</v>
      </c>
      <c r="C237" s="793" t="str">
        <f>'Concept-Level Data'!B19</f>
        <v>Urban and Agricultural Water Use Efficiency</v>
      </c>
      <c r="D237" s="794"/>
      <c r="E237" s="378">
        <f>'Concept-Level Data'!Q19</f>
        <v>3</v>
      </c>
      <c r="F237" s="387">
        <f>'Concept-Level Data'!R19</f>
        <v>1</v>
      </c>
      <c r="G237" s="381">
        <f>'Concept-Level Data'!T19</f>
        <v>5</v>
      </c>
      <c r="H237" s="240"/>
    </row>
    <row r="238" spans="1:8" hidden="1" x14ac:dyDescent="0.25">
      <c r="A238" s="11"/>
      <c r="B238" s="227" t="str">
        <f>'Concept-Level Data'!A20</f>
        <v>Respondent 1</v>
      </c>
      <c r="C238" s="793" t="str">
        <f>'Concept-Level Data'!B20</f>
        <v>Watershed and Ecosystem Management</v>
      </c>
      <c r="D238" s="794"/>
      <c r="E238" s="378">
        <f>'Concept-Level Data'!Q20</f>
        <v>3</v>
      </c>
      <c r="F238" s="387">
        <f>'Concept-Level Data'!R20</f>
        <v>4</v>
      </c>
      <c r="G238" s="381">
        <f>'Concept-Level Data'!T20</f>
        <v>5</v>
      </c>
      <c r="H238" s="240"/>
    </row>
    <row r="239" spans="1:8" hidden="1" x14ac:dyDescent="0.25">
      <c r="A239" s="11"/>
      <c r="B239" s="227" t="str">
        <f>'Concept-Level Data'!A21</f>
        <v>Respondent 2</v>
      </c>
      <c r="C239" s="793" t="str">
        <f>'Concept-Level Data'!B21</f>
        <v>Conveyance Improvement</v>
      </c>
      <c r="D239" s="794"/>
      <c r="E239" s="378">
        <f>'Concept-Level Data'!Q21</f>
        <v>3</v>
      </c>
      <c r="F239" s="387" t="str">
        <f>'Concept-Level Data'!R21</f>
        <v>MISSING</v>
      </c>
      <c r="G239" s="381">
        <f>'Concept-Level Data'!T21</f>
        <v>4</v>
      </c>
      <c r="H239" s="240"/>
    </row>
    <row r="240" spans="1:8" hidden="1" x14ac:dyDescent="0.25">
      <c r="A240" s="11"/>
      <c r="B240" s="227" t="str">
        <f>'Concept-Level Data'!A22</f>
        <v>Respondent 2</v>
      </c>
      <c r="C240" s="793" t="str">
        <f>'Concept-Level Data'!B22</f>
        <v>Drought Restriction/Allocation</v>
      </c>
      <c r="D240" s="794"/>
      <c r="E240" s="378">
        <f>'Concept-Level Data'!Q22</f>
        <v>1</v>
      </c>
      <c r="F240" s="387" t="str">
        <f>'Concept-Level Data'!R22</f>
        <v>MISSING</v>
      </c>
      <c r="G240" s="381">
        <f>'Concept-Level Data'!T22</f>
        <v>5</v>
      </c>
      <c r="H240" s="240"/>
    </row>
    <row r="241" spans="1:8" hidden="1" x14ac:dyDescent="0.25">
      <c r="A241" s="11"/>
      <c r="B241" s="227" t="str">
        <f>'Concept-Level Data'!A23</f>
        <v>Respondent 2</v>
      </c>
      <c r="C241" s="793" t="str">
        <f>'Concept-Level Data'!B23</f>
        <v>Firm Water Supply Agreements</v>
      </c>
      <c r="D241" s="794"/>
      <c r="E241" s="378">
        <f>'Concept-Level Data'!Q23</f>
        <v>4</v>
      </c>
      <c r="F241" s="387">
        <f>'Concept-Level Data'!R23</f>
        <v>4</v>
      </c>
      <c r="G241" s="381">
        <f>'Concept-Level Data'!T23</f>
        <v>4</v>
      </c>
      <c r="H241" s="240"/>
    </row>
    <row r="242" spans="1:8" hidden="1" x14ac:dyDescent="0.25">
      <c r="A242" s="11"/>
      <c r="B242" s="227" t="str">
        <f>'Concept-Level Data'!A24</f>
        <v>Respondent 2</v>
      </c>
      <c r="C242" s="793" t="str">
        <f>'Concept-Level Data'!B24</f>
        <v>Gray Water Use</v>
      </c>
      <c r="D242" s="794"/>
      <c r="E242" s="378">
        <f>'Concept-Level Data'!Q24</f>
        <v>1</v>
      </c>
      <c r="F242" s="387">
        <f>'Concept-Level Data'!R24</f>
        <v>1</v>
      </c>
      <c r="G242" s="381">
        <f>'Concept-Level Data'!T24</f>
        <v>4</v>
      </c>
      <c r="H242" s="240"/>
    </row>
    <row r="243" spans="1:8" hidden="1" x14ac:dyDescent="0.25">
      <c r="A243" s="11"/>
      <c r="B243" s="227" t="str">
        <f>'Concept-Level Data'!A25</f>
        <v>Respondent 2</v>
      </c>
      <c r="C243" s="793" t="str">
        <f>'Concept-Level Data'!B25</f>
        <v>Groundwater</v>
      </c>
      <c r="D243" s="794"/>
      <c r="E243" s="378">
        <f>'Concept-Level Data'!Q25</f>
        <v>3</v>
      </c>
      <c r="F243" s="387" t="str">
        <f>'Concept-Level Data'!R25</f>
        <v>MISSING</v>
      </c>
      <c r="G243" s="381">
        <f>'Concept-Level Data'!T25</f>
        <v>4</v>
      </c>
      <c r="H243" s="240"/>
    </row>
    <row r="244" spans="1:8" hidden="1" x14ac:dyDescent="0.25">
      <c r="A244" s="11"/>
      <c r="B244" s="227" t="str">
        <f>'Concept-Level Data'!A26</f>
        <v>Respondent 2</v>
      </c>
      <c r="C244" s="793" t="str">
        <f>'Concept-Level Data'!B26</f>
        <v>Imported Water Purchases</v>
      </c>
      <c r="D244" s="794"/>
      <c r="E244" s="378">
        <f>'Concept-Level Data'!Q26</f>
        <v>2</v>
      </c>
      <c r="F244" s="387" t="str">
        <f>'Concept-Level Data'!R26</f>
        <v>MISSING</v>
      </c>
      <c r="G244" s="381">
        <f>'Concept-Level Data'!T26</f>
        <v>3</v>
      </c>
      <c r="H244" s="240"/>
    </row>
    <row r="245" spans="1:8" hidden="1" x14ac:dyDescent="0.25">
      <c r="A245" s="11"/>
      <c r="B245" s="227" t="str">
        <f>'Concept-Level Data'!A27</f>
        <v>Respondent 2</v>
      </c>
      <c r="C245" s="793" t="str">
        <f>'Concept-Level Data'!B27</f>
        <v>Local Surface Water Reservoirs</v>
      </c>
      <c r="D245" s="794"/>
      <c r="E245" s="378">
        <f>'Concept-Level Data'!Q27</f>
        <v>2</v>
      </c>
      <c r="F245" s="387" t="str">
        <f>'Concept-Level Data'!R27</f>
        <v>MISSING</v>
      </c>
      <c r="G245" s="381">
        <f>'Concept-Level Data'!T27</f>
        <v>4</v>
      </c>
      <c r="H245" s="240"/>
    </row>
    <row r="246" spans="1:8" hidden="1" x14ac:dyDescent="0.25">
      <c r="A246" s="11"/>
      <c r="B246" s="227" t="str">
        <f>'Concept-Level Data'!A28</f>
        <v>Respondent 2</v>
      </c>
      <c r="C246" s="793" t="str">
        <f>'Concept-Level Data'!B28</f>
        <v>Potable Reuse</v>
      </c>
      <c r="D246" s="794"/>
      <c r="E246" s="378">
        <f>'Concept-Level Data'!Q28</f>
        <v>2</v>
      </c>
      <c r="F246" s="387" t="str">
        <f>'Concept-Level Data'!R28</f>
        <v>MISSING</v>
      </c>
      <c r="G246" s="381">
        <f>'Concept-Level Data'!T28</f>
        <v>4</v>
      </c>
      <c r="H246" s="240"/>
    </row>
    <row r="247" spans="1:8" hidden="1" x14ac:dyDescent="0.25">
      <c r="A247" s="11"/>
      <c r="B247" s="227" t="str">
        <f>'Concept-Level Data'!A29</f>
        <v>Respondent 2</v>
      </c>
      <c r="C247" s="793" t="str">
        <f>'Concept-Level Data'!B29</f>
        <v>Recycled Water</v>
      </c>
      <c r="D247" s="794"/>
      <c r="E247" s="378">
        <f>'Concept-Level Data'!Q29</f>
        <v>2</v>
      </c>
      <c r="F247" s="387" t="str">
        <f>'Concept-Level Data'!R29</f>
        <v>MISSING</v>
      </c>
      <c r="G247" s="381">
        <f>'Concept-Level Data'!T29</f>
        <v>4</v>
      </c>
      <c r="H247" s="240"/>
    </row>
    <row r="248" spans="1:8" hidden="1" x14ac:dyDescent="0.25">
      <c r="A248" s="11"/>
      <c r="B248" s="227" t="str">
        <f>'Concept-Level Data'!A30</f>
        <v>Respondent 2</v>
      </c>
      <c r="C248" s="793" t="str">
        <f>'Concept-Level Data'!B30</f>
        <v>Seawater Desalination</v>
      </c>
      <c r="D248" s="794"/>
      <c r="E248" s="378">
        <f>'Concept-Level Data'!Q30</f>
        <v>4</v>
      </c>
      <c r="F248" s="387" t="str">
        <f>'Concept-Level Data'!R30</f>
        <v>MISSING</v>
      </c>
      <c r="G248" s="381">
        <f>'Concept-Level Data'!T30</f>
        <v>4</v>
      </c>
      <c r="H248" s="240"/>
    </row>
    <row r="249" spans="1:8" hidden="1" x14ac:dyDescent="0.25">
      <c r="A249" s="11"/>
      <c r="B249" s="227" t="str">
        <f>'Concept-Level Data'!A31</f>
        <v>Respondent 2</v>
      </c>
      <c r="C249" s="793" t="str">
        <f>'Concept-Level Data'!B31</f>
        <v>Stormwater BMPs</v>
      </c>
      <c r="D249" s="794"/>
      <c r="E249" s="378">
        <f>'Concept-Level Data'!Q31</f>
        <v>2</v>
      </c>
      <c r="F249" s="387">
        <f>'Concept-Level Data'!R31</f>
        <v>4</v>
      </c>
      <c r="G249" s="381">
        <f>'Concept-Level Data'!T31</f>
        <v>4</v>
      </c>
      <c r="H249" s="240"/>
    </row>
    <row r="250" spans="1:8" hidden="1" x14ac:dyDescent="0.25">
      <c r="A250" s="11"/>
      <c r="B250" s="227" t="str">
        <f>'Concept-Level Data'!A32</f>
        <v>Respondent 2</v>
      </c>
      <c r="C250" s="793" t="str">
        <f>'Concept-Level Data'!B32</f>
        <v>Stormwater Capture</v>
      </c>
      <c r="D250" s="794"/>
      <c r="E250" s="378">
        <f>'Concept-Level Data'!Q32</f>
        <v>3</v>
      </c>
      <c r="F250" s="387">
        <f>'Concept-Level Data'!R32</f>
        <v>4</v>
      </c>
      <c r="G250" s="381">
        <f>'Concept-Level Data'!T32</f>
        <v>4</v>
      </c>
      <c r="H250" s="240"/>
    </row>
    <row r="251" spans="1:8" hidden="1" x14ac:dyDescent="0.25">
      <c r="A251" s="11"/>
      <c r="B251" s="227" t="str">
        <f>'Concept-Level Data'!A33</f>
        <v>Respondent 2</v>
      </c>
      <c r="C251" s="793" t="str">
        <f>'Concept-Level Data'!B33</f>
        <v>Urban and Agricultural Water Use Efficiency</v>
      </c>
      <c r="D251" s="794"/>
      <c r="E251" s="378">
        <f>'Concept-Level Data'!Q33</f>
        <v>2</v>
      </c>
      <c r="F251" s="387">
        <f>'Concept-Level Data'!R33</f>
        <v>1</v>
      </c>
      <c r="G251" s="381">
        <f>'Concept-Level Data'!T33</f>
        <v>4</v>
      </c>
      <c r="H251" s="240"/>
    </row>
    <row r="252" spans="1:8" hidden="1" x14ac:dyDescent="0.25">
      <c r="A252" s="11"/>
      <c r="B252" s="227" t="str">
        <f>'Concept-Level Data'!A34</f>
        <v>Respondent 2</v>
      </c>
      <c r="C252" s="793" t="str">
        <f>'Concept-Level Data'!B34</f>
        <v>Watershed and Ecosystem Management</v>
      </c>
      <c r="D252" s="794"/>
      <c r="E252" s="378">
        <f>'Concept-Level Data'!Q34</f>
        <v>2</v>
      </c>
      <c r="F252" s="387">
        <f>'Concept-Level Data'!R34</f>
        <v>4</v>
      </c>
      <c r="G252" s="381">
        <f>'Concept-Level Data'!T34</f>
        <v>4</v>
      </c>
      <c r="H252" s="240"/>
    </row>
    <row r="253" spans="1:8" hidden="1" x14ac:dyDescent="0.25">
      <c r="A253" s="11"/>
      <c r="B253" s="227" t="str">
        <f>'Concept-Level Data'!A35</f>
        <v>Respondent 3</v>
      </c>
      <c r="C253" s="793" t="str">
        <f>'Concept-Level Data'!B35</f>
        <v>Conveyance Improvement</v>
      </c>
      <c r="D253" s="794"/>
      <c r="E253" s="378">
        <f>'Concept-Level Data'!Q35</f>
        <v>2</v>
      </c>
      <c r="F253" s="387" t="str">
        <f>'Concept-Level Data'!R35</f>
        <v>MISSING</v>
      </c>
      <c r="G253" s="381">
        <f>'Concept-Level Data'!T35</f>
        <v>2</v>
      </c>
      <c r="H253" s="240"/>
    </row>
    <row r="254" spans="1:8" hidden="1" x14ac:dyDescent="0.25">
      <c r="A254" s="11"/>
      <c r="B254" s="227" t="str">
        <f>'Concept-Level Data'!A36</f>
        <v>Respondent 3</v>
      </c>
      <c r="C254" s="793" t="str">
        <f>'Concept-Level Data'!B36</f>
        <v>Drought Restriction/Allocation</v>
      </c>
      <c r="D254" s="794"/>
      <c r="E254" s="378">
        <f>'Concept-Level Data'!Q36</f>
        <v>4</v>
      </c>
      <c r="F254" s="387">
        <f>'Concept-Level Data'!R36</f>
        <v>1</v>
      </c>
      <c r="G254" s="381">
        <f>'Concept-Level Data'!T36</f>
        <v>5</v>
      </c>
      <c r="H254" s="240"/>
    </row>
    <row r="255" spans="1:8" hidden="1" x14ac:dyDescent="0.25">
      <c r="A255" s="11"/>
      <c r="B255" s="227" t="str">
        <f>'Concept-Level Data'!A37</f>
        <v>Respondent 3</v>
      </c>
      <c r="C255" s="793" t="str">
        <f>'Concept-Level Data'!B37</f>
        <v>Firm Water Supply Agreements</v>
      </c>
      <c r="D255" s="794"/>
      <c r="E255" s="378">
        <f>'Concept-Level Data'!Q37</f>
        <v>4</v>
      </c>
      <c r="F255" s="387">
        <f>'Concept-Level Data'!R37</f>
        <v>4</v>
      </c>
      <c r="G255" s="381">
        <f>'Concept-Level Data'!T37</f>
        <v>3</v>
      </c>
      <c r="H255" s="240"/>
    </row>
    <row r="256" spans="1:8" hidden="1" x14ac:dyDescent="0.25">
      <c r="A256" s="11"/>
      <c r="B256" s="227" t="str">
        <f>'Concept-Level Data'!A38</f>
        <v>Respondent 3</v>
      </c>
      <c r="C256" s="793" t="str">
        <f>'Concept-Level Data'!B38</f>
        <v>Gray Water Use</v>
      </c>
      <c r="D256" s="794"/>
      <c r="E256" s="378">
        <f>'Concept-Level Data'!Q38</f>
        <v>4</v>
      </c>
      <c r="F256" s="387">
        <f>'Concept-Level Data'!R38</f>
        <v>4</v>
      </c>
      <c r="G256" s="381">
        <f>'Concept-Level Data'!T38</f>
        <v>4</v>
      </c>
      <c r="H256" s="240"/>
    </row>
    <row r="257" spans="1:8" hidden="1" x14ac:dyDescent="0.25">
      <c r="A257" s="11"/>
      <c r="B257" s="227" t="str">
        <f>'Concept-Level Data'!A39</f>
        <v>Respondent 3</v>
      </c>
      <c r="C257" s="793" t="str">
        <f>'Concept-Level Data'!B39</f>
        <v>Groundwater</v>
      </c>
      <c r="D257" s="794"/>
      <c r="E257" s="378">
        <f>'Concept-Level Data'!Q39</f>
        <v>4</v>
      </c>
      <c r="F257" s="387">
        <f>'Concept-Level Data'!R39</f>
        <v>4</v>
      </c>
      <c r="G257" s="381">
        <f>'Concept-Level Data'!T39</f>
        <v>3</v>
      </c>
      <c r="H257" s="240"/>
    </row>
    <row r="258" spans="1:8" hidden="1" x14ac:dyDescent="0.25">
      <c r="B258" s="227" t="str">
        <f>'Concept-Level Data'!A40</f>
        <v>Respondent 3</v>
      </c>
      <c r="C258" s="793" t="str">
        <f>'Concept-Level Data'!B40</f>
        <v>Imported Water Purchases</v>
      </c>
      <c r="D258" s="794"/>
      <c r="E258" s="378">
        <f>'Concept-Level Data'!Q40</f>
        <v>3</v>
      </c>
      <c r="F258" s="387" t="str">
        <f>'Concept-Level Data'!R40</f>
        <v>MISSING</v>
      </c>
      <c r="G258" s="381">
        <f>'Concept-Level Data'!T40</f>
        <v>3</v>
      </c>
      <c r="H258" s="240"/>
    </row>
    <row r="259" spans="1:8" hidden="1" x14ac:dyDescent="0.25">
      <c r="B259" s="227" t="str">
        <f>'Concept-Level Data'!A41</f>
        <v>Respondent 3</v>
      </c>
      <c r="C259" s="793" t="str">
        <f>'Concept-Level Data'!B41</f>
        <v>Local Surface Water Reservoirs</v>
      </c>
      <c r="D259" s="794"/>
      <c r="E259" s="378">
        <f>'Concept-Level Data'!Q41</f>
        <v>4</v>
      </c>
      <c r="F259" s="387" t="str">
        <f>'Concept-Level Data'!R41</f>
        <v>MISSING</v>
      </c>
      <c r="G259" s="381">
        <f>'Concept-Level Data'!T41</f>
        <v>3</v>
      </c>
      <c r="H259" s="240"/>
    </row>
    <row r="260" spans="1:8" hidden="1" x14ac:dyDescent="0.25">
      <c r="B260" s="227" t="str">
        <f>'Concept-Level Data'!A42</f>
        <v>Respondent 3</v>
      </c>
      <c r="C260" s="793" t="str">
        <f>'Concept-Level Data'!B42</f>
        <v>Potable Reuse</v>
      </c>
      <c r="D260" s="794"/>
      <c r="E260" s="378">
        <f>'Concept-Level Data'!Q42</f>
        <v>4</v>
      </c>
      <c r="F260" s="387" t="str">
        <f>'Concept-Level Data'!R42</f>
        <v>MISSING</v>
      </c>
      <c r="G260" s="381">
        <f>'Concept-Level Data'!T42</f>
        <v>4</v>
      </c>
      <c r="H260" s="240"/>
    </row>
    <row r="261" spans="1:8" hidden="1" x14ac:dyDescent="0.25">
      <c r="B261" s="227" t="str">
        <f>'Concept-Level Data'!A43</f>
        <v>Respondent 3</v>
      </c>
      <c r="C261" s="793" t="str">
        <f>'Concept-Level Data'!B43</f>
        <v>Recycled Water</v>
      </c>
      <c r="D261" s="794"/>
      <c r="E261" s="378">
        <f>'Concept-Level Data'!Q43</f>
        <v>4</v>
      </c>
      <c r="F261" s="387" t="str">
        <f>'Concept-Level Data'!R43</f>
        <v>MISSING</v>
      </c>
      <c r="G261" s="381">
        <f>'Concept-Level Data'!T43</f>
        <v>4</v>
      </c>
      <c r="H261" s="240"/>
    </row>
    <row r="262" spans="1:8" hidden="1" x14ac:dyDescent="0.25">
      <c r="B262" s="227" t="str">
        <f>'Concept-Level Data'!A44</f>
        <v>Respondent 3</v>
      </c>
      <c r="C262" s="793" t="str">
        <f>'Concept-Level Data'!B44</f>
        <v>Seawater Desalination</v>
      </c>
      <c r="D262" s="794"/>
      <c r="E262" s="378">
        <f>'Concept-Level Data'!Q44</f>
        <v>4</v>
      </c>
      <c r="F262" s="387" t="str">
        <f>'Concept-Level Data'!R44</f>
        <v>MISSING</v>
      </c>
      <c r="G262" s="381">
        <f>'Concept-Level Data'!T44</f>
        <v>4</v>
      </c>
      <c r="H262" s="240"/>
    </row>
    <row r="263" spans="1:8" hidden="1" x14ac:dyDescent="0.25">
      <c r="B263" s="227" t="str">
        <f>'Concept-Level Data'!A45</f>
        <v>Respondent 3</v>
      </c>
      <c r="C263" s="793" t="str">
        <f>'Concept-Level Data'!B45</f>
        <v>Stormwater BMPs</v>
      </c>
      <c r="D263" s="794"/>
      <c r="E263" s="378">
        <f>'Concept-Level Data'!Q45</f>
        <v>3</v>
      </c>
      <c r="F263" s="387">
        <f>'Concept-Level Data'!R45</f>
        <v>4</v>
      </c>
      <c r="G263" s="381">
        <f>'Concept-Level Data'!T45</f>
        <v>3</v>
      </c>
      <c r="H263" s="240"/>
    </row>
    <row r="264" spans="1:8" hidden="1" x14ac:dyDescent="0.25">
      <c r="B264" s="227" t="str">
        <f>'Concept-Level Data'!A46</f>
        <v>Respondent 3</v>
      </c>
      <c r="C264" s="793" t="str">
        <f>'Concept-Level Data'!B46</f>
        <v>Stormwater Capture</v>
      </c>
      <c r="D264" s="794"/>
      <c r="E264" s="378">
        <f>'Concept-Level Data'!Q46</f>
        <v>4</v>
      </c>
      <c r="F264" s="387" t="str">
        <f>'Concept-Level Data'!R46</f>
        <v>MISSING</v>
      </c>
      <c r="G264" s="381">
        <f>'Concept-Level Data'!T46</f>
        <v>4</v>
      </c>
      <c r="H264" s="240"/>
    </row>
    <row r="265" spans="1:8" hidden="1" x14ac:dyDescent="0.25">
      <c r="B265" s="227" t="str">
        <f>'Concept-Level Data'!A47</f>
        <v>Respondent 3</v>
      </c>
      <c r="C265" s="793" t="str">
        <f>'Concept-Level Data'!B47</f>
        <v>Urban and Agricultural Water Use Efficiency</v>
      </c>
      <c r="D265" s="794"/>
      <c r="E265" s="378">
        <f>'Concept-Level Data'!Q47</f>
        <v>3</v>
      </c>
      <c r="F265" s="387">
        <f>'Concept-Level Data'!R47</f>
        <v>4</v>
      </c>
      <c r="G265" s="381">
        <f>'Concept-Level Data'!T47</f>
        <v>4</v>
      </c>
      <c r="H265" s="240"/>
    </row>
    <row r="266" spans="1:8" hidden="1" x14ac:dyDescent="0.25">
      <c r="B266" s="227" t="str">
        <f>'Concept-Level Data'!A48</f>
        <v>Respondent 3</v>
      </c>
      <c r="C266" s="793" t="str">
        <f>'Concept-Level Data'!B48</f>
        <v>Watershed and Ecosystem Management</v>
      </c>
      <c r="D266" s="794"/>
      <c r="E266" s="378">
        <f>'Concept-Level Data'!Q48</f>
        <v>2</v>
      </c>
      <c r="F266" s="387">
        <f>'Concept-Level Data'!R48</f>
        <v>3</v>
      </c>
      <c r="G266" s="381">
        <f>'Concept-Level Data'!T48</f>
        <v>3</v>
      </c>
      <c r="H266" s="240"/>
    </row>
    <row r="267" spans="1:8" hidden="1" x14ac:dyDescent="0.25">
      <c r="B267" s="227" t="str">
        <f>'Concept-Level Data'!A49</f>
        <v>Respondent 4</v>
      </c>
      <c r="C267" s="793" t="str">
        <f>'Concept-Level Data'!B49</f>
        <v>Conveyance Improvement</v>
      </c>
      <c r="D267" s="794"/>
      <c r="E267" s="378">
        <f>'Concept-Level Data'!Q49</f>
        <v>5</v>
      </c>
      <c r="F267" s="387" t="str">
        <f>'Concept-Level Data'!R49</f>
        <v>MISSING</v>
      </c>
      <c r="G267" s="381">
        <f>'Concept-Level Data'!T49</f>
        <v>2</v>
      </c>
      <c r="H267" s="240"/>
    </row>
    <row r="268" spans="1:8" hidden="1" x14ac:dyDescent="0.25">
      <c r="B268" s="227" t="str">
        <f>'Concept-Level Data'!A50</f>
        <v>Respondent 4</v>
      </c>
      <c r="C268" s="793" t="str">
        <f>'Concept-Level Data'!B50</f>
        <v>Drought Restriction/Allocation</v>
      </c>
      <c r="D268" s="794"/>
      <c r="E268" s="378">
        <f>'Concept-Level Data'!Q50</f>
        <v>2</v>
      </c>
      <c r="F268" s="387">
        <f>'Concept-Level Data'!R50</f>
        <v>1</v>
      </c>
      <c r="G268" s="381">
        <f>'Concept-Level Data'!T50</f>
        <v>4</v>
      </c>
      <c r="H268" s="240"/>
    </row>
    <row r="269" spans="1:8" hidden="1" x14ac:dyDescent="0.25">
      <c r="B269" s="227" t="str">
        <f>'Concept-Level Data'!A51</f>
        <v>Respondent 4</v>
      </c>
      <c r="C269" s="793" t="str">
        <f>'Concept-Level Data'!B51</f>
        <v>Firm Water Supply Agreements</v>
      </c>
      <c r="D269" s="794"/>
      <c r="E269" s="378">
        <f>'Concept-Level Data'!Q51</f>
        <v>3</v>
      </c>
      <c r="F269" s="387">
        <f>'Concept-Level Data'!R51</f>
        <v>4</v>
      </c>
      <c r="G269" s="381">
        <f>'Concept-Level Data'!T51</f>
        <v>1</v>
      </c>
      <c r="H269" s="240"/>
    </row>
    <row r="270" spans="1:8" hidden="1" x14ac:dyDescent="0.25">
      <c r="B270" s="227" t="str">
        <f>'Concept-Level Data'!A52</f>
        <v>Respondent 4</v>
      </c>
      <c r="C270" s="793" t="str">
        <f>'Concept-Level Data'!B52</f>
        <v>Gray Water Use</v>
      </c>
      <c r="D270" s="794"/>
      <c r="E270" s="378">
        <f>'Concept-Level Data'!Q52</f>
        <v>2</v>
      </c>
      <c r="F270" s="387">
        <f>'Concept-Level Data'!R52</f>
        <v>1</v>
      </c>
      <c r="G270" s="381">
        <f>'Concept-Level Data'!T52</f>
        <v>3</v>
      </c>
      <c r="H270" s="240"/>
    </row>
    <row r="271" spans="1:8" hidden="1" x14ac:dyDescent="0.25">
      <c r="B271" s="227" t="str">
        <f>'Concept-Level Data'!A53</f>
        <v>Respondent 4</v>
      </c>
      <c r="C271" s="793" t="str">
        <f>'Concept-Level Data'!B53</f>
        <v>Groundwater</v>
      </c>
      <c r="D271" s="794"/>
      <c r="E271" s="378">
        <f>'Concept-Level Data'!Q53</f>
        <v>4</v>
      </c>
      <c r="F271" s="387" t="str">
        <f>'Concept-Level Data'!R53</f>
        <v>MISSING</v>
      </c>
      <c r="G271" s="381">
        <f>'Concept-Level Data'!T53</f>
        <v>4</v>
      </c>
      <c r="H271" s="240"/>
    </row>
    <row r="272" spans="1:8" hidden="1" x14ac:dyDescent="0.25">
      <c r="B272" s="227" t="str">
        <f>'Concept-Level Data'!A54</f>
        <v>Respondent 4</v>
      </c>
      <c r="C272" s="793" t="str">
        <f>'Concept-Level Data'!B54</f>
        <v>Imported Water Purchases</v>
      </c>
      <c r="D272" s="794"/>
      <c r="E272" s="378">
        <f>'Concept-Level Data'!Q54</f>
        <v>3</v>
      </c>
      <c r="F272" s="387">
        <f>'Concept-Level Data'!R54</f>
        <v>4</v>
      </c>
      <c r="G272" s="381">
        <f>'Concept-Level Data'!T54</f>
        <v>3</v>
      </c>
      <c r="H272" s="240"/>
    </row>
    <row r="273" spans="2:8" hidden="1" x14ac:dyDescent="0.25">
      <c r="B273" s="227" t="str">
        <f>'Concept-Level Data'!A55</f>
        <v>Respondent 4</v>
      </c>
      <c r="C273" s="793" t="str">
        <f>'Concept-Level Data'!B55</f>
        <v>Local Surface Water Reservoirs</v>
      </c>
      <c r="D273" s="794"/>
      <c r="E273" s="378">
        <f>'Concept-Level Data'!Q55</f>
        <v>4</v>
      </c>
      <c r="F273" s="387" t="str">
        <f>'Concept-Level Data'!R55</f>
        <v>MISSING</v>
      </c>
      <c r="G273" s="381">
        <f>'Concept-Level Data'!T55</f>
        <v>3</v>
      </c>
      <c r="H273" s="240"/>
    </row>
    <row r="274" spans="2:8" hidden="1" x14ac:dyDescent="0.25">
      <c r="B274" s="227" t="str">
        <f>'Concept-Level Data'!A56</f>
        <v>Respondent 4</v>
      </c>
      <c r="C274" s="793" t="str">
        <f>'Concept-Level Data'!B56</f>
        <v>Potable Reuse</v>
      </c>
      <c r="D274" s="794"/>
      <c r="E274" s="378">
        <f>'Concept-Level Data'!Q56</f>
        <v>2</v>
      </c>
      <c r="F274" s="387" t="str">
        <f>'Concept-Level Data'!R56</f>
        <v>MISSING</v>
      </c>
      <c r="G274" s="381">
        <f>'Concept-Level Data'!T56</f>
        <v>5</v>
      </c>
      <c r="H274" s="240"/>
    </row>
    <row r="275" spans="2:8" hidden="1" x14ac:dyDescent="0.25">
      <c r="B275" s="227" t="str">
        <f>'Concept-Level Data'!A57</f>
        <v>Respondent 4</v>
      </c>
      <c r="C275" s="793" t="str">
        <f>'Concept-Level Data'!B57</f>
        <v>Recycled Water</v>
      </c>
      <c r="D275" s="794"/>
      <c r="E275" s="378">
        <f>'Concept-Level Data'!Q57</f>
        <v>2</v>
      </c>
      <c r="F275" s="387">
        <f>'Concept-Level Data'!R57</f>
        <v>4</v>
      </c>
      <c r="G275" s="381">
        <f>'Concept-Level Data'!T57</f>
        <v>3</v>
      </c>
      <c r="H275" s="240"/>
    </row>
    <row r="276" spans="2:8" hidden="1" x14ac:dyDescent="0.25">
      <c r="B276" s="227" t="str">
        <f>'Concept-Level Data'!A58</f>
        <v>Respondent 4</v>
      </c>
      <c r="C276" s="793" t="str">
        <f>'Concept-Level Data'!B58</f>
        <v>Seawater Desalination</v>
      </c>
      <c r="D276" s="794"/>
      <c r="E276" s="378">
        <f>'Concept-Level Data'!Q58</f>
        <v>3</v>
      </c>
      <c r="F276" s="387" t="str">
        <f>'Concept-Level Data'!R58</f>
        <v>MISSING</v>
      </c>
      <c r="G276" s="381">
        <f>'Concept-Level Data'!T58</f>
        <v>2</v>
      </c>
      <c r="H276" s="240"/>
    </row>
    <row r="277" spans="2:8" hidden="1" x14ac:dyDescent="0.25">
      <c r="B277" s="227" t="str">
        <f>'Concept-Level Data'!A59</f>
        <v>Respondent 4</v>
      </c>
      <c r="C277" s="793" t="str">
        <f>'Concept-Level Data'!B59</f>
        <v>Stormwater BMPs</v>
      </c>
      <c r="D277" s="794"/>
      <c r="E277" s="378">
        <f>'Concept-Level Data'!Q59</f>
        <v>2</v>
      </c>
      <c r="F277" s="387">
        <f>'Concept-Level Data'!R59</f>
        <v>4</v>
      </c>
      <c r="G277" s="381">
        <f>'Concept-Level Data'!T59</f>
        <v>4</v>
      </c>
      <c r="H277" s="240"/>
    </row>
    <row r="278" spans="2:8" hidden="1" x14ac:dyDescent="0.25">
      <c r="B278" s="227" t="str">
        <f>'Concept-Level Data'!A60</f>
        <v>Respondent 4</v>
      </c>
      <c r="C278" s="793" t="str">
        <f>'Concept-Level Data'!B60</f>
        <v>Stormwater Capture</v>
      </c>
      <c r="D278" s="794"/>
      <c r="E278" s="378">
        <f>'Concept-Level Data'!Q60</f>
        <v>4</v>
      </c>
      <c r="F278" s="387" t="str">
        <f>'Concept-Level Data'!R60</f>
        <v>MISSING</v>
      </c>
      <c r="G278" s="381">
        <f>'Concept-Level Data'!T60</f>
        <v>3</v>
      </c>
      <c r="H278" s="240"/>
    </row>
    <row r="279" spans="2:8" hidden="1" x14ac:dyDescent="0.25">
      <c r="B279" s="227" t="str">
        <f>'Concept-Level Data'!A61</f>
        <v>Respondent 4</v>
      </c>
      <c r="C279" s="793" t="str">
        <f>'Concept-Level Data'!B61</f>
        <v>Urban and Agricultural Water Use Efficiency</v>
      </c>
      <c r="D279" s="794"/>
      <c r="E279" s="378">
        <f>'Concept-Level Data'!Q61</f>
        <v>1</v>
      </c>
      <c r="F279" s="387">
        <f>'Concept-Level Data'!R61</f>
        <v>1</v>
      </c>
      <c r="G279" s="381">
        <f>'Concept-Level Data'!T61</f>
        <v>4</v>
      </c>
      <c r="H279" s="240"/>
    </row>
    <row r="280" spans="2:8" hidden="1" x14ac:dyDescent="0.25">
      <c r="B280" s="227" t="str">
        <f>'Concept-Level Data'!A62</f>
        <v>Respondent 4</v>
      </c>
      <c r="C280" s="793" t="str">
        <f>'Concept-Level Data'!B62</f>
        <v>Watershed and Ecosystem Management</v>
      </c>
      <c r="D280" s="794"/>
      <c r="E280" s="378">
        <f>'Concept-Level Data'!Q62</f>
        <v>2</v>
      </c>
      <c r="F280" s="387">
        <f>'Concept-Level Data'!R62</f>
        <v>4</v>
      </c>
      <c r="G280" s="381">
        <f>'Concept-Level Data'!T62</f>
        <v>5</v>
      </c>
      <c r="H280" s="240"/>
    </row>
    <row r="281" spans="2:8" hidden="1" x14ac:dyDescent="0.25">
      <c r="B281" s="227" t="str">
        <f>'Concept-Level Data'!A63</f>
        <v>Respondent 5</v>
      </c>
      <c r="C281" s="793" t="str">
        <f>'Concept-Level Data'!B63</f>
        <v>Conveyance Improvement</v>
      </c>
      <c r="D281" s="794"/>
      <c r="E281" s="378">
        <f>'Concept-Level Data'!Q63</f>
        <v>2</v>
      </c>
      <c r="F281" s="387" t="str">
        <f>'Concept-Level Data'!R63</f>
        <v>MISSING</v>
      </c>
      <c r="G281" s="381">
        <f>'Concept-Level Data'!T63</f>
        <v>2</v>
      </c>
      <c r="H281" s="240"/>
    </row>
    <row r="282" spans="2:8" hidden="1" x14ac:dyDescent="0.25">
      <c r="B282" s="227" t="str">
        <f>'Concept-Level Data'!A64</f>
        <v>Respondent 5</v>
      </c>
      <c r="C282" s="793" t="str">
        <f>'Concept-Level Data'!B64</f>
        <v>Drought Restriction/Allocation</v>
      </c>
      <c r="D282" s="794"/>
      <c r="E282" s="378">
        <f>'Concept-Level Data'!Q64</f>
        <v>2</v>
      </c>
      <c r="F282" s="387">
        <f>'Concept-Level Data'!R64</f>
        <v>1</v>
      </c>
      <c r="G282" s="381">
        <f>'Concept-Level Data'!T64</f>
        <v>4</v>
      </c>
      <c r="H282" s="240"/>
    </row>
    <row r="283" spans="2:8" hidden="1" x14ac:dyDescent="0.25">
      <c r="B283" s="227" t="str">
        <f>'Concept-Level Data'!A65</f>
        <v>Respondent 5</v>
      </c>
      <c r="C283" s="793" t="str">
        <f>'Concept-Level Data'!B65</f>
        <v>Firm Water Supply Agreements</v>
      </c>
      <c r="D283" s="794"/>
      <c r="E283" s="378">
        <f>'Concept-Level Data'!Q65</f>
        <v>4</v>
      </c>
      <c r="F283" s="387" t="str">
        <f>'Concept-Level Data'!R65</f>
        <v>MISSING</v>
      </c>
      <c r="G283" s="381">
        <f>'Concept-Level Data'!T65</f>
        <v>1</v>
      </c>
      <c r="H283" s="240"/>
    </row>
    <row r="284" spans="2:8" hidden="1" x14ac:dyDescent="0.25">
      <c r="B284" s="227" t="str">
        <f>'Concept-Level Data'!A66</f>
        <v>Respondent 5</v>
      </c>
      <c r="C284" s="793" t="str">
        <f>'Concept-Level Data'!B66</f>
        <v>Gray Water Use</v>
      </c>
      <c r="D284" s="794"/>
      <c r="E284" s="378">
        <f>'Concept-Level Data'!Q66</f>
        <v>2</v>
      </c>
      <c r="F284" s="387">
        <f>'Concept-Level Data'!R66</f>
        <v>1</v>
      </c>
      <c r="G284" s="381">
        <f>'Concept-Level Data'!T66</f>
        <v>4</v>
      </c>
      <c r="H284" s="240"/>
    </row>
    <row r="285" spans="2:8" hidden="1" x14ac:dyDescent="0.25">
      <c r="B285" s="227" t="str">
        <f>'Concept-Level Data'!A67</f>
        <v>Respondent 5</v>
      </c>
      <c r="C285" s="793" t="str">
        <f>'Concept-Level Data'!B67</f>
        <v>Groundwater</v>
      </c>
      <c r="D285" s="794"/>
      <c r="E285" s="378">
        <f>'Concept-Level Data'!Q67</f>
        <v>2</v>
      </c>
      <c r="F285" s="387">
        <f>'Concept-Level Data'!R67</f>
        <v>3</v>
      </c>
      <c r="G285" s="381">
        <f>'Concept-Level Data'!T67</f>
        <v>1</v>
      </c>
      <c r="H285" s="240"/>
    </row>
    <row r="286" spans="2:8" hidden="1" x14ac:dyDescent="0.25">
      <c r="B286" s="227" t="str">
        <f>'Concept-Level Data'!A68</f>
        <v>Respondent 5</v>
      </c>
      <c r="C286" s="793" t="str">
        <f>'Concept-Level Data'!B68</f>
        <v>Imported Water Purchases</v>
      </c>
      <c r="D286" s="794"/>
      <c r="E286" s="378">
        <f>'Concept-Level Data'!Q68</f>
        <v>5</v>
      </c>
      <c r="F286" s="387" t="str">
        <f>'Concept-Level Data'!R68</f>
        <v>MISSING</v>
      </c>
      <c r="G286" s="381">
        <f>'Concept-Level Data'!T68</f>
        <v>1</v>
      </c>
      <c r="H286" s="240"/>
    </row>
    <row r="287" spans="2:8" hidden="1" x14ac:dyDescent="0.25">
      <c r="B287" s="227" t="str">
        <f>'Concept-Level Data'!A69</f>
        <v>Respondent 5</v>
      </c>
      <c r="C287" s="793" t="str">
        <f>'Concept-Level Data'!B69</f>
        <v>Local Surface Water Reservoirs</v>
      </c>
      <c r="D287" s="794"/>
      <c r="E287" s="378">
        <f>'Concept-Level Data'!Q69</f>
        <v>3</v>
      </c>
      <c r="F287" s="387">
        <f>'Concept-Level Data'!R69</f>
        <v>3</v>
      </c>
      <c r="G287" s="381">
        <f>'Concept-Level Data'!T69</f>
        <v>1</v>
      </c>
      <c r="H287" s="240"/>
    </row>
    <row r="288" spans="2:8" hidden="1" x14ac:dyDescent="0.25">
      <c r="B288" s="227" t="str">
        <f>'Concept-Level Data'!A70</f>
        <v>Respondent 5</v>
      </c>
      <c r="C288" s="793" t="str">
        <f>'Concept-Level Data'!B70</f>
        <v>Potable Reuse</v>
      </c>
      <c r="D288" s="794"/>
      <c r="E288" s="378">
        <f>'Concept-Level Data'!Q70</f>
        <v>3</v>
      </c>
      <c r="F288" s="387">
        <f>'Concept-Level Data'!R70</f>
        <v>3</v>
      </c>
      <c r="G288" s="381">
        <f>'Concept-Level Data'!T70</f>
        <v>1</v>
      </c>
      <c r="H288" s="240"/>
    </row>
    <row r="289" spans="2:8" hidden="1" x14ac:dyDescent="0.25">
      <c r="B289" s="227" t="str">
        <f>'Concept-Level Data'!A71</f>
        <v>Respondent 5</v>
      </c>
      <c r="C289" s="793" t="str">
        <f>'Concept-Level Data'!B71</f>
        <v>Recycled Water</v>
      </c>
      <c r="D289" s="794"/>
      <c r="E289" s="378">
        <f>'Concept-Level Data'!Q71</f>
        <v>2</v>
      </c>
      <c r="F289" s="387">
        <f>'Concept-Level Data'!R71</f>
        <v>3</v>
      </c>
      <c r="G289" s="381">
        <f>'Concept-Level Data'!T71</f>
        <v>2</v>
      </c>
      <c r="H289" s="240"/>
    </row>
    <row r="290" spans="2:8" hidden="1" x14ac:dyDescent="0.25">
      <c r="B290" s="227" t="str">
        <f>'Concept-Level Data'!A72</f>
        <v>Respondent 5</v>
      </c>
      <c r="C290" s="793" t="str">
        <f>'Concept-Level Data'!B72</f>
        <v>Seawater Desalination</v>
      </c>
      <c r="D290" s="794"/>
      <c r="E290" s="378">
        <f>'Concept-Level Data'!Q72</f>
        <v>4</v>
      </c>
      <c r="F290" s="387" t="str">
        <f>'Concept-Level Data'!R72</f>
        <v>MISSING</v>
      </c>
      <c r="G290" s="381">
        <f>'Concept-Level Data'!T72</f>
        <v>3</v>
      </c>
      <c r="H290" s="240"/>
    </row>
    <row r="291" spans="2:8" hidden="1" x14ac:dyDescent="0.25">
      <c r="B291" s="227" t="str">
        <f>'Concept-Level Data'!A73</f>
        <v>Respondent 5</v>
      </c>
      <c r="C291" s="793" t="str">
        <f>'Concept-Level Data'!B73</f>
        <v>Stormwater BMPs</v>
      </c>
      <c r="D291" s="794"/>
      <c r="E291" s="378">
        <f>'Concept-Level Data'!Q73</f>
        <v>3</v>
      </c>
      <c r="F291" s="387">
        <f>'Concept-Level Data'!R73</f>
        <v>1</v>
      </c>
      <c r="G291" s="381">
        <f>'Concept-Level Data'!T73</f>
        <v>5</v>
      </c>
      <c r="H291" s="240"/>
    </row>
    <row r="292" spans="2:8" hidden="1" x14ac:dyDescent="0.25">
      <c r="B292" s="227" t="str">
        <f>'Concept-Level Data'!A74</f>
        <v>Respondent 5</v>
      </c>
      <c r="C292" s="793" t="str">
        <f>'Concept-Level Data'!B74</f>
        <v>Stormwater Capture</v>
      </c>
      <c r="D292" s="794"/>
      <c r="E292" s="378">
        <f>'Concept-Level Data'!Q74</f>
        <v>2</v>
      </c>
      <c r="F292" s="387">
        <f>'Concept-Level Data'!R74</f>
        <v>1</v>
      </c>
      <c r="G292" s="381">
        <f>'Concept-Level Data'!T74</f>
        <v>5</v>
      </c>
      <c r="H292" s="240"/>
    </row>
    <row r="293" spans="2:8" hidden="1" x14ac:dyDescent="0.25">
      <c r="B293" s="227" t="str">
        <f>'Concept-Level Data'!A75</f>
        <v>Respondent 5</v>
      </c>
      <c r="C293" s="793" t="str">
        <f>'Concept-Level Data'!B75</f>
        <v>Urban and Agricultural Water Use Efficiency</v>
      </c>
      <c r="D293" s="794"/>
      <c r="E293" s="378">
        <f>'Concept-Level Data'!Q75</f>
        <v>2</v>
      </c>
      <c r="F293" s="387">
        <f>'Concept-Level Data'!R75</f>
        <v>1</v>
      </c>
      <c r="G293" s="381">
        <f>'Concept-Level Data'!T75</f>
        <v>5</v>
      </c>
      <c r="H293" s="240"/>
    </row>
    <row r="294" spans="2:8" hidden="1" x14ac:dyDescent="0.25">
      <c r="B294" s="227" t="str">
        <f>'Concept-Level Data'!A76</f>
        <v>Respondent 5</v>
      </c>
      <c r="C294" s="793" t="str">
        <f>'Concept-Level Data'!B76</f>
        <v>Watershed and Ecosystem Management</v>
      </c>
      <c r="D294" s="794"/>
      <c r="E294" s="378">
        <f>'Concept-Level Data'!Q76</f>
        <v>3</v>
      </c>
      <c r="F294" s="387">
        <f>'Concept-Level Data'!R76</f>
        <v>1</v>
      </c>
      <c r="G294" s="381">
        <f>'Concept-Level Data'!T76</f>
        <v>4</v>
      </c>
      <c r="H294" s="240"/>
    </row>
    <row r="295" spans="2:8" hidden="1" x14ac:dyDescent="0.25">
      <c r="B295" s="227" t="str">
        <f>'Concept-Level Data'!A77</f>
        <v>Respondent 6</v>
      </c>
      <c r="C295" s="793" t="str">
        <f>'Concept-Level Data'!B77</f>
        <v>Conveyance Improvement</v>
      </c>
      <c r="D295" s="794"/>
      <c r="E295" s="378">
        <f>'Concept-Level Data'!Q77</f>
        <v>4</v>
      </c>
      <c r="F295" s="387">
        <f>'Concept-Level Data'!R77</f>
        <v>4</v>
      </c>
      <c r="G295" s="381">
        <f>'Concept-Level Data'!T77</f>
        <v>1</v>
      </c>
      <c r="H295" s="240"/>
    </row>
    <row r="296" spans="2:8" hidden="1" x14ac:dyDescent="0.25">
      <c r="B296" s="227" t="str">
        <f>'Concept-Level Data'!A78</f>
        <v>Respondent 6</v>
      </c>
      <c r="C296" s="793" t="str">
        <f>'Concept-Level Data'!B78</f>
        <v>Drought Restriction/Allocation</v>
      </c>
      <c r="D296" s="794"/>
      <c r="E296" s="378">
        <f>'Concept-Level Data'!Q78</f>
        <v>3</v>
      </c>
      <c r="F296" s="387">
        <f>'Concept-Level Data'!R78</f>
        <v>1</v>
      </c>
      <c r="G296" s="381">
        <f>'Concept-Level Data'!T78</f>
        <v>4</v>
      </c>
      <c r="H296" s="240"/>
    </row>
    <row r="297" spans="2:8" hidden="1" x14ac:dyDescent="0.25">
      <c r="B297" s="227" t="str">
        <f>'Concept-Level Data'!A79</f>
        <v>Respondent 6</v>
      </c>
      <c r="C297" s="793" t="str">
        <f>'Concept-Level Data'!B79</f>
        <v>Firm Water Supply Agreements</v>
      </c>
      <c r="D297" s="794"/>
      <c r="E297" s="378">
        <f>'Concept-Level Data'!Q79</f>
        <v>2</v>
      </c>
      <c r="F297" s="387">
        <f>'Concept-Level Data'!R79</f>
        <v>1</v>
      </c>
      <c r="G297" s="381">
        <f>'Concept-Level Data'!T79</f>
        <v>2</v>
      </c>
      <c r="H297" s="240"/>
    </row>
    <row r="298" spans="2:8" hidden="1" x14ac:dyDescent="0.25">
      <c r="B298" s="227" t="str">
        <f>'Concept-Level Data'!A80</f>
        <v>Respondent 6</v>
      </c>
      <c r="C298" s="793" t="str">
        <f>'Concept-Level Data'!B80</f>
        <v>Gray Water Use</v>
      </c>
      <c r="D298" s="794"/>
      <c r="E298" s="378">
        <f>'Concept-Level Data'!Q80</f>
        <v>1</v>
      </c>
      <c r="F298" s="387">
        <f>'Concept-Level Data'!R80</f>
        <v>1</v>
      </c>
      <c r="G298" s="381">
        <f>'Concept-Level Data'!T80</f>
        <v>4</v>
      </c>
      <c r="H298" s="240"/>
    </row>
    <row r="299" spans="2:8" hidden="1" x14ac:dyDescent="0.25">
      <c r="B299" s="227" t="str">
        <f>'Concept-Level Data'!A81</f>
        <v>Respondent 6</v>
      </c>
      <c r="C299" s="793" t="str">
        <f>'Concept-Level Data'!B81</f>
        <v>Groundwater</v>
      </c>
      <c r="D299" s="794"/>
      <c r="E299" s="378">
        <f>'Concept-Level Data'!Q81</f>
        <v>3</v>
      </c>
      <c r="F299" s="387" t="str">
        <f>'Concept-Level Data'!R81</f>
        <v>MISSING</v>
      </c>
      <c r="G299" s="381">
        <f>'Concept-Level Data'!T81</f>
        <v>2</v>
      </c>
      <c r="H299" s="240"/>
    </row>
    <row r="300" spans="2:8" hidden="1" x14ac:dyDescent="0.25">
      <c r="B300" s="227" t="str">
        <f>'Concept-Level Data'!A82</f>
        <v>Respondent 6</v>
      </c>
      <c r="C300" s="793" t="str">
        <f>'Concept-Level Data'!B82</f>
        <v>Imported Water Purchases</v>
      </c>
      <c r="D300" s="794"/>
      <c r="E300" s="378">
        <f>'Concept-Level Data'!Q82</f>
        <v>3</v>
      </c>
      <c r="F300" s="387">
        <f>'Concept-Level Data'!R82</f>
        <v>1</v>
      </c>
      <c r="G300" s="381">
        <f>'Concept-Level Data'!T82</f>
        <v>2</v>
      </c>
      <c r="H300" s="240"/>
    </row>
    <row r="301" spans="2:8" hidden="1" x14ac:dyDescent="0.25">
      <c r="B301" s="227" t="str">
        <f>'Concept-Level Data'!A83</f>
        <v>Respondent 6</v>
      </c>
      <c r="C301" s="793" t="str">
        <f>'Concept-Level Data'!B83</f>
        <v>Local Surface Water Reservoirs</v>
      </c>
      <c r="D301" s="794"/>
      <c r="E301" s="378">
        <f>'Concept-Level Data'!Q83</f>
        <v>1</v>
      </c>
      <c r="F301" s="387">
        <f>'Concept-Level Data'!R83</f>
        <v>4</v>
      </c>
      <c r="G301" s="381">
        <f>'Concept-Level Data'!T83</f>
        <v>5</v>
      </c>
      <c r="H301" s="240"/>
    </row>
    <row r="302" spans="2:8" hidden="1" x14ac:dyDescent="0.25">
      <c r="B302" s="227" t="str">
        <f>'Concept-Level Data'!A84</f>
        <v>Respondent 6</v>
      </c>
      <c r="C302" s="793" t="str">
        <f>'Concept-Level Data'!B84</f>
        <v>Potable Reuse</v>
      </c>
      <c r="D302" s="794"/>
      <c r="E302" s="378">
        <f>'Concept-Level Data'!Q84</f>
        <v>2</v>
      </c>
      <c r="F302" s="387" t="str">
        <f>'Concept-Level Data'!R84</f>
        <v>MISSING</v>
      </c>
      <c r="G302" s="381">
        <f>'Concept-Level Data'!T84</f>
        <v>5</v>
      </c>
      <c r="H302" s="240"/>
    </row>
    <row r="303" spans="2:8" hidden="1" x14ac:dyDescent="0.25">
      <c r="B303" s="227" t="str">
        <f>'Concept-Level Data'!A85</f>
        <v>Respondent 6</v>
      </c>
      <c r="C303" s="793" t="str">
        <f>'Concept-Level Data'!B85</f>
        <v>Recycled Water</v>
      </c>
      <c r="D303" s="794"/>
      <c r="E303" s="378">
        <f>'Concept-Level Data'!Q85</f>
        <v>3</v>
      </c>
      <c r="F303" s="387" t="str">
        <f>'Concept-Level Data'!R85</f>
        <v>MISSING</v>
      </c>
      <c r="G303" s="381">
        <f>'Concept-Level Data'!T85</f>
        <v>5</v>
      </c>
      <c r="H303" s="240"/>
    </row>
    <row r="304" spans="2:8" hidden="1" x14ac:dyDescent="0.25">
      <c r="B304" s="227" t="str">
        <f>'Concept-Level Data'!A86</f>
        <v>Respondent 6</v>
      </c>
      <c r="C304" s="793" t="str">
        <f>'Concept-Level Data'!B86</f>
        <v>Seawater Desalination</v>
      </c>
      <c r="D304" s="794"/>
      <c r="E304" s="378">
        <f>'Concept-Level Data'!Q86</f>
        <v>5</v>
      </c>
      <c r="F304" s="387" t="str">
        <f>'Concept-Level Data'!R86</f>
        <v>MISSING</v>
      </c>
      <c r="G304" s="381">
        <f>'Concept-Level Data'!T86</f>
        <v>5</v>
      </c>
      <c r="H304" s="240"/>
    </row>
    <row r="305" spans="2:8" hidden="1" x14ac:dyDescent="0.25">
      <c r="B305" s="227" t="str">
        <f>'Concept-Level Data'!A87</f>
        <v>Respondent 6</v>
      </c>
      <c r="C305" s="793" t="str">
        <f>'Concept-Level Data'!B87</f>
        <v>Stormwater BMPs</v>
      </c>
      <c r="D305" s="794"/>
      <c r="E305" s="378">
        <f>'Concept-Level Data'!Q87</f>
        <v>2</v>
      </c>
      <c r="F305" s="387">
        <f>'Concept-Level Data'!R87</f>
        <v>1</v>
      </c>
      <c r="G305" s="381">
        <f>'Concept-Level Data'!T87</f>
        <v>5</v>
      </c>
      <c r="H305" s="240"/>
    </row>
    <row r="306" spans="2:8" hidden="1" x14ac:dyDescent="0.25">
      <c r="B306" s="227" t="str">
        <f>'Concept-Level Data'!A88</f>
        <v>Respondent 6</v>
      </c>
      <c r="C306" s="793" t="str">
        <f>'Concept-Level Data'!B88</f>
        <v>Stormwater Capture</v>
      </c>
      <c r="D306" s="794"/>
      <c r="E306" s="378">
        <f>'Concept-Level Data'!Q88</f>
        <v>4</v>
      </c>
      <c r="F306" s="387" t="str">
        <f>'Concept-Level Data'!R88</f>
        <v>MISSING</v>
      </c>
      <c r="G306" s="381">
        <f>'Concept-Level Data'!T88</f>
        <v>4</v>
      </c>
      <c r="H306" s="240"/>
    </row>
    <row r="307" spans="2:8" hidden="1" x14ac:dyDescent="0.25">
      <c r="B307" s="227" t="str">
        <f>'Concept-Level Data'!A89</f>
        <v>Respondent 6</v>
      </c>
      <c r="C307" s="793" t="str">
        <f>'Concept-Level Data'!B89</f>
        <v>Urban and Agricultural Water Use Efficiency</v>
      </c>
      <c r="D307" s="794"/>
      <c r="E307" s="378">
        <f>'Concept-Level Data'!Q89</f>
        <v>2</v>
      </c>
      <c r="F307" s="387">
        <f>'Concept-Level Data'!R89</f>
        <v>1</v>
      </c>
      <c r="G307" s="381">
        <f>'Concept-Level Data'!T89</f>
        <v>5</v>
      </c>
      <c r="H307" s="240"/>
    </row>
    <row r="308" spans="2:8" hidden="1" x14ac:dyDescent="0.25">
      <c r="B308" s="227" t="str">
        <f>'Concept-Level Data'!A90</f>
        <v>Respondent 6</v>
      </c>
      <c r="C308" s="793" t="str">
        <f>'Concept-Level Data'!B90</f>
        <v>Watershed and Ecosystem Management</v>
      </c>
      <c r="D308" s="794"/>
      <c r="E308" s="378">
        <f>'Concept-Level Data'!Q90</f>
        <v>3</v>
      </c>
      <c r="F308" s="387">
        <f>'Concept-Level Data'!R90</f>
        <v>1</v>
      </c>
      <c r="G308" s="381">
        <f>'Concept-Level Data'!T90</f>
        <v>5</v>
      </c>
      <c r="H308" s="240"/>
    </row>
    <row r="309" spans="2:8" hidden="1" x14ac:dyDescent="0.25">
      <c r="B309" s="227" t="str">
        <f>'Concept-Level Data'!A91</f>
        <v>Respondent 7</v>
      </c>
      <c r="C309" s="793" t="str">
        <f>'Concept-Level Data'!B91</f>
        <v>Conveyance Improvement</v>
      </c>
      <c r="D309" s="794"/>
      <c r="E309" s="378">
        <f>'Concept-Level Data'!Q91</f>
        <v>3</v>
      </c>
      <c r="F309" s="387">
        <f>'Concept-Level Data'!R91</f>
        <v>4</v>
      </c>
      <c r="G309" s="381">
        <f>'Concept-Level Data'!T91</f>
        <v>3</v>
      </c>
      <c r="H309" s="240"/>
    </row>
    <row r="310" spans="2:8" hidden="1" x14ac:dyDescent="0.25">
      <c r="B310" s="227" t="str">
        <f>'Concept-Level Data'!A92</f>
        <v>Respondent 7</v>
      </c>
      <c r="C310" s="793" t="str">
        <f>'Concept-Level Data'!B92</f>
        <v>Drought Restriction/Allocation</v>
      </c>
      <c r="D310" s="794"/>
      <c r="E310" s="378">
        <f>'Concept-Level Data'!Q92</f>
        <v>2</v>
      </c>
      <c r="F310" s="387">
        <f>'Concept-Level Data'!R92</f>
        <v>1</v>
      </c>
      <c r="G310" s="381">
        <f>'Concept-Level Data'!T92</f>
        <v>4</v>
      </c>
      <c r="H310" s="240"/>
    </row>
    <row r="311" spans="2:8" hidden="1" x14ac:dyDescent="0.25">
      <c r="B311" s="227" t="str">
        <f>'Concept-Level Data'!A93</f>
        <v>Respondent 7</v>
      </c>
      <c r="C311" s="793" t="str">
        <f>'Concept-Level Data'!B93</f>
        <v>Firm Water Supply Agreements</v>
      </c>
      <c r="D311" s="794"/>
      <c r="E311" s="378">
        <f>'Concept-Level Data'!Q93</f>
        <v>4</v>
      </c>
      <c r="F311" s="387">
        <f>'Concept-Level Data'!R93</f>
        <v>4</v>
      </c>
      <c r="G311" s="381">
        <f>'Concept-Level Data'!T93</f>
        <v>1</v>
      </c>
      <c r="H311" s="240"/>
    </row>
    <row r="312" spans="2:8" hidden="1" x14ac:dyDescent="0.25">
      <c r="B312" s="227" t="str">
        <f>'Concept-Level Data'!A94</f>
        <v>Respondent 7</v>
      </c>
      <c r="C312" s="793" t="str">
        <f>'Concept-Level Data'!B94</f>
        <v>Gray Water Use</v>
      </c>
      <c r="D312" s="794"/>
      <c r="E312" s="378">
        <f>'Concept-Level Data'!Q94</f>
        <v>2</v>
      </c>
      <c r="F312" s="387">
        <f>'Concept-Level Data'!R94</f>
        <v>1</v>
      </c>
      <c r="G312" s="381">
        <f>'Concept-Level Data'!T94</f>
        <v>5</v>
      </c>
      <c r="H312" s="240"/>
    </row>
    <row r="313" spans="2:8" hidden="1" x14ac:dyDescent="0.25">
      <c r="B313" s="227" t="str">
        <f>'Concept-Level Data'!A95</f>
        <v>Respondent 7</v>
      </c>
      <c r="C313" s="793" t="str">
        <f>'Concept-Level Data'!B95</f>
        <v>Groundwater</v>
      </c>
      <c r="D313" s="794"/>
      <c r="E313" s="378">
        <f>'Concept-Level Data'!Q95</f>
        <v>2</v>
      </c>
      <c r="F313" s="387">
        <f>'Concept-Level Data'!R95</f>
        <v>4</v>
      </c>
      <c r="G313" s="381">
        <f>'Concept-Level Data'!T95</f>
        <v>3</v>
      </c>
      <c r="H313" s="240"/>
    </row>
    <row r="314" spans="2:8" hidden="1" x14ac:dyDescent="0.25">
      <c r="B314" s="227" t="str">
        <f>'Concept-Level Data'!A96</f>
        <v>Respondent 7</v>
      </c>
      <c r="C314" s="793" t="str">
        <f>'Concept-Level Data'!B96</f>
        <v>Imported Water Purchases</v>
      </c>
      <c r="D314" s="794"/>
      <c r="E314" s="378">
        <f>'Concept-Level Data'!Q96</f>
        <v>4</v>
      </c>
      <c r="F314" s="387">
        <f>'Concept-Level Data'!R96</f>
        <v>4</v>
      </c>
      <c r="G314" s="381">
        <f>'Concept-Level Data'!T96</f>
        <v>1</v>
      </c>
      <c r="H314" s="240"/>
    </row>
    <row r="315" spans="2:8" hidden="1" x14ac:dyDescent="0.25">
      <c r="B315" s="227" t="str">
        <f>'Concept-Level Data'!A97</f>
        <v>Respondent 7</v>
      </c>
      <c r="C315" s="793" t="str">
        <f>'Concept-Level Data'!B97</f>
        <v>Local Surface Water Reservoirs</v>
      </c>
      <c r="D315" s="794"/>
      <c r="E315" s="378">
        <f>'Concept-Level Data'!Q97</f>
        <v>3</v>
      </c>
      <c r="F315" s="387">
        <f>'Concept-Level Data'!R97</f>
        <v>4</v>
      </c>
      <c r="G315" s="381">
        <f>'Concept-Level Data'!T97</f>
        <v>4</v>
      </c>
      <c r="H315" s="240"/>
    </row>
    <row r="316" spans="2:8" hidden="1" x14ac:dyDescent="0.25">
      <c r="B316" s="227" t="str">
        <f>'Concept-Level Data'!A98</f>
        <v>Respondent 7</v>
      </c>
      <c r="C316" s="793" t="str">
        <f>'Concept-Level Data'!B98</f>
        <v>Potable Reuse</v>
      </c>
      <c r="D316" s="794"/>
      <c r="E316" s="378">
        <f>'Concept-Level Data'!Q98</f>
        <v>3</v>
      </c>
      <c r="F316" s="387">
        <f>'Concept-Level Data'!R98</f>
        <v>4</v>
      </c>
      <c r="G316" s="381">
        <f>'Concept-Level Data'!T98</f>
        <v>5</v>
      </c>
      <c r="H316" s="240"/>
    </row>
    <row r="317" spans="2:8" hidden="1" x14ac:dyDescent="0.25">
      <c r="B317" s="227" t="str">
        <f>'Concept-Level Data'!A99</f>
        <v>Respondent 7</v>
      </c>
      <c r="C317" s="793" t="str">
        <f>'Concept-Level Data'!B99</f>
        <v>Recycled Water</v>
      </c>
      <c r="D317" s="794"/>
      <c r="E317" s="378">
        <f>'Concept-Level Data'!Q99</f>
        <v>3</v>
      </c>
      <c r="F317" s="387">
        <f>'Concept-Level Data'!R99</f>
        <v>4</v>
      </c>
      <c r="G317" s="381">
        <f>'Concept-Level Data'!T99</f>
        <v>4</v>
      </c>
      <c r="H317" s="240"/>
    </row>
    <row r="318" spans="2:8" hidden="1" x14ac:dyDescent="0.25">
      <c r="B318" s="227" t="str">
        <f>'Concept-Level Data'!A100</f>
        <v>Respondent 7</v>
      </c>
      <c r="C318" s="793" t="str">
        <f>'Concept-Level Data'!B100</f>
        <v>Seawater Desalination</v>
      </c>
      <c r="D318" s="794"/>
      <c r="E318" s="378">
        <f>'Concept-Level Data'!Q100</f>
        <v>4</v>
      </c>
      <c r="F318" s="387" t="str">
        <f>'Concept-Level Data'!R100</f>
        <v>MISSING</v>
      </c>
      <c r="G318" s="381">
        <f>'Concept-Level Data'!T100</f>
        <v>2</v>
      </c>
      <c r="H318" s="240"/>
    </row>
    <row r="319" spans="2:8" hidden="1" x14ac:dyDescent="0.25">
      <c r="B319" s="227" t="str">
        <f>'Concept-Level Data'!A101</f>
        <v>Respondent 7</v>
      </c>
      <c r="C319" s="793" t="str">
        <f>'Concept-Level Data'!B101</f>
        <v>Stormwater BMPs</v>
      </c>
      <c r="D319" s="794"/>
      <c r="E319" s="378">
        <f>'Concept-Level Data'!Q101</f>
        <v>2</v>
      </c>
      <c r="F319" s="387">
        <f>'Concept-Level Data'!R101</f>
        <v>1</v>
      </c>
      <c r="G319" s="381">
        <f>'Concept-Level Data'!T101</f>
        <v>4</v>
      </c>
      <c r="H319" s="240"/>
    </row>
    <row r="320" spans="2:8" hidden="1" x14ac:dyDescent="0.25">
      <c r="B320" s="227" t="str">
        <f>'Concept-Level Data'!A102</f>
        <v>Respondent 7</v>
      </c>
      <c r="C320" s="793" t="str">
        <f>'Concept-Level Data'!B102</f>
        <v>Stormwater Capture</v>
      </c>
      <c r="D320" s="794"/>
      <c r="E320" s="378">
        <f>'Concept-Level Data'!Q102</f>
        <v>4</v>
      </c>
      <c r="F320" s="387">
        <f>'Concept-Level Data'!R102</f>
        <v>4</v>
      </c>
      <c r="G320" s="381">
        <f>'Concept-Level Data'!T102</f>
        <v>5</v>
      </c>
      <c r="H320" s="240"/>
    </row>
    <row r="321" spans="2:8" hidden="1" x14ac:dyDescent="0.25">
      <c r="B321" s="227" t="str">
        <f>'Concept-Level Data'!A103</f>
        <v>Respondent 7</v>
      </c>
      <c r="C321" s="793" t="str">
        <f>'Concept-Level Data'!B103</f>
        <v>Urban and Agricultural Water Use Efficiency</v>
      </c>
      <c r="D321" s="794"/>
      <c r="E321" s="378">
        <f>'Concept-Level Data'!Q103</f>
        <v>1</v>
      </c>
      <c r="F321" s="387">
        <f>'Concept-Level Data'!R103</f>
        <v>1</v>
      </c>
      <c r="G321" s="381">
        <f>'Concept-Level Data'!T103</f>
        <v>5</v>
      </c>
      <c r="H321" s="240"/>
    </row>
    <row r="322" spans="2:8" hidden="1" x14ac:dyDescent="0.25">
      <c r="B322" s="227" t="str">
        <f>'Concept-Level Data'!A104</f>
        <v>Respondent 7</v>
      </c>
      <c r="C322" s="793" t="str">
        <f>'Concept-Level Data'!B104</f>
        <v>Watershed and Ecosystem Management</v>
      </c>
      <c r="D322" s="794"/>
      <c r="E322" s="378">
        <f>'Concept-Level Data'!Q104</f>
        <v>3</v>
      </c>
      <c r="F322" s="387">
        <f>'Concept-Level Data'!R104</f>
        <v>1</v>
      </c>
      <c r="G322" s="381">
        <f>'Concept-Level Data'!T104</f>
        <v>5</v>
      </c>
      <c r="H322" s="240"/>
    </row>
    <row r="323" spans="2:8" hidden="1" x14ac:dyDescent="0.25">
      <c r="B323" s="227" t="str">
        <f>'Concept-Level Data'!A105</f>
        <v>Respondent 8</v>
      </c>
      <c r="C323" s="793" t="str">
        <f>'Concept-Level Data'!B105</f>
        <v>Conveyance Improvement</v>
      </c>
      <c r="D323" s="794"/>
      <c r="E323" s="378">
        <f>'Concept-Level Data'!Q105</f>
        <v>1</v>
      </c>
      <c r="F323" s="387" t="str">
        <f>'Concept-Level Data'!R105</f>
        <v>MISSING</v>
      </c>
      <c r="G323" s="381" t="str">
        <f>'Concept-Level Data'!T105</f>
        <v>MISSING</v>
      </c>
      <c r="H323" s="240"/>
    </row>
    <row r="324" spans="2:8" hidden="1" x14ac:dyDescent="0.25">
      <c r="B324" s="227" t="str">
        <f>'Concept-Level Data'!A106</f>
        <v>Respondent 8</v>
      </c>
      <c r="C324" s="793" t="str">
        <f>'Concept-Level Data'!B106</f>
        <v>Drought Restriction/Allocation</v>
      </c>
      <c r="D324" s="794"/>
      <c r="E324" s="378">
        <f>'Concept-Level Data'!Q106</f>
        <v>2</v>
      </c>
      <c r="F324" s="387" t="str">
        <f>'Concept-Level Data'!R106</f>
        <v>MISSING</v>
      </c>
      <c r="G324" s="381" t="str">
        <f>'Concept-Level Data'!T106</f>
        <v>MISSING</v>
      </c>
      <c r="H324" s="240"/>
    </row>
    <row r="325" spans="2:8" hidden="1" x14ac:dyDescent="0.25">
      <c r="B325" s="227" t="str">
        <f>'Concept-Level Data'!A107</f>
        <v>Respondent 8</v>
      </c>
      <c r="C325" s="793" t="str">
        <f>'Concept-Level Data'!B107</f>
        <v>Firm Water Supply Agreements</v>
      </c>
      <c r="D325" s="794"/>
      <c r="E325" s="378">
        <f>'Concept-Level Data'!Q107</f>
        <v>5</v>
      </c>
      <c r="F325" s="387" t="str">
        <f>'Concept-Level Data'!R107</f>
        <v>MISSING</v>
      </c>
      <c r="G325" s="381" t="str">
        <f>'Concept-Level Data'!T107</f>
        <v>MISSING</v>
      </c>
      <c r="H325" s="240"/>
    </row>
    <row r="326" spans="2:8" hidden="1" x14ac:dyDescent="0.25">
      <c r="B326" s="227" t="str">
        <f>'Concept-Level Data'!A108</f>
        <v>Respondent 8</v>
      </c>
      <c r="C326" s="793" t="str">
        <f>'Concept-Level Data'!B108</f>
        <v>Gray Water Use</v>
      </c>
      <c r="D326" s="794"/>
      <c r="E326" s="378">
        <f>'Concept-Level Data'!Q108</f>
        <v>4</v>
      </c>
      <c r="F326" s="387" t="str">
        <f>'Concept-Level Data'!R108</f>
        <v>MISSING</v>
      </c>
      <c r="G326" s="381" t="str">
        <f>'Concept-Level Data'!T108</f>
        <v>MISSING</v>
      </c>
      <c r="H326" s="240"/>
    </row>
    <row r="327" spans="2:8" hidden="1" x14ac:dyDescent="0.25">
      <c r="B327" s="227" t="str">
        <f>'Concept-Level Data'!A109</f>
        <v>Respondent 8</v>
      </c>
      <c r="C327" s="793" t="str">
        <f>'Concept-Level Data'!B109</f>
        <v>Groundwater</v>
      </c>
      <c r="D327" s="794"/>
      <c r="E327" s="378">
        <f>'Concept-Level Data'!Q109</f>
        <v>2</v>
      </c>
      <c r="F327" s="387" t="str">
        <f>'Concept-Level Data'!R109</f>
        <v>MISSING</v>
      </c>
      <c r="G327" s="381" t="str">
        <f>'Concept-Level Data'!T109</f>
        <v>MISSING</v>
      </c>
      <c r="H327" s="240"/>
    </row>
    <row r="328" spans="2:8" hidden="1" x14ac:dyDescent="0.25">
      <c r="B328" s="227" t="str">
        <f>'Concept-Level Data'!A110</f>
        <v>Respondent 8</v>
      </c>
      <c r="C328" s="793" t="str">
        <f>'Concept-Level Data'!B110</f>
        <v>Imported Water Purchases</v>
      </c>
      <c r="D328" s="794"/>
      <c r="E328" s="378">
        <f>'Concept-Level Data'!Q110</f>
        <v>5</v>
      </c>
      <c r="F328" s="387" t="str">
        <f>'Concept-Level Data'!R110</f>
        <v>MISSING</v>
      </c>
      <c r="G328" s="381" t="str">
        <f>'Concept-Level Data'!T110</f>
        <v>MISSING</v>
      </c>
      <c r="H328" s="240"/>
    </row>
    <row r="329" spans="2:8" hidden="1" x14ac:dyDescent="0.25">
      <c r="B329" s="227" t="str">
        <f>'Concept-Level Data'!A111</f>
        <v>Respondent 8</v>
      </c>
      <c r="C329" s="793" t="str">
        <f>'Concept-Level Data'!B111</f>
        <v>Local Surface Water Reservoirs</v>
      </c>
      <c r="D329" s="794"/>
      <c r="E329" s="378">
        <f>'Concept-Level Data'!Q111</f>
        <v>2</v>
      </c>
      <c r="F329" s="387" t="str">
        <f>'Concept-Level Data'!R111</f>
        <v>MISSING</v>
      </c>
      <c r="G329" s="381" t="str">
        <f>'Concept-Level Data'!T111</f>
        <v>MISSING</v>
      </c>
      <c r="H329" s="240"/>
    </row>
    <row r="330" spans="2:8" hidden="1" x14ac:dyDescent="0.25">
      <c r="B330" s="227" t="str">
        <f>'Concept-Level Data'!A112</f>
        <v>Respondent 8</v>
      </c>
      <c r="C330" s="793" t="str">
        <f>'Concept-Level Data'!B112</f>
        <v>Potable Reuse</v>
      </c>
      <c r="D330" s="794"/>
      <c r="E330" s="378">
        <f>'Concept-Level Data'!Q112</f>
        <v>5</v>
      </c>
      <c r="F330" s="387" t="str">
        <f>'Concept-Level Data'!R112</f>
        <v>MISSING</v>
      </c>
      <c r="G330" s="381" t="str">
        <f>'Concept-Level Data'!T112</f>
        <v>MISSING</v>
      </c>
      <c r="H330" s="240"/>
    </row>
    <row r="331" spans="2:8" hidden="1" x14ac:dyDescent="0.25">
      <c r="B331" s="227" t="str">
        <f>'Concept-Level Data'!A113</f>
        <v>Respondent 8</v>
      </c>
      <c r="C331" s="793" t="str">
        <f>'Concept-Level Data'!B113</f>
        <v>Recycled Water</v>
      </c>
      <c r="D331" s="794"/>
      <c r="E331" s="378">
        <f>'Concept-Level Data'!Q113</f>
        <v>5</v>
      </c>
      <c r="F331" s="387" t="str">
        <f>'Concept-Level Data'!R113</f>
        <v>MISSING</v>
      </c>
      <c r="G331" s="381" t="str">
        <f>'Concept-Level Data'!T113</f>
        <v>MISSING</v>
      </c>
      <c r="H331" s="240"/>
    </row>
    <row r="332" spans="2:8" hidden="1" x14ac:dyDescent="0.25">
      <c r="B332" s="227" t="str">
        <f>'Concept-Level Data'!A114</f>
        <v>Respondent 8</v>
      </c>
      <c r="C332" s="793" t="str">
        <f>'Concept-Level Data'!B114</f>
        <v>Seawater Desalination</v>
      </c>
      <c r="D332" s="794"/>
      <c r="E332" s="378">
        <f>'Concept-Level Data'!Q114</f>
        <v>5</v>
      </c>
      <c r="F332" s="387" t="str">
        <f>'Concept-Level Data'!R114</f>
        <v>MISSING</v>
      </c>
      <c r="G332" s="381" t="str">
        <f>'Concept-Level Data'!T114</f>
        <v>MISSING</v>
      </c>
      <c r="H332" s="240"/>
    </row>
    <row r="333" spans="2:8" hidden="1" x14ac:dyDescent="0.25">
      <c r="B333" s="227" t="str">
        <f>'Concept-Level Data'!A115</f>
        <v>Respondent 8</v>
      </c>
      <c r="C333" s="793" t="str">
        <f>'Concept-Level Data'!B115</f>
        <v>Stormwater BMPs</v>
      </c>
      <c r="D333" s="794"/>
      <c r="E333" s="378">
        <f>'Concept-Level Data'!Q115</f>
        <v>3</v>
      </c>
      <c r="F333" s="387" t="str">
        <f>'Concept-Level Data'!R115</f>
        <v>MISSING</v>
      </c>
      <c r="G333" s="381" t="str">
        <f>'Concept-Level Data'!T115</f>
        <v>MISSING</v>
      </c>
      <c r="H333" s="240"/>
    </row>
    <row r="334" spans="2:8" hidden="1" x14ac:dyDescent="0.25">
      <c r="B334" s="227" t="str">
        <f>'Concept-Level Data'!A116</f>
        <v>Respondent 8</v>
      </c>
      <c r="C334" s="793" t="str">
        <f>'Concept-Level Data'!B116</f>
        <v>Stormwater Capture</v>
      </c>
      <c r="D334" s="794"/>
      <c r="E334" s="378">
        <f>'Concept-Level Data'!Q116</f>
        <v>5</v>
      </c>
      <c r="F334" s="387" t="str">
        <f>'Concept-Level Data'!R116</f>
        <v>MISSING</v>
      </c>
      <c r="G334" s="381" t="str">
        <f>'Concept-Level Data'!T116</f>
        <v>MISSING</v>
      </c>
      <c r="H334" s="240"/>
    </row>
    <row r="335" spans="2:8" hidden="1" x14ac:dyDescent="0.25">
      <c r="B335" s="227" t="str">
        <f>'Concept-Level Data'!A117</f>
        <v>Respondent 8</v>
      </c>
      <c r="C335" s="793" t="str">
        <f>'Concept-Level Data'!B117</f>
        <v>Urban and Agricultural Water Use Efficiency</v>
      </c>
      <c r="D335" s="794"/>
      <c r="E335" s="378">
        <f>'Concept-Level Data'!Q117</f>
        <v>5</v>
      </c>
      <c r="F335" s="387" t="str">
        <f>'Concept-Level Data'!R117</f>
        <v>MISSING</v>
      </c>
      <c r="G335" s="381" t="str">
        <f>'Concept-Level Data'!T117</f>
        <v>MISSING</v>
      </c>
      <c r="H335" s="240"/>
    </row>
    <row r="336" spans="2:8" hidden="1" x14ac:dyDescent="0.25">
      <c r="B336" s="227" t="str">
        <f>'Concept-Level Data'!A118</f>
        <v>Respondent 8</v>
      </c>
      <c r="C336" s="793" t="str">
        <f>'Concept-Level Data'!B118</f>
        <v>Watershed and Ecosystem Management</v>
      </c>
      <c r="D336" s="794"/>
      <c r="E336" s="378">
        <f>'Concept-Level Data'!Q118</f>
        <v>4</v>
      </c>
      <c r="F336" s="387" t="str">
        <f>'Concept-Level Data'!R118</f>
        <v>MISSING</v>
      </c>
      <c r="G336" s="381" t="str">
        <f>'Concept-Level Data'!T118</f>
        <v>MISSING</v>
      </c>
      <c r="H336" s="240"/>
    </row>
    <row r="337" spans="2:8" hidden="1" x14ac:dyDescent="0.25">
      <c r="B337" s="227" t="str">
        <f>'Concept-Level Data'!A119</f>
        <v>Respondent 9</v>
      </c>
      <c r="C337" s="793" t="str">
        <f>'Concept-Level Data'!B119</f>
        <v>Conveyance Improvement</v>
      </c>
      <c r="D337" s="794"/>
      <c r="E337" s="378">
        <f>'Concept-Level Data'!Q119</f>
        <v>5</v>
      </c>
      <c r="F337" s="387">
        <f>'Concept-Level Data'!R119</f>
        <v>4</v>
      </c>
      <c r="G337" s="381">
        <f>'Concept-Level Data'!T119</f>
        <v>3</v>
      </c>
      <c r="H337" s="240"/>
    </row>
    <row r="338" spans="2:8" hidden="1" x14ac:dyDescent="0.25">
      <c r="B338" s="227" t="str">
        <f>'Concept-Level Data'!A120</f>
        <v>Respondent 9</v>
      </c>
      <c r="C338" s="793" t="str">
        <f>'Concept-Level Data'!B120</f>
        <v>Drought Restriction/Allocation</v>
      </c>
      <c r="D338" s="794"/>
      <c r="E338" s="378">
        <f>'Concept-Level Data'!Q120</f>
        <v>4</v>
      </c>
      <c r="F338" s="387">
        <f>'Concept-Level Data'!R120</f>
        <v>1</v>
      </c>
      <c r="G338" s="381">
        <f>'Concept-Level Data'!T120</f>
        <v>4</v>
      </c>
      <c r="H338" s="240"/>
    </row>
    <row r="339" spans="2:8" hidden="1" x14ac:dyDescent="0.25">
      <c r="B339" s="227" t="str">
        <f>'Concept-Level Data'!A121</f>
        <v>Respondent 9</v>
      </c>
      <c r="C339" s="793" t="str">
        <f>'Concept-Level Data'!B121</f>
        <v>Firm Water Supply Agreements</v>
      </c>
      <c r="D339" s="794"/>
      <c r="E339" s="378">
        <f>'Concept-Level Data'!Q121</f>
        <v>3</v>
      </c>
      <c r="F339" s="387">
        <f>'Concept-Level Data'!R121</f>
        <v>3</v>
      </c>
      <c r="G339" s="381">
        <f>'Concept-Level Data'!T121</f>
        <v>1</v>
      </c>
      <c r="H339" s="240"/>
    </row>
    <row r="340" spans="2:8" hidden="1" x14ac:dyDescent="0.25">
      <c r="B340" s="227" t="str">
        <f>'Concept-Level Data'!A122</f>
        <v>Respondent 9</v>
      </c>
      <c r="C340" s="793" t="str">
        <f>'Concept-Level Data'!B122</f>
        <v>Gray Water Use</v>
      </c>
      <c r="D340" s="794"/>
      <c r="E340" s="378">
        <f>'Concept-Level Data'!Q122</f>
        <v>3</v>
      </c>
      <c r="F340" s="387">
        <f>'Concept-Level Data'!R122</f>
        <v>4</v>
      </c>
      <c r="G340" s="381">
        <f>'Concept-Level Data'!T122</f>
        <v>5</v>
      </c>
      <c r="H340" s="240"/>
    </row>
    <row r="341" spans="2:8" hidden="1" x14ac:dyDescent="0.25">
      <c r="B341" s="227" t="str">
        <f>'Concept-Level Data'!A123</f>
        <v>Respondent 9</v>
      </c>
      <c r="C341" s="793" t="str">
        <f>'Concept-Level Data'!B123</f>
        <v>Groundwater</v>
      </c>
      <c r="D341" s="794"/>
      <c r="E341" s="378">
        <f>'Concept-Level Data'!Q123</f>
        <v>4</v>
      </c>
      <c r="F341" s="387">
        <f>'Concept-Level Data'!R123</f>
        <v>3</v>
      </c>
      <c r="G341" s="381">
        <f>'Concept-Level Data'!T123</f>
        <v>3</v>
      </c>
      <c r="H341" s="240"/>
    </row>
    <row r="342" spans="2:8" hidden="1" x14ac:dyDescent="0.25">
      <c r="B342" s="227" t="str">
        <f>'Concept-Level Data'!A124</f>
        <v>Respondent 9</v>
      </c>
      <c r="C342" s="793" t="str">
        <f>'Concept-Level Data'!B124</f>
        <v>Imported Water Purchases</v>
      </c>
      <c r="D342" s="794"/>
      <c r="E342" s="378">
        <f>'Concept-Level Data'!Q124</f>
        <v>3</v>
      </c>
      <c r="F342" s="387">
        <f>'Concept-Level Data'!R124</f>
        <v>3</v>
      </c>
      <c r="G342" s="381">
        <f>'Concept-Level Data'!T124</f>
        <v>1</v>
      </c>
      <c r="H342" s="240"/>
    </row>
    <row r="343" spans="2:8" hidden="1" x14ac:dyDescent="0.25">
      <c r="B343" s="227" t="str">
        <f>'Concept-Level Data'!A125</f>
        <v>Respondent 9</v>
      </c>
      <c r="C343" s="793" t="str">
        <f>'Concept-Level Data'!B125</f>
        <v>Local Surface Water Reservoirs</v>
      </c>
      <c r="D343" s="794"/>
      <c r="E343" s="378">
        <f>'Concept-Level Data'!Q125</f>
        <v>2</v>
      </c>
      <c r="F343" s="387">
        <f>'Concept-Level Data'!R125</f>
        <v>4</v>
      </c>
      <c r="G343" s="381">
        <f>'Concept-Level Data'!T125</f>
        <v>5</v>
      </c>
      <c r="H343" s="240"/>
    </row>
    <row r="344" spans="2:8" hidden="1" x14ac:dyDescent="0.25">
      <c r="B344" s="227" t="str">
        <f>'Concept-Level Data'!A126</f>
        <v>Respondent 9</v>
      </c>
      <c r="C344" s="793" t="str">
        <f>'Concept-Level Data'!B126</f>
        <v>Potable Reuse</v>
      </c>
      <c r="D344" s="794"/>
      <c r="E344" s="378">
        <f>'Concept-Level Data'!Q126</f>
        <v>5</v>
      </c>
      <c r="F344" s="387">
        <f>'Concept-Level Data'!R126</f>
        <v>4</v>
      </c>
      <c r="G344" s="381">
        <f>'Concept-Level Data'!T126</f>
        <v>5</v>
      </c>
      <c r="H344" s="240"/>
    </row>
    <row r="345" spans="2:8" hidden="1" x14ac:dyDescent="0.25">
      <c r="B345" s="227" t="str">
        <f>'Concept-Level Data'!A127</f>
        <v>Respondent 9</v>
      </c>
      <c r="C345" s="793" t="str">
        <f>'Concept-Level Data'!B127</f>
        <v>Recycled Water</v>
      </c>
      <c r="D345" s="794"/>
      <c r="E345" s="378">
        <f>'Concept-Level Data'!Q127</f>
        <v>4</v>
      </c>
      <c r="F345" s="387">
        <f>'Concept-Level Data'!R127</f>
        <v>4</v>
      </c>
      <c r="G345" s="381">
        <f>'Concept-Level Data'!T127</f>
        <v>5</v>
      </c>
      <c r="H345" s="240"/>
    </row>
    <row r="346" spans="2:8" hidden="1" x14ac:dyDescent="0.25">
      <c r="B346" s="227" t="str">
        <f>'Concept-Level Data'!A128</f>
        <v>Respondent 9</v>
      </c>
      <c r="C346" s="793" t="str">
        <f>'Concept-Level Data'!B128</f>
        <v>Seawater Desalination</v>
      </c>
      <c r="D346" s="794"/>
      <c r="E346" s="378">
        <f>'Concept-Level Data'!Q128</f>
        <v>5</v>
      </c>
      <c r="F346" s="387">
        <f>'Concept-Level Data'!R128</f>
        <v>4</v>
      </c>
      <c r="G346" s="381">
        <f>'Concept-Level Data'!T128</f>
        <v>4</v>
      </c>
      <c r="H346" s="240"/>
    </row>
    <row r="347" spans="2:8" hidden="1" x14ac:dyDescent="0.25">
      <c r="B347" s="227" t="str">
        <f>'Concept-Level Data'!A129</f>
        <v>Respondent 9</v>
      </c>
      <c r="C347" s="793" t="str">
        <f>'Concept-Level Data'!B129</f>
        <v>Stormwater BMPs</v>
      </c>
      <c r="D347" s="794"/>
      <c r="E347" s="378">
        <f>'Concept-Level Data'!Q129</f>
        <v>2</v>
      </c>
      <c r="F347" s="387">
        <f>'Concept-Level Data'!R129</f>
        <v>4</v>
      </c>
      <c r="G347" s="381">
        <f>'Concept-Level Data'!T129</f>
        <v>4</v>
      </c>
      <c r="H347" s="240"/>
    </row>
    <row r="348" spans="2:8" hidden="1" x14ac:dyDescent="0.25">
      <c r="B348" s="227" t="str">
        <f>'Concept-Level Data'!A130</f>
        <v>Respondent 9</v>
      </c>
      <c r="C348" s="793" t="str">
        <f>'Concept-Level Data'!B130</f>
        <v>Stormwater Capture</v>
      </c>
      <c r="D348" s="794"/>
      <c r="E348" s="378">
        <f>'Concept-Level Data'!Q130</f>
        <v>2</v>
      </c>
      <c r="F348" s="387">
        <f>'Concept-Level Data'!R130</f>
        <v>4</v>
      </c>
      <c r="G348" s="381">
        <f>'Concept-Level Data'!T130</f>
        <v>4</v>
      </c>
      <c r="H348" s="240"/>
    </row>
    <row r="349" spans="2:8" hidden="1" x14ac:dyDescent="0.25">
      <c r="B349" s="227" t="str">
        <f>'Concept-Level Data'!A131</f>
        <v>Respondent 9</v>
      </c>
      <c r="C349" s="793" t="str">
        <f>'Concept-Level Data'!B131</f>
        <v>Urban and Agricultural Water Use Efficiency</v>
      </c>
      <c r="D349" s="794"/>
      <c r="E349" s="378">
        <f>'Concept-Level Data'!Q131</f>
        <v>2</v>
      </c>
      <c r="F349" s="387">
        <f>'Concept-Level Data'!R131</f>
        <v>1</v>
      </c>
      <c r="G349" s="381">
        <f>'Concept-Level Data'!T131</f>
        <v>5</v>
      </c>
      <c r="H349" s="240"/>
    </row>
    <row r="350" spans="2:8" hidden="1" x14ac:dyDescent="0.25">
      <c r="B350" s="227" t="str">
        <f>'Concept-Level Data'!A132</f>
        <v>Respondent 9</v>
      </c>
      <c r="C350" s="793" t="str">
        <f>'Concept-Level Data'!B132</f>
        <v>Watershed and Ecosystem Management</v>
      </c>
      <c r="D350" s="794"/>
      <c r="E350" s="378">
        <f>'Concept-Level Data'!Q132</f>
        <v>2</v>
      </c>
      <c r="F350" s="387">
        <f>'Concept-Level Data'!R132</f>
        <v>4</v>
      </c>
      <c r="G350" s="381">
        <f>'Concept-Level Data'!T132</f>
        <v>5</v>
      </c>
      <c r="H350" s="240"/>
    </row>
    <row r="351" spans="2:8" hidden="1" x14ac:dyDescent="0.25">
      <c r="B351" s="251" t="str">
        <f>'Concept-Level Data'!A133</f>
        <v>Respondent 10</v>
      </c>
      <c r="C351" s="793" t="str">
        <f>'Concept-Level Data'!B133</f>
        <v>Conveyance Improvement</v>
      </c>
      <c r="D351" s="794"/>
      <c r="E351" s="378">
        <f>'Concept-Level Data'!Q133</f>
        <v>3</v>
      </c>
      <c r="F351" s="387" t="str">
        <f>'Concept-Level Data'!R133</f>
        <v>MISSING</v>
      </c>
      <c r="G351" s="381">
        <f>'Concept-Level Data'!T133</f>
        <v>4</v>
      </c>
      <c r="H351" s="240"/>
    </row>
    <row r="352" spans="2:8" hidden="1" x14ac:dyDescent="0.25">
      <c r="B352" s="251" t="str">
        <f>'Concept-Level Data'!A134</f>
        <v>Respondent 10</v>
      </c>
      <c r="C352" s="793" t="str">
        <f>'Concept-Level Data'!B134</f>
        <v>Drought Restriction/Allocation</v>
      </c>
      <c r="D352" s="794"/>
      <c r="E352" s="378">
        <f>'Concept-Level Data'!Q134</f>
        <v>2</v>
      </c>
      <c r="F352" s="387">
        <f>'Concept-Level Data'!R134</f>
        <v>1</v>
      </c>
      <c r="G352" s="381">
        <f>'Concept-Level Data'!T134</f>
        <v>5</v>
      </c>
      <c r="H352" s="240"/>
    </row>
    <row r="353" spans="2:8" hidden="1" x14ac:dyDescent="0.25">
      <c r="B353" s="251" t="str">
        <f>'Concept-Level Data'!A135</f>
        <v>Respondent 10</v>
      </c>
      <c r="C353" s="793" t="str">
        <f>'Concept-Level Data'!B135</f>
        <v>Firm Water Supply Agreements</v>
      </c>
      <c r="D353" s="794"/>
      <c r="E353" s="378">
        <f>'Concept-Level Data'!Q135</f>
        <v>3</v>
      </c>
      <c r="F353" s="387">
        <f>'Concept-Level Data'!R135</f>
        <v>3</v>
      </c>
      <c r="G353" s="381">
        <f>'Concept-Level Data'!T135</f>
        <v>4</v>
      </c>
      <c r="H353" s="240"/>
    </row>
    <row r="354" spans="2:8" hidden="1" x14ac:dyDescent="0.25">
      <c r="B354" s="251" t="str">
        <f>'Concept-Level Data'!A136</f>
        <v>Respondent 10</v>
      </c>
      <c r="C354" s="793" t="str">
        <f>'Concept-Level Data'!B136</f>
        <v>Gray Water Use</v>
      </c>
      <c r="D354" s="794"/>
      <c r="E354" s="378">
        <f>'Concept-Level Data'!Q136</f>
        <v>4</v>
      </c>
      <c r="F354" s="387">
        <f>'Concept-Level Data'!R136</f>
        <v>1</v>
      </c>
      <c r="G354" s="381">
        <f>'Concept-Level Data'!T136</f>
        <v>3</v>
      </c>
      <c r="H354" s="240"/>
    </row>
    <row r="355" spans="2:8" hidden="1" x14ac:dyDescent="0.25">
      <c r="B355" s="251" t="str">
        <f>'Concept-Level Data'!A137</f>
        <v>Respondent 10</v>
      </c>
      <c r="C355" s="793" t="str">
        <f>'Concept-Level Data'!B137</f>
        <v>Groundwater</v>
      </c>
      <c r="D355" s="794"/>
      <c r="E355" s="378">
        <f>'Concept-Level Data'!Q137</f>
        <v>4</v>
      </c>
      <c r="F355" s="387">
        <f>'Concept-Level Data'!R137</f>
        <v>4</v>
      </c>
      <c r="G355" s="381">
        <f>'Concept-Level Data'!T137</f>
        <v>5</v>
      </c>
      <c r="H355" s="240"/>
    </row>
    <row r="356" spans="2:8" hidden="1" x14ac:dyDescent="0.25">
      <c r="B356" s="251" t="str">
        <f>'Concept-Level Data'!A138</f>
        <v>Respondent 10</v>
      </c>
      <c r="C356" s="793" t="str">
        <f>'Concept-Level Data'!B138</f>
        <v>Imported Water Purchases</v>
      </c>
      <c r="D356" s="794"/>
      <c r="E356" s="378">
        <f>'Concept-Level Data'!Q138</f>
        <v>2</v>
      </c>
      <c r="F356" s="387" t="str">
        <f>'Concept-Level Data'!R138</f>
        <v>MISSING</v>
      </c>
      <c r="G356" s="381">
        <f>'Concept-Level Data'!T138</f>
        <v>5</v>
      </c>
      <c r="H356" s="240"/>
    </row>
    <row r="357" spans="2:8" hidden="1" x14ac:dyDescent="0.25">
      <c r="B357" s="251" t="str">
        <f>'Concept-Level Data'!A139</f>
        <v>Respondent 10</v>
      </c>
      <c r="C357" s="793" t="str">
        <f>'Concept-Level Data'!B139</f>
        <v>Local Surface Water Reservoirs</v>
      </c>
      <c r="D357" s="794"/>
      <c r="E357" s="378">
        <f>'Concept-Level Data'!Q139</f>
        <v>3</v>
      </c>
      <c r="F357" s="387">
        <f>'Concept-Level Data'!R139</f>
        <v>4</v>
      </c>
      <c r="G357" s="381">
        <f>'Concept-Level Data'!T139</f>
        <v>5</v>
      </c>
      <c r="H357" s="240"/>
    </row>
    <row r="358" spans="2:8" hidden="1" x14ac:dyDescent="0.25">
      <c r="B358" s="251" t="str">
        <f>'Concept-Level Data'!A140</f>
        <v>Respondent 10</v>
      </c>
      <c r="C358" s="793" t="str">
        <f>'Concept-Level Data'!B140</f>
        <v>Potable Reuse</v>
      </c>
      <c r="D358" s="794"/>
      <c r="E358" s="378">
        <f>'Concept-Level Data'!Q140</f>
        <v>5</v>
      </c>
      <c r="F358" s="387" t="str">
        <f>'Concept-Level Data'!R140</f>
        <v>MISSING</v>
      </c>
      <c r="G358" s="381">
        <f>'Concept-Level Data'!T140</f>
        <v>5</v>
      </c>
      <c r="H358" s="240"/>
    </row>
    <row r="359" spans="2:8" hidden="1" x14ac:dyDescent="0.25">
      <c r="B359" s="251" t="str">
        <f>'Concept-Level Data'!A141</f>
        <v>Respondent 10</v>
      </c>
      <c r="C359" s="793" t="str">
        <f>'Concept-Level Data'!B141</f>
        <v>Recycled Water</v>
      </c>
      <c r="D359" s="794"/>
      <c r="E359" s="378">
        <f>'Concept-Level Data'!Q141</f>
        <v>3</v>
      </c>
      <c r="F359" s="387" t="str">
        <f>'Concept-Level Data'!R141</f>
        <v>MISSING</v>
      </c>
      <c r="G359" s="381">
        <f>'Concept-Level Data'!T141</f>
        <v>5</v>
      </c>
      <c r="H359" s="240"/>
    </row>
    <row r="360" spans="2:8" hidden="1" x14ac:dyDescent="0.25">
      <c r="B360" s="251" t="str">
        <f>'Concept-Level Data'!A142</f>
        <v>Respondent 10</v>
      </c>
      <c r="C360" s="793" t="str">
        <f>'Concept-Level Data'!B142</f>
        <v>Seawater Desalination</v>
      </c>
      <c r="D360" s="794"/>
      <c r="E360" s="378">
        <f>'Concept-Level Data'!Q142</f>
        <v>5</v>
      </c>
      <c r="F360" s="387" t="str">
        <f>'Concept-Level Data'!R142</f>
        <v>MISSING</v>
      </c>
      <c r="G360" s="381">
        <f>'Concept-Level Data'!T142</f>
        <v>5</v>
      </c>
      <c r="H360" s="240"/>
    </row>
    <row r="361" spans="2:8" hidden="1" x14ac:dyDescent="0.25">
      <c r="B361" s="251" t="str">
        <f>'Concept-Level Data'!A143</f>
        <v>Respondent 10</v>
      </c>
      <c r="C361" s="793" t="str">
        <f>'Concept-Level Data'!B143</f>
        <v>Stormwater BMPs</v>
      </c>
      <c r="D361" s="794"/>
      <c r="E361" s="378">
        <f>'Concept-Level Data'!Q143</f>
        <v>2</v>
      </c>
      <c r="F361" s="387">
        <f>'Concept-Level Data'!R143</f>
        <v>1</v>
      </c>
      <c r="G361" s="381">
        <f>'Concept-Level Data'!T143</f>
        <v>5</v>
      </c>
      <c r="H361" s="240"/>
    </row>
    <row r="362" spans="2:8" hidden="1" x14ac:dyDescent="0.25">
      <c r="B362" s="251" t="str">
        <f>'Concept-Level Data'!A144</f>
        <v>Respondent 10</v>
      </c>
      <c r="C362" s="793" t="str">
        <f>'Concept-Level Data'!B144</f>
        <v>Stormwater Capture</v>
      </c>
      <c r="D362" s="794"/>
      <c r="E362" s="378">
        <f>'Concept-Level Data'!Q144</f>
        <v>3</v>
      </c>
      <c r="F362" s="387">
        <f>'Concept-Level Data'!R144</f>
        <v>1</v>
      </c>
      <c r="G362" s="381">
        <f>'Concept-Level Data'!T144</f>
        <v>5</v>
      </c>
      <c r="H362" s="240"/>
    </row>
    <row r="363" spans="2:8" hidden="1" x14ac:dyDescent="0.25">
      <c r="B363" s="251" t="str">
        <f>'Concept-Level Data'!A145</f>
        <v>Respondent 10</v>
      </c>
      <c r="C363" s="793" t="str">
        <f>'Concept-Level Data'!B145</f>
        <v>Urban and Agricultural Water Use Efficiency</v>
      </c>
      <c r="D363" s="794"/>
      <c r="E363" s="378">
        <f>'Concept-Level Data'!Q145</f>
        <v>3</v>
      </c>
      <c r="F363" s="387">
        <f>'Concept-Level Data'!R145</f>
        <v>4</v>
      </c>
      <c r="G363" s="381">
        <f>'Concept-Level Data'!T145</f>
        <v>5</v>
      </c>
      <c r="H363" s="240"/>
    </row>
    <row r="364" spans="2:8" hidden="1" x14ac:dyDescent="0.25">
      <c r="B364" s="251" t="str">
        <f>'Concept-Level Data'!A146</f>
        <v>Respondent 10</v>
      </c>
      <c r="C364" s="793" t="str">
        <f>'Concept-Level Data'!B146</f>
        <v>Watershed and Ecosystem Management</v>
      </c>
      <c r="D364" s="794"/>
      <c r="E364" s="378">
        <f>'Concept-Level Data'!Q146</f>
        <v>4</v>
      </c>
      <c r="F364" s="387">
        <f>'Concept-Level Data'!R146</f>
        <v>1</v>
      </c>
      <c r="G364" s="381">
        <f>'Concept-Level Data'!T146</f>
        <v>5</v>
      </c>
      <c r="H364" s="240"/>
    </row>
    <row r="365" spans="2:8" hidden="1" x14ac:dyDescent="0.25">
      <c r="B365" s="251" t="str">
        <f>'Concept-Level Data'!A147</f>
        <v>Respondent 11</v>
      </c>
      <c r="C365" s="793" t="str">
        <f>'Concept-Level Data'!B147</f>
        <v>Conveyance Improvement</v>
      </c>
      <c r="D365" s="794"/>
      <c r="E365" s="378">
        <f>'Concept-Level Data'!Q147</f>
        <v>2</v>
      </c>
      <c r="F365" s="387">
        <f>'Concept-Level Data'!R147</f>
        <v>1</v>
      </c>
      <c r="G365" s="381">
        <f>'Concept-Level Data'!T147</f>
        <v>3</v>
      </c>
      <c r="H365" s="240"/>
    </row>
    <row r="366" spans="2:8" hidden="1" x14ac:dyDescent="0.25">
      <c r="B366" s="251" t="str">
        <f>'Concept-Level Data'!A148</f>
        <v>Respondent 11</v>
      </c>
      <c r="C366" s="793" t="str">
        <f>'Concept-Level Data'!B148</f>
        <v>Drought Restriction/Allocation</v>
      </c>
      <c r="D366" s="794"/>
      <c r="E366" s="378">
        <f>'Concept-Level Data'!Q148</f>
        <v>3</v>
      </c>
      <c r="F366" s="387">
        <f>'Concept-Level Data'!R148</f>
        <v>3</v>
      </c>
      <c r="G366" s="381">
        <f>'Concept-Level Data'!T148</f>
        <v>5</v>
      </c>
      <c r="H366" s="240"/>
    </row>
    <row r="367" spans="2:8" hidden="1" x14ac:dyDescent="0.25">
      <c r="B367" s="251" t="str">
        <f>'Concept-Level Data'!A149</f>
        <v>Respondent 11</v>
      </c>
      <c r="C367" s="793" t="str">
        <f>'Concept-Level Data'!B149</f>
        <v>Firm Water Supply Agreements</v>
      </c>
      <c r="D367" s="794"/>
      <c r="E367" s="378">
        <f>'Concept-Level Data'!Q149</f>
        <v>5</v>
      </c>
      <c r="F367" s="387" t="str">
        <f>'Concept-Level Data'!R149</f>
        <v>MISSING</v>
      </c>
      <c r="G367" s="381">
        <f>'Concept-Level Data'!T149</f>
        <v>2</v>
      </c>
      <c r="H367" s="240"/>
    </row>
    <row r="368" spans="2:8" hidden="1" x14ac:dyDescent="0.25">
      <c r="B368" s="251" t="str">
        <f>'Concept-Level Data'!A150</f>
        <v>Respondent 11</v>
      </c>
      <c r="C368" s="793" t="str">
        <f>'Concept-Level Data'!B150</f>
        <v>Gray Water Use</v>
      </c>
      <c r="D368" s="794"/>
      <c r="E368" s="378">
        <f>'Concept-Level Data'!Q150</f>
        <v>5</v>
      </c>
      <c r="F368" s="387" t="str">
        <f>'Concept-Level Data'!R150</f>
        <v>MISSING</v>
      </c>
      <c r="G368" s="381">
        <f>'Concept-Level Data'!T150</f>
        <v>4</v>
      </c>
      <c r="H368" s="240"/>
    </row>
    <row r="369" spans="2:8" hidden="1" x14ac:dyDescent="0.25">
      <c r="B369" s="251" t="str">
        <f>'Concept-Level Data'!A151</f>
        <v>Respondent 11</v>
      </c>
      <c r="C369" s="793" t="str">
        <f>'Concept-Level Data'!B151</f>
        <v>Groundwater</v>
      </c>
      <c r="D369" s="794"/>
      <c r="E369" s="378">
        <f>'Concept-Level Data'!Q151</f>
        <v>5</v>
      </c>
      <c r="F369" s="387" t="str">
        <f>'Concept-Level Data'!R151</f>
        <v>MISSING</v>
      </c>
      <c r="G369" s="381">
        <f>'Concept-Level Data'!T151</f>
        <v>2</v>
      </c>
      <c r="H369" s="240"/>
    </row>
    <row r="370" spans="2:8" hidden="1" x14ac:dyDescent="0.25">
      <c r="B370" s="251" t="str">
        <f>'Concept-Level Data'!A152</f>
        <v>Respondent 11</v>
      </c>
      <c r="C370" s="793" t="str">
        <f>'Concept-Level Data'!B152</f>
        <v>Imported Water Purchases</v>
      </c>
      <c r="D370" s="794"/>
      <c r="E370" s="378">
        <f>'Concept-Level Data'!Q152</f>
        <v>3</v>
      </c>
      <c r="F370" s="387">
        <f>'Concept-Level Data'!R152</f>
        <v>4</v>
      </c>
      <c r="G370" s="381">
        <f>'Concept-Level Data'!T152</f>
        <v>1</v>
      </c>
      <c r="H370" s="240"/>
    </row>
    <row r="371" spans="2:8" hidden="1" x14ac:dyDescent="0.25">
      <c r="B371" s="251" t="str">
        <f>'Concept-Level Data'!A153</f>
        <v>Respondent 11</v>
      </c>
      <c r="C371" s="793" t="str">
        <f>'Concept-Level Data'!B153</f>
        <v>Local Surface Water Reservoirs</v>
      </c>
      <c r="D371" s="794"/>
      <c r="E371" s="378">
        <f>'Concept-Level Data'!Q153</f>
        <v>2</v>
      </c>
      <c r="F371" s="387">
        <f>'Concept-Level Data'!R153</f>
        <v>4</v>
      </c>
      <c r="G371" s="381">
        <f>'Concept-Level Data'!T153</f>
        <v>2</v>
      </c>
      <c r="H371" s="240"/>
    </row>
    <row r="372" spans="2:8" hidden="1" x14ac:dyDescent="0.25">
      <c r="B372" s="251" t="str">
        <f>'Concept-Level Data'!A154</f>
        <v>Respondent 11</v>
      </c>
      <c r="C372" s="793" t="str">
        <f>'Concept-Level Data'!B154</f>
        <v>Potable Reuse</v>
      </c>
      <c r="D372" s="794"/>
      <c r="E372" s="378">
        <f>'Concept-Level Data'!Q154</f>
        <v>5</v>
      </c>
      <c r="F372" s="387" t="str">
        <f>'Concept-Level Data'!R154</f>
        <v>MISSING</v>
      </c>
      <c r="G372" s="381">
        <f>'Concept-Level Data'!T154</f>
        <v>5</v>
      </c>
      <c r="H372" s="240"/>
    </row>
    <row r="373" spans="2:8" hidden="1" x14ac:dyDescent="0.25">
      <c r="B373" s="251" t="str">
        <f>'Concept-Level Data'!A155</f>
        <v>Respondent 11</v>
      </c>
      <c r="C373" s="793" t="str">
        <f>'Concept-Level Data'!B155</f>
        <v>Recycled Water</v>
      </c>
      <c r="D373" s="794"/>
      <c r="E373" s="378">
        <f>'Concept-Level Data'!Q155</f>
        <v>5</v>
      </c>
      <c r="F373" s="387" t="str">
        <f>'Concept-Level Data'!R155</f>
        <v>MISSING</v>
      </c>
      <c r="G373" s="381">
        <f>'Concept-Level Data'!T155</f>
        <v>4</v>
      </c>
      <c r="H373" s="240"/>
    </row>
    <row r="374" spans="2:8" hidden="1" x14ac:dyDescent="0.25">
      <c r="B374" s="251" t="str">
        <f>'Concept-Level Data'!A156</f>
        <v>Respondent 11</v>
      </c>
      <c r="C374" s="793" t="str">
        <f>'Concept-Level Data'!B156</f>
        <v>Seawater Desalination</v>
      </c>
      <c r="D374" s="794"/>
      <c r="E374" s="378">
        <f>'Concept-Level Data'!Q156</f>
        <v>5</v>
      </c>
      <c r="F374" s="387" t="str">
        <f>'Concept-Level Data'!R156</f>
        <v>MISSING</v>
      </c>
      <c r="G374" s="381">
        <f>'Concept-Level Data'!T156</f>
        <v>5</v>
      </c>
      <c r="H374" s="240"/>
    </row>
    <row r="375" spans="2:8" hidden="1" x14ac:dyDescent="0.25">
      <c r="B375" s="251" t="str">
        <f>'Concept-Level Data'!A157</f>
        <v>Respondent 11</v>
      </c>
      <c r="C375" s="793" t="str">
        <f>'Concept-Level Data'!B157</f>
        <v>Stormwater BMPs</v>
      </c>
      <c r="D375" s="794"/>
      <c r="E375" s="378">
        <f>'Concept-Level Data'!Q157</f>
        <v>2</v>
      </c>
      <c r="F375" s="387">
        <f>'Concept-Level Data'!R157</f>
        <v>1</v>
      </c>
      <c r="G375" s="381">
        <f>'Concept-Level Data'!T157</f>
        <v>5</v>
      </c>
      <c r="H375" s="240"/>
    </row>
    <row r="376" spans="2:8" hidden="1" x14ac:dyDescent="0.25">
      <c r="B376" s="251" t="str">
        <f>'Concept-Level Data'!A158</f>
        <v>Respondent 11</v>
      </c>
      <c r="C376" s="793" t="str">
        <f>'Concept-Level Data'!B158</f>
        <v>Stormwater Capture</v>
      </c>
      <c r="D376" s="794"/>
      <c r="E376" s="378">
        <f>'Concept-Level Data'!Q158</f>
        <v>5</v>
      </c>
      <c r="F376" s="387" t="str">
        <f>'Concept-Level Data'!R158</f>
        <v>MISSING</v>
      </c>
      <c r="G376" s="381">
        <f>'Concept-Level Data'!T158</f>
        <v>4</v>
      </c>
      <c r="H376" s="240"/>
    </row>
    <row r="377" spans="2:8" hidden="1" x14ac:dyDescent="0.25">
      <c r="B377" s="251" t="str">
        <f>'Concept-Level Data'!A159</f>
        <v>Respondent 11</v>
      </c>
      <c r="C377" s="793" t="str">
        <f>'Concept-Level Data'!B159</f>
        <v>Urban and Agricultural Water Use Efficiency</v>
      </c>
      <c r="D377" s="794"/>
      <c r="E377" s="378">
        <f>'Concept-Level Data'!Q159</f>
        <v>2</v>
      </c>
      <c r="F377" s="387">
        <f>'Concept-Level Data'!R159</f>
        <v>4</v>
      </c>
      <c r="G377" s="381">
        <f>'Concept-Level Data'!T159</f>
        <v>4</v>
      </c>
      <c r="H377" s="240"/>
    </row>
    <row r="378" spans="2:8" hidden="1" x14ac:dyDescent="0.25">
      <c r="B378" s="251" t="str">
        <f>'Concept-Level Data'!A160</f>
        <v>Respondent 11</v>
      </c>
      <c r="C378" s="793" t="str">
        <f>'Concept-Level Data'!B160</f>
        <v>Watershed and Ecosystem Management</v>
      </c>
      <c r="D378" s="794"/>
      <c r="E378" s="378">
        <f>'Concept-Level Data'!Q160</f>
        <v>4</v>
      </c>
      <c r="F378" s="387" t="str">
        <f>'Concept-Level Data'!R160</f>
        <v>MISSING</v>
      </c>
      <c r="G378" s="381">
        <f>'Concept-Level Data'!T160</f>
        <v>5</v>
      </c>
      <c r="H378" s="240"/>
    </row>
    <row r="379" spans="2:8" hidden="1" x14ac:dyDescent="0.25">
      <c r="B379" s="251" t="str">
        <f>'Concept-Level Data'!A161</f>
        <v>Respondent 12</v>
      </c>
      <c r="C379" s="793" t="str">
        <f>'Concept-Level Data'!B161</f>
        <v>Conveyance Improvement</v>
      </c>
      <c r="D379" s="794"/>
      <c r="E379" s="378">
        <f>'Concept-Level Data'!Q161</f>
        <v>3</v>
      </c>
      <c r="F379" s="387" t="str">
        <f>'Concept-Level Data'!R161</f>
        <v>MISSING</v>
      </c>
      <c r="G379" s="381">
        <f>'Concept-Level Data'!T161</f>
        <v>2</v>
      </c>
      <c r="H379" s="240"/>
    </row>
    <row r="380" spans="2:8" hidden="1" x14ac:dyDescent="0.25">
      <c r="B380" s="251" t="str">
        <f>'Concept-Level Data'!A162</f>
        <v>Respondent 12</v>
      </c>
      <c r="C380" s="793" t="str">
        <f>'Concept-Level Data'!B162</f>
        <v>Drought Restriction/Allocation</v>
      </c>
      <c r="D380" s="794"/>
      <c r="E380" s="378">
        <f>'Concept-Level Data'!Q162</f>
        <v>2</v>
      </c>
      <c r="F380" s="387">
        <f>'Concept-Level Data'!R162</f>
        <v>1</v>
      </c>
      <c r="G380" s="381">
        <f>'Concept-Level Data'!T162</f>
        <v>5</v>
      </c>
      <c r="H380" s="240"/>
    </row>
    <row r="381" spans="2:8" hidden="1" x14ac:dyDescent="0.25">
      <c r="B381" s="251" t="str">
        <f>'Concept-Level Data'!A163</f>
        <v>Respondent 12</v>
      </c>
      <c r="C381" s="793" t="str">
        <f>'Concept-Level Data'!B163</f>
        <v>Firm Water Supply Agreements</v>
      </c>
      <c r="D381" s="794"/>
      <c r="E381" s="378">
        <f>'Concept-Level Data'!Q163</f>
        <v>2</v>
      </c>
      <c r="F381" s="387">
        <f>'Concept-Level Data'!R163</f>
        <v>3</v>
      </c>
      <c r="G381" s="381">
        <f>'Concept-Level Data'!T163</f>
        <v>2</v>
      </c>
      <c r="H381" s="240"/>
    </row>
    <row r="382" spans="2:8" hidden="1" x14ac:dyDescent="0.25">
      <c r="B382" s="251" t="str">
        <f>'Concept-Level Data'!A164</f>
        <v>Respondent 12</v>
      </c>
      <c r="C382" s="793" t="str">
        <f>'Concept-Level Data'!B164</f>
        <v>Gray Water Use</v>
      </c>
      <c r="D382" s="794"/>
      <c r="E382" s="378">
        <f>'Concept-Level Data'!Q164</f>
        <v>2</v>
      </c>
      <c r="F382" s="387">
        <f>'Concept-Level Data'!R164</f>
        <v>1</v>
      </c>
      <c r="G382" s="381">
        <f>'Concept-Level Data'!T164</f>
        <v>5</v>
      </c>
      <c r="H382" s="240"/>
    </row>
    <row r="383" spans="2:8" hidden="1" x14ac:dyDescent="0.25">
      <c r="B383" s="251" t="str">
        <f>'Concept-Level Data'!A165</f>
        <v>Respondent 12</v>
      </c>
      <c r="C383" s="793" t="str">
        <f>'Concept-Level Data'!B165</f>
        <v>Groundwater</v>
      </c>
      <c r="D383" s="794"/>
      <c r="E383" s="378">
        <f>'Concept-Level Data'!Q165</f>
        <v>4</v>
      </c>
      <c r="F383" s="387" t="str">
        <f>'Concept-Level Data'!R165</f>
        <v>MISSING</v>
      </c>
      <c r="G383" s="381">
        <f>'Concept-Level Data'!T165</f>
        <v>3</v>
      </c>
      <c r="H383" s="240"/>
    </row>
    <row r="384" spans="2:8" hidden="1" x14ac:dyDescent="0.25">
      <c r="B384" s="251" t="str">
        <f>'Concept-Level Data'!A166</f>
        <v>Respondent 12</v>
      </c>
      <c r="C384" s="793" t="str">
        <f>'Concept-Level Data'!B166</f>
        <v>Imported Water Purchases</v>
      </c>
      <c r="D384" s="794"/>
      <c r="E384" s="378">
        <f>'Concept-Level Data'!Q166</f>
        <v>3</v>
      </c>
      <c r="F384" s="387" t="str">
        <f>'Concept-Level Data'!R166</f>
        <v>MISSING</v>
      </c>
      <c r="G384" s="381">
        <f>'Concept-Level Data'!T166</f>
        <v>1</v>
      </c>
      <c r="H384" s="240"/>
    </row>
    <row r="385" spans="2:8" hidden="1" x14ac:dyDescent="0.25">
      <c r="B385" s="251" t="str">
        <f>'Concept-Level Data'!A167</f>
        <v>Respondent 12</v>
      </c>
      <c r="C385" s="793" t="str">
        <f>'Concept-Level Data'!B167</f>
        <v>Local Surface Water Reservoirs</v>
      </c>
      <c r="D385" s="794"/>
      <c r="E385" s="378">
        <f>'Concept-Level Data'!Q167</f>
        <v>4</v>
      </c>
      <c r="F385" s="387" t="str">
        <f>'Concept-Level Data'!R167</f>
        <v>MISSING</v>
      </c>
      <c r="G385" s="381">
        <f>'Concept-Level Data'!T167</f>
        <v>3</v>
      </c>
      <c r="H385" s="240"/>
    </row>
    <row r="386" spans="2:8" hidden="1" x14ac:dyDescent="0.25">
      <c r="B386" s="251" t="str">
        <f>'Concept-Level Data'!A168</f>
        <v>Respondent 12</v>
      </c>
      <c r="C386" s="793" t="str">
        <f>'Concept-Level Data'!B168</f>
        <v>Potable Reuse</v>
      </c>
      <c r="D386" s="794"/>
      <c r="E386" s="378">
        <f>'Concept-Level Data'!Q168</f>
        <v>4</v>
      </c>
      <c r="F386" s="387" t="str">
        <f>'Concept-Level Data'!R168</f>
        <v>MISSING</v>
      </c>
      <c r="G386" s="381">
        <f>'Concept-Level Data'!T168</f>
        <v>5</v>
      </c>
      <c r="H386" s="240"/>
    </row>
    <row r="387" spans="2:8" hidden="1" x14ac:dyDescent="0.25">
      <c r="B387" s="251" t="str">
        <f>'Concept-Level Data'!A169</f>
        <v>Respondent 12</v>
      </c>
      <c r="C387" s="793" t="str">
        <f>'Concept-Level Data'!B169</f>
        <v>Recycled Water</v>
      </c>
      <c r="D387" s="794"/>
      <c r="E387" s="378">
        <f>'Concept-Level Data'!Q169</f>
        <v>4</v>
      </c>
      <c r="F387" s="387" t="str">
        <f>'Concept-Level Data'!R169</f>
        <v>MISSING</v>
      </c>
      <c r="G387" s="381">
        <f>'Concept-Level Data'!T169</f>
        <v>4</v>
      </c>
      <c r="H387" s="240"/>
    </row>
    <row r="388" spans="2:8" hidden="1" x14ac:dyDescent="0.25">
      <c r="B388" s="251" t="str">
        <f>'Concept-Level Data'!A170</f>
        <v>Respondent 12</v>
      </c>
      <c r="C388" s="793" t="str">
        <f>'Concept-Level Data'!B170</f>
        <v>Seawater Desalination</v>
      </c>
      <c r="D388" s="794"/>
      <c r="E388" s="378">
        <f>'Concept-Level Data'!Q170</f>
        <v>5</v>
      </c>
      <c r="F388" s="387" t="str">
        <f>'Concept-Level Data'!R170</f>
        <v>MISSING</v>
      </c>
      <c r="G388" s="381">
        <f>'Concept-Level Data'!T170</f>
        <v>3</v>
      </c>
      <c r="H388" s="240"/>
    </row>
    <row r="389" spans="2:8" hidden="1" x14ac:dyDescent="0.25">
      <c r="B389" s="251" t="str">
        <f>'Concept-Level Data'!A171</f>
        <v>Respondent 12</v>
      </c>
      <c r="C389" s="793" t="str">
        <f>'Concept-Level Data'!B171</f>
        <v>Stormwater BMPs</v>
      </c>
      <c r="D389" s="794"/>
      <c r="E389" s="378">
        <f>'Concept-Level Data'!Q171</f>
        <v>3</v>
      </c>
      <c r="F389" s="387">
        <f>'Concept-Level Data'!R171</f>
        <v>4</v>
      </c>
      <c r="G389" s="381">
        <f>'Concept-Level Data'!T171</f>
        <v>3</v>
      </c>
      <c r="H389" s="240"/>
    </row>
    <row r="390" spans="2:8" hidden="1" x14ac:dyDescent="0.25">
      <c r="B390" s="251" t="str">
        <f>'Concept-Level Data'!A172</f>
        <v>Respondent 12</v>
      </c>
      <c r="C390" s="793" t="str">
        <f>'Concept-Level Data'!B172</f>
        <v>Stormwater Capture</v>
      </c>
      <c r="D390" s="794"/>
      <c r="E390" s="378">
        <f>'Concept-Level Data'!Q172</f>
        <v>3</v>
      </c>
      <c r="F390" s="387">
        <f>'Concept-Level Data'!R172</f>
        <v>4</v>
      </c>
      <c r="G390" s="381">
        <f>'Concept-Level Data'!T172</f>
        <v>4</v>
      </c>
      <c r="H390" s="240"/>
    </row>
    <row r="391" spans="2:8" hidden="1" x14ac:dyDescent="0.25">
      <c r="B391" s="251" t="str">
        <f>'Concept-Level Data'!A173</f>
        <v>Respondent 12</v>
      </c>
      <c r="C391" s="793" t="str">
        <f>'Concept-Level Data'!B173</f>
        <v>Urban and Agricultural Water Use Efficiency</v>
      </c>
      <c r="D391" s="794"/>
      <c r="E391" s="378">
        <f>'Concept-Level Data'!Q173</f>
        <v>2</v>
      </c>
      <c r="F391" s="387">
        <f>'Concept-Level Data'!R173</f>
        <v>1</v>
      </c>
      <c r="G391" s="381">
        <f>'Concept-Level Data'!T173</f>
        <v>5</v>
      </c>
      <c r="H391" s="240"/>
    </row>
    <row r="392" spans="2:8" hidden="1" x14ac:dyDescent="0.25">
      <c r="B392" s="251" t="str">
        <f>'Concept-Level Data'!A174</f>
        <v>Respondent 12</v>
      </c>
      <c r="C392" s="793" t="str">
        <f>'Concept-Level Data'!B174</f>
        <v>Watershed and Ecosystem Management</v>
      </c>
      <c r="D392" s="794"/>
      <c r="E392" s="378">
        <f>'Concept-Level Data'!Q174</f>
        <v>3</v>
      </c>
      <c r="F392" s="387">
        <f>'Concept-Level Data'!R174</f>
        <v>1</v>
      </c>
      <c r="G392" s="381">
        <f>'Concept-Level Data'!T174</f>
        <v>5</v>
      </c>
      <c r="H392" s="240"/>
    </row>
    <row r="393" spans="2:8" hidden="1" x14ac:dyDescent="0.25">
      <c r="B393" s="251" t="str">
        <f>'Concept-Level Data'!A175</f>
        <v>Respondent 13</v>
      </c>
      <c r="C393" s="793" t="str">
        <f>'Concept-Level Data'!B175</f>
        <v>Conveyance Improvement</v>
      </c>
      <c r="D393" s="794"/>
      <c r="E393" s="378">
        <f>'Concept-Level Data'!Q175</f>
        <v>1</v>
      </c>
      <c r="F393" s="387" t="str">
        <f>'Concept-Level Data'!R175</f>
        <v>MISSING</v>
      </c>
      <c r="G393" s="381">
        <f>'Concept-Level Data'!T175</f>
        <v>2</v>
      </c>
      <c r="H393" s="240"/>
    </row>
    <row r="394" spans="2:8" hidden="1" x14ac:dyDescent="0.25">
      <c r="B394" s="251" t="str">
        <f>'Concept-Level Data'!A176</f>
        <v>Respondent 13</v>
      </c>
      <c r="C394" s="793" t="str">
        <f>'Concept-Level Data'!B176</f>
        <v>Drought Restriction/Allocation</v>
      </c>
      <c r="D394" s="794"/>
      <c r="E394" s="378">
        <f>'Concept-Level Data'!Q176</f>
        <v>2</v>
      </c>
      <c r="F394" s="387">
        <f>'Concept-Level Data'!R176</f>
        <v>1</v>
      </c>
      <c r="G394" s="381">
        <f>'Concept-Level Data'!T176</f>
        <v>5</v>
      </c>
      <c r="H394" s="240"/>
    </row>
    <row r="395" spans="2:8" hidden="1" x14ac:dyDescent="0.25">
      <c r="B395" s="251" t="str">
        <f>'Concept-Level Data'!A177</f>
        <v>Respondent 13</v>
      </c>
      <c r="C395" s="793" t="str">
        <f>'Concept-Level Data'!B177</f>
        <v>Firm Water Supply Agreements</v>
      </c>
      <c r="D395" s="794"/>
      <c r="E395" s="378">
        <f>'Concept-Level Data'!Q177</f>
        <v>4</v>
      </c>
      <c r="F395" s="387">
        <f>'Concept-Level Data'!R177</f>
        <v>1</v>
      </c>
      <c r="G395" s="381">
        <f>'Concept-Level Data'!T177</f>
        <v>3</v>
      </c>
      <c r="H395" s="240"/>
    </row>
    <row r="396" spans="2:8" hidden="1" x14ac:dyDescent="0.25">
      <c r="B396" s="251" t="str">
        <f>'Concept-Level Data'!A178</f>
        <v>Respondent 13</v>
      </c>
      <c r="C396" s="793" t="str">
        <f>'Concept-Level Data'!B178</f>
        <v>Gray Water Use</v>
      </c>
      <c r="D396" s="794"/>
      <c r="E396" s="378">
        <f>'Concept-Level Data'!Q178</f>
        <v>2</v>
      </c>
      <c r="F396" s="387">
        <f>'Concept-Level Data'!R178</f>
        <v>1</v>
      </c>
      <c r="G396" s="381">
        <f>'Concept-Level Data'!T178</f>
        <v>5</v>
      </c>
      <c r="H396" s="240"/>
    </row>
    <row r="397" spans="2:8" hidden="1" x14ac:dyDescent="0.25">
      <c r="B397" s="251" t="str">
        <f>'Concept-Level Data'!A179</f>
        <v>Respondent 13</v>
      </c>
      <c r="C397" s="793" t="str">
        <f>'Concept-Level Data'!B179</f>
        <v>Groundwater</v>
      </c>
      <c r="D397" s="794"/>
      <c r="E397" s="378">
        <f>'Concept-Level Data'!Q179</f>
        <v>3</v>
      </c>
      <c r="F397" s="387" t="str">
        <f>'Concept-Level Data'!R179</f>
        <v>MISSING</v>
      </c>
      <c r="G397" s="381">
        <f>'Concept-Level Data'!T179</f>
        <v>2</v>
      </c>
      <c r="H397" s="240"/>
    </row>
    <row r="398" spans="2:8" hidden="1" x14ac:dyDescent="0.25">
      <c r="B398" s="251" t="str">
        <f>'Concept-Level Data'!A180</f>
        <v>Respondent 13</v>
      </c>
      <c r="C398" s="793" t="str">
        <f>'Concept-Level Data'!B180</f>
        <v>Imported Water Purchases</v>
      </c>
      <c r="D398" s="794"/>
      <c r="E398" s="378">
        <f>'Concept-Level Data'!Q180</f>
        <v>4</v>
      </c>
      <c r="F398" s="387">
        <f>'Concept-Level Data'!R180</f>
        <v>4</v>
      </c>
      <c r="G398" s="381">
        <f>'Concept-Level Data'!T180</f>
        <v>2</v>
      </c>
      <c r="H398" s="240"/>
    </row>
    <row r="399" spans="2:8" hidden="1" x14ac:dyDescent="0.25">
      <c r="B399" s="251" t="str">
        <f>'Concept-Level Data'!A181</f>
        <v>Respondent 13</v>
      </c>
      <c r="C399" s="793" t="str">
        <f>'Concept-Level Data'!B181</f>
        <v>Local Surface Water Reservoirs</v>
      </c>
      <c r="D399" s="794"/>
      <c r="E399" s="378">
        <f>'Concept-Level Data'!Q181</f>
        <v>4</v>
      </c>
      <c r="F399" s="387">
        <f>'Concept-Level Data'!R181</f>
        <v>4</v>
      </c>
      <c r="G399" s="381">
        <f>'Concept-Level Data'!T181</f>
        <v>1</v>
      </c>
      <c r="H399" s="240"/>
    </row>
    <row r="400" spans="2:8" hidden="1" x14ac:dyDescent="0.25">
      <c r="B400" s="251" t="str">
        <f>'Concept-Level Data'!A182</f>
        <v>Respondent 13</v>
      </c>
      <c r="C400" s="793" t="str">
        <f>'Concept-Level Data'!B182</f>
        <v>Potable Reuse</v>
      </c>
      <c r="D400" s="794"/>
      <c r="E400" s="378">
        <f>'Concept-Level Data'!Q182</f>
        <v>3</v>
      </c>
      <c r="F400" s="387" t="str">
        <f>'Concept-Level Data'!R182</f>
        <v>MISSING</v>
      </c>
      <c r="G400" s="381">
        <f>'Concept-Level Data'!T182</f>
        <v>5</v>
      </c>
      <c r="H400" s="240"/>
    </row>
    <row r="401" spans="2:8" hidden="1" x14ac:dyDescent="0.25">
      <c r="B401" s="251" t="str">
        <f>'Concept-Level Data'!A183</f>
        <v>Respondent 13</v>
      </c>
      <c r="C401" s="793" t="str">
        <f>'Concept-Level Data'!B183</f>
        <v>Recycled Water</v>
      </c>
      <c r="D401" s="794"/>
      <c r="E401" s="378">
        <f>'Concept-Level Data'!Q183</f>
        <v>2</v>
      </c>
      <c r="F401" s="387" t="str">
        <f>'Concept-Level Data'!R183</f>
        <v>MISSING</v>
      </c>
      <c r="G401" s="381">
        <f>'Concept-Level Data'!T183</f>
        <v>4</v>
      </c>
      <c r="H401" s="240"/>
    </row>
    <row r="402" spans="2:8" hidden="1" x14ac:dyDescent="0.25">
      <c r="B402" s="251" t="str">
        <f>'Concept-Level Data'!A184</f>
        <v>Respondent 13</v>
      </c>
      <c r="C402" s="793" t="str">
        <f>'Concept-Level Data'!B184</f>
        <v>Seawater Desalination</v>
      </c>
      <c r="D402" s="794"/>
      <c r="E402" s="378">
        <f>'Concept-Level Data'!Q184</f>
        <v>3</v>
      </c>
      <c r="F402" s="387" t="str">
        <f>'Concept-Level Data'!R184</f>
        <v>MISSING</v>
      </c>
      <c r="G402" s="381">
        <f>'Concept-Level Data'!T184</f>
        <v>5</v>
      </c>
      <c r="H402" s="240"/>
    </row>
    <row r="403" spans="2:8" hidden="1" x14ac:dyDescent="0.25">
      <c r="B403" s="251" t="str">
        <f>'Concept-Level Data'!A185</f>
        <v>Respondent 13</v>
      </c>
      <c r="C403" s="793" t="str">
        <f>'Concept-Level Data'!B185</f>
        <v>Stormwater BMPs</v>
      </c>
      <c r="D403" s="794"/>
      <c r="E403" s="378">
        <f>'Concept-Level Data'!Q185</f>
        <v>2</v>
      </c>
      <c r="F403" s="387">
        <f>'Concept-Level Data'!R185</f>
        <v>4</v>
      </c>
      <c r="G403" s="381">
        <f>'Concept-Level Data'!T185</f>
        <v>4</v>
      </c>
      <c r="H403" s="240"/>
    </row>
    <row r="404" spans="2:8" hidden="1" x14ac:dyDescent="0.25">
      <c r="B404" s="251" t="str">
        <f>'Concept-Level Data'!A186</f>
        <v>Respondent 13</v>
      </c>
      <c r="C404" s="793" t="str">
        <f>'Concept-Level Data'!B186</f>
        <v>Stormwater Capture</v>
      </c>
      <c r="D404" s="794"/>
      <c r="E404" s="378">
        <f>'Concept-Level Data'!Q186</f>
        <v>3</v>
      </c>
      <c r="F404" s="387" t="str">
        <f>'Concept-Level Data'!R186</f>
        <v>MISSING</v>
      </c>
      <c r="G404" s="381">
        <f>'Concept-Level Data'!T186</f>
        <v>4</v>
      </c>
      <c r="H404" s="240"/>
    </row>
    <row r="405" spans="2:8" hidden="1" x14ac:dyDescent="0.25">
      <c r="B405" s="251" t="str">
        <f>'Concept-Level Data'!A187</f>
        <v>Respondent 13</v>
      </c>
      <c r="C405" s="793" t="str">
        <f>'Concept-Level Data'!B187</f>
        <v>Urban and Agricultural Water Use Efficiency</v>
      </c>
      <c r="D405" s="794"/>
      <c r="E405" s="378">
        <f>'Concept-Level Data'!Q187</f>
        <v>4</v>
      </c>
      <c r="F405" s="387">
        <f>'Concept-Level Data'!R187</f>
        <v>1</v>
      </c>
      <c r="G405" s="381">
        <f>'Concept-Level Data'!T187</f>
        <v>5</v>
      </c>
      <c r="H405" s="240"/>
    </row>
    <row r="406" spans="2:8" hidden="1" x14ac:dyDescent="0.25">
      <c r="B406" s="251" t="str">
        <f>'Concept-Level Data'!A188</f>
        <v>Respondent 13</v>
      </c>
      <c r="C406" s="793" t="str">
        <f>'Concept-Level Data'!B188</f>
        <v>Watershed and Ecosystem Management</v>
      </c>
      <c r="D406" s="794"/>
      <c r="E406" s="378">
        <f>'Concept-Level Data'!Q188</f>
        <v>4</v>
      </c>
      <c r="F406" s="387">
        <f>'Concept-Level Data'!R188</f>
        <v>3</v>
      </c>
      <c r="G406" s="381">
        <f>'Concept-Level Data'!T188</f>
        <v>4</v>
      </c>
      <c r="H406" s="240"/>
    </row>
    <row r="407" spans="2:8" hidden="1" x14ac:dyDescent="0.25">
      <c r="B407" s="251" t="str">
        <f>'Concept-Level Data'!A189</f>
        <v>Respondent 14</v>
      </c>
      <c r="C407" s="793" t="str">
        <f>'Concept-Level Data'!B189</f>
        <v>Conveyance Improvement</v>
      </c>
      <c r="D407" s="794"/>
      <c r="E407" s="378">
        <f>'Concept-Level Data'!Q189</f>
        <v>2</v>
      </c>
      <c r="F407" s="387" t="str">
        <f>'Concept-Level Data'!R189</f>
        <v>MISSING</v>
      </c>
      <c r="G407" s="381">
        <f>'Concept-Level Data'!T189</f>
        <v>1</v>
      </c>
      <c r="H407" s="240"/>
    </row>
    <row r="408" spans="2:8" hidden="1" x14ac:dyDescent="0.25">
      <c r="B408" s="251" t="str">
        <f>'Concept-Level Data'!A190</f>
        <v>Respondent 14</v>
      </c>
      <c r="C408" s="793" t="str">
        <f>'Concept-Level Data'!B190</f>
        <v>Drought Restriction/Allocation</v>
      </c>
      <c r="D408" s="794"/>
      <c r="E408" s="378">
        <f>'Concept-Level Data'!Q190</f>
        <v>2</v>
      </c>
      <c r="F408" s="387">
        <f>'Concept-Level Data'!R190</f>
        <v>3</v>
      </c>
      <c r="G408" s="381">
        <f>'Concept-Level Data'!T190</f>
        <v>4</v>
      </c>
      <c r="H408" s="240"/>
    </row>
    <row r="409" spans="2:8" hidden="1" x14ac:dyDescent="0.25">
      <c r="B409" s="251" t="str">
        <f>'Concept-Level Data'!A191</f>
        <v>Respondent 14</v>
      </c>
      <c r="C409" s="793" t="str">
        <f>'Concept-Level Data'!B191</f>
        <v>Firm Water Supply Agreements</v>
      </c>
      <c r="D409" s="794"/>
      <c r="E409" s="378" t="str">
        <f>'Concept-Level Data'!Q191</f>
        <v>MISSING</v>
      </c>
      <c r="F409" s="387" t="str">
        <f>'Concept-Level Data'!R191</f>
        <v>MISSING</v>
      </c>
      <c r="G409" s="381" t="str">
        <f>'Concept-Level Data'!T191</f>
        <v>MISSING</v>
      </c>
      <c r="H409" s="240"/>
    </row>
    <row r="410" spans="2:8" hidden="1" x14ac:dyDescent="0.25">
      <c r="B410" s="251" t="str">
        <f>'Concept-Level Data'!A192</f>
        <v>Respondent 14</v>
      </c>
      <c r="C410" s="793" t="str">
        <f>'Concept-Level Data'!B192</f>
        <v>Gray Water Use</v>
      </c>
      <c r="D410" s="794"/>
      <c r="E410" s="378">
        <f>'Concept-Level Data'!Q192</f>
        <v>2</v>
      </c>
      <c r="F410" s="387">
        <f>'Concept-Level Data'!R192</f>
        <v>4</v>
      </c>
      <c r="G410" s="381">
        <f>'Concept-Level Data'!T192</f>
        <v>3</v>
      </c>
      <c r="H410" s="240"/>
    </row>
    <row r="411" spans="2:8" hidden="1" x14ac:dyDescent="0.25">
      <c r="B411" s="251" t="str">
        <f>'Concept-Level Data'!A193</f>
        <v>Respondent 14</v>
      </c>
      <c r="C411" s="793" t="str">
        <f>'Concept-Level Data'!B193</f>
        <v>Groundwater</v>
      </c>
      <c r="D411" s="794"/>
      <c r="E411" s="378">
        <f>'Concept-Level Data'!Q193</f>
        <v>5</v>
      </c>
      <c r="F411" s="387" t="str">
        <f>'Concept-Level Data'!R193</f>
        <v>MISSING</v>
      </c>
      <c r="G411" s="381">
        <f>'Concept-Level Data'!T193</f>
        <v>5</v>
      </c>
      <c r="H411" s="240"/>
    </row>
    <row r="412" spans="2:8" hidden="1" x14ac:dyDescent="0.25">
      <c r="B412" s="251" t="str">
        <f>'Concept-Level Data'!A194</f>
        <v>Respondent 14</v>
      </c>
      <c r="C412" s="793" t="str">
        <f>'Concept-Level Data'!B194</f>
        <v>Imported Water Purchases</v>
      </c>
      <c r="D412" s="794"/>
      <c r="E412" s="378">
        <f>'Concept-Level Data'!Q194</f>
        <v>2</v>
      </c>
      <c r="F412" s="387">
        <f>'Concept-Level Data'!R194</f>
        <v>1</v>
      </c>
      <c r="G412" s="381">
        <f>'Concept-Level Data'!T194</f>
        <v>1</v>
      </c>
      <c r="H412" s="240"/>
    </row>
    <row r="413" spans="2:8" hidden="1" x14ac:dyDescent="0.25">
      <c r="B413" s="251" t="str">
        <f>'Concept-Level Data'!A195</f>
        <v>Respondent 14</v>
      </c>
      <c r="C413" s="793" t="str">
        <f>'Concept-Level Data'!B195</f>
        <v>Local Surface Water Reservoirs</v>
      </c>
      <c r="D413" s="794"/>
      <c r="E413" s="378">
        <f>'Concept-Level Data'!Q195</f>
        <v>2</v>
      </c>
      <c r="F413" s="387">
        <f>'Concept-Level Data'!R195</f>
        <v>1</v>
      </c>
      <c r="G413" s="381">
        <f>'Concept-Level Data'!T195</f>
        <v>1</v>
      </c>
      <c r="H413" s="240"/>
    </row>
    <row r="414" spans="2:8" hidden="1" x14ac:dyDescent="0.25">
      <c r="B414" s="251" t="str">
        <f>'Concept-Level Data'!A196</f>
        <v>Respondent 14</v>
      </c>
      <c r="C414" s="793" t="str">
        <f>'Concept-Level Data'!B196</f>
        <v>Potable Reuse</v>
      </c>
      <c r="D414" s="794"/>
      <c r="E414" s="378">
        <f>'Concept-Level Data'!Q196</f>
        <v>5</v>
      </c>
      <c r="F414" s="387" t="str">
        <f>'Concept-Level Data'!R196</f>
        <v>MISSING</v>
      </c>
      <c r="G414" s="381">
        <f>'Concept-Level Data'!T196</f>
        <v>5</v>
      </c>
      <c r="H414" s="240"/>
    </row>
    <row r="415" spans="2:8" hidden="1" x14ac:dyDescent="0.25">
      <c r="B415" s="251" t="str">
        <f>'Concept-Level Data'!A197</f>
        <v>Respondent 14</v>
      </c>
      <c r="C415" s="793" t="str">
        <f>'Concept-Level Data'!B197</f>
        <v>Recycled Water</v>
      </c>
      <c r="D415" s="794"/>
      <c r="E415" s="378">
        <f>'Concept-Level Data'!Q197</f>
        <v>3</v>
      </c>
      <c r="F415" s="387">
        <f>'Concept-Level Data'!R197</f>
        <v>4</v>
      </c>
      <c r="G415" s="381">
        <f>'Concept-Level Data'!T197</f>
        <v>3</v>
      </c>
      <c r="H415" s="240"/>
    </row>
    <row r="416" spans="2:8" hidden="1" x14ac:dyDescent="0.25">
      <c r="B416" s="251" t="str">
        <f>'Concept-Level Data'!A198</f>
        <v>Respondent 14</v>
      </c>
      <c r="C416" s="793" t="str">
        <f>'Concept-Level Data'!B198</f>
        <v>Seawater Desalination</v>
      </c>
      <c r="D416" s="794"/>
      <c r="E416" s="378">
        <f>'Concept-Level Data'!Q198</f>
        <v>5</v>
      </c>
      <c r="F416" s="387" t="str">
        <f>'Concept-Level Data'!R198</f>
        <v>MISSING</v>
      </c>
      <c r="G416" s="381">
        <f>'Concept-Level Data'!T198</f>
        <v>5</v>
      </c>
      <c r="H416" s="240"/>
    </row>
    <row r="417" spans="2:8" hidden="1" x14ac:dyDescent="0.25">
      <c r="B417" s="251" t="str">
        <f>'Concept-Level Data'!A199</f>
        <v>Respondent 14</v>
      </c>
      <c r="C417" s="793" t="str">
        <f>'Concept-Level Data'!B199</f>
        <v>Stormwater BMPs</v>
      </c>
      <c r="D417" s="794"/>
      <c r="E417" s="378">
        <f>'Concept-Level Data'!Q199</f>
        <v>3</v>
      </c>
      <c r="F417" s="387">
        <f>'Concept-Level Data'!R199</f>
        <v>4</v>
      </c>
      <c r="G417" s="381">
        <f>'Concept-Level Data'!T199</f>
        <v>2</v>
      </c>
      <c r="H417" s="240"/>
    </row>
    <row r="418" spans="2:8" hidden="1" x14ac:dyDescent="0.25">
      <c r="B418" s="251" t="str">
        <f>'Concept-Level Data'!A200</f>
        <v>Respondent 14</v>
      </c>
      <c r="C418" s="793" t="str">
        <f>'Concept-Level Data'!B200</f>
        <v>Stormwater Capture</v>
      </c>
      <c r="D418" s="794"/>
      <c r="E418" s="378">
        <f>'Concept-Level Data'!Q200</f>
        <v>4</v>
      </c>
      <c r="F418" s="387" t="str">
        <f>'Concept-Level Data'!R200</f>
        <v>MISSING</v>
      </c>
      <c r="G418" s="381">
        <f>'Concept-Level Data'!T200</f>
        <v>3</v>
      </c>
      <c r="H418" s="240"/>
    </row>
    <row r="419" spans="2:8" hidden="1" x14ac:dyDescent="0.25">
      <c r="B419" s="251" t="str">
        <f>'Concept-Level Data'!A201</f>
        <v>Respondent 14</v>
      </c>
      <c r="C419" s="793" t="str">
        <f>'Concept-Level Data'!B201</f>
        <v>Urban and Agricultural Water Use Efficiency</v>
      </c>
      <c r="D419" s="794"/>
      <c r="E419" s="378">
        <f>'Concept-Level Data'!Q201</f>
        <v>1</v>
      </c>
      <c r="F419" s="387">
        <f>'Concept-Level Data'!R201</f>
        <v>1</v>
      </c>
      <c r="G419" s="381">
        <f>'Concept-Level Data'!T201</f>
        <v>1</v>
      </c>
      <c r="H419" s="240"/>
    </row>
    <row r="420" spans="2:8" hidden="1" x14ac:dyDescent="0.25">
      <c r="B420" s="251" t="str">
        <f>'Concept-Level Data'!A202</f>
        <v>Respondent 14</v>
      </c>
      <c r="C420" s="793" t="str">
        <f>'Concept-Level Data'!B202</f>
        <v>Watershed and Ecosystem Management</v>
      </c>
      <c r="D420" s="794"/>
      <c r="E420" s="378">
        <f>'Concept-Level Data'!Q202</f>
        <v>3</v>
      </c>
      <c r="F420" s="387">
        <f>'Concept-Level Data'!R202</f>
        <v>3</v>
      </c>
      <c r="G420" s="381">
        <f>'Concept-Level Data'!T202</f>
        <v>2</v>
      </c>
      <c r="H420" s="240"/>
    </row>
    <row r="421" spans="2:8" hidden="1" x14ac:dyDescent="0.25">
      <c r="B421" s="251" t="str">
        <f>'Concept-Level Data'!A203</f>
        <v>Respondent 15</v>
      </c>
      <c r="C421" s="793" t="str">
        <f>'Concept-Level Data'!B203</f>
        <v>Conveyance Improvement</v>
      </c>
      <c r="D421" s="794"/>
      <c r="E421" s="378">
        <f>'Concept-Level Data'!Q203</f>
        <v>3</v>
      </c>
      <c r="F421" s="387" t="str">
        <f>'Concept-Level Data'!R203</f>
        <v>MISSING</v>
      </c>
      <c r="G421" s="381">
        <f>'Concept-Level Data'!T203</f>
        <v>4</v>
      </c>
      <c r="H421" s="240"/>
    </row>
    <row r="422" spans="2:8" hidden="1" x14ac:dyDescent="0.25">
      <c r="B422" s="251" t="str">
        <f>'Concept-Level Data'!A204</f>
        <v>Respondent 15</v>
      </c>
      <c r="C422" s="793" t="str">
        <f>'Concept-Level Data'!B204</f>
        <v>Drought Restriction/Allocation</v>
      </c>
      <c r="D422" s="794"/>
      <c r="E422" s="378">
        <f>'Concept-Level Data'!Q204</f>
        <v>1</v>
      </c>
      <c r="F422" s="387">
        <f>'Concept-Level Data'!R204</f>
        <v>1</v>
      </c>
      <c r="G422" s="381">
        <f>'Concept-Level Data'!T204</f>
        <v>5</v>
      </c>
      <c r="H422" s="240"/>
    </row>
    <row r="423" spans="2:8" hidden="1" x14ac:dyDescent="0.25">
      <c r="B423" s="251" t="str">
        <f>'Concept-Level Data'!A205</f>
        <v>Respondent 15</v>
      </c>
      <c r="C423" s="793" t="str">
        <f>'Concept-Level Data'!B205</f>
        <v>Firm Water Supply Agreements</v>
      </c>
      <c r="D423" s="794"/>
      <c r="E423" s="378">
        <f>'Concept-Level Data'!Q205</f>
        <v>5</v>
      </c>
      <c r="F423" s="387" t="str">
        <f>'Concept-Level Data'!R205</f>
        <v>MISSING</v>
      </c>
      <c r="G423" s="381">
        <f>'Concept-Level Data'!T205</f>
        <v>4</v>
      </c>
      <c r="H423" s="240"/>
    </row>
    <row r="424" spans="2:8" hidden="1" x14ac:dyDescent="0.25">
      <c r="B424" s="251" t="str">
        <f>'Concept-Level Data'!A206</f>
        <v>Respondent 15</v>
      </c>
      <c r="C424" s="793" t="str">
        <f>'Concept-Level Data'!B206</f>
        <v>Gray Water Use</v>
      </c>
      <c r="D424" s="794"/>
      <c r="E424" s="378">
        <f>'Concept-Level Data'!Q206</f>
        <v>2</v>
      </c>
      <c r="F424" s="387" t="str">
        <f>'Concept-Level Data'!R206</f>
        <v>MISSING</v>
      </c>
      <c r="G424" s="381">
        <f>'Concept-Level Data'!T206</f>
        <v>4</v>
      </c>
      <c r="H424" s="240"/>
    </row>
    <row r="425" spans="2:8" hidden="1" x14ac:dyDescent="0.25">
      <c r="B425" s="251" t="str">
        <f>'Concept-Level Data'!A207</f>
        <v>Respondent 15</v>
      </c>
      <c r="C425" s="793" t="str">
        <f>'Concept-Level Data'!B207</f>
        <v>Groundwater</v>
      </c>
      <c r="D425" s="794"/>
      <c r="E425" s="378">
        <f>'Concept-Level Data'!Q207</f>
        <v>5</v>
      </c>
      <c r="F425" s="387">
        <f>'Concept-Level Data'!R207</f>
        <v>4</v>
      </c>
      <c r="G425" s="381">
        <f>'Concept-Level Data'!T207</f>
        <v>5</v>
      </c>
      <c r="H425" s="240"/>
    </row>
    <row r="426" spans="2:8" hidden="1" x14ac:dyDescent="0.25">
      <c r="B426" s="251" t="str">
        <f>'Concept-Level Data'!A208</f>
        <v>Respondent 15</v>
      </c>
      <c r="C426" s="793" t="str">
        <f>'Concept-Level Data'!B208</f>
        <v>Imported Water Purchases</v>
      </c>
      <c r="D426" s="794"/>
      <c r="E426" s="378">
        <f>'Concept-Level Data'!Q208</f>
        <v>3</v>
      </c>
      <c r="F426" s="387" t="str">
        <f>'Concept-Level Data'!R208</f>
        <v>MISSING</v>
      </c>
      <c r="G426" s="381">
        <f>'Concept-Level Data'!T208</f>
        <v>1</v>
      </c>
      <c r="H426" s="240"/>
    </row>
    <row r="427" spans="2:8" hidden="1" x14ac:dyDescent="0.25">
      <c r="B427" s="251" t="str">
        <f>'Concept-Level Data'!A209</f>
        <v>Respondent 15</v>
      </c>
      <c r="C427" s="793" t="str">
        <f>'Concept-Level Data'!B209</f>
        <v>Local Surface Water Reservoirs</v>
      </c>
      <c r="D427" s="794"/>
      <c r="E427" s="378">
        <f>'Concept-Level Data'!Q209</f>
        <v>3</v>
      </c>
      <c r="F427" s="387" t="str">
        <f>'Concept-Level Data'!R209</f>
        <v>MISSING</v>
      </c>
      <c r="G427" s="381">
        <f>'Concept-Level Data'!T209</f>
        <v>4</v>
      </c>
      <c r="H427" s="240"/>
    </row>
    <row r="428" spans="2:8" hidden="1" x14ac:dyDescent="0.25">
      <c r="B428" s="251" t="str">
        <f>'Concept-Level Data'!A210</f>
        <v>Respondent 15</v>
      </c>
      <c r="C428" s="793" t="str">
        <f>'Concept-Level Data'!B210</f>
        <v>Potable Reuse</v>
      </c>
      <c r="D428" s="794"/>
      <c r="E428" s="378">
        <f>'Concept-Level Data'!Q210</f>
        <v>4</v>
      </c>
      <c r="F428" s="387">
        <f>'Concept-Level Data'!R210</f>
        <v>1</v>
      </c>
      <c r="G428" s="381">
        <f>'Concept-Level Data'!T210</f>
        <v>5</v>
      </c>
      <c r="H428" s="240"/>
    </row>
    <row r="429" spans="2:8" hidden="1" x14ac:dyDescent="0.25">
      <c r="B429" s="251" t="str">
        <f>'Concept-Level Data'!A211</f>
        <v>Respondent 15</v>
      </c>
      <c r="C429" s="793" t="str">
        <f>'Concept-Level Data'!B211</f>
        <v>Recycled Water</v>
      </c>
      <c r="D429" s="794"/>
      <c r="E429" s="378">
        <f>'Concept-Level Data'!Q211</f>
        <v>2</v>
      </c>
      <c r="F429" s="387">
        <f>'Concept-Level Data'!R211</f>
        <v>4</v>
      </c>
      <c r="G429" s="381">
        <f>'Concept-Level Data'!T211</f>
        <v>2</v>
      </c>
      <c r="H429" s="240"/>
    </row>
    <row r="430" spans="2:8" hidden="1" x14ac:dyDescent="0.25">
      <c r="B430" s="251" t="str">
        <f>'Concept-Level Data'!A212</f>
        <v>Respondent 15</v>
      </c>
      <c r="C430" s="793" t="str">
        <f>'Concept-Level Data'!B212</f>
        <v>Seawater Desalination</v>
      </c>
      <c r="D430" s="794"/>
      <c r="E430" s="378">
        <f>'Concept-Level Data'!Q212</f>
        <v>5</v>
      </c>
      <c r="F430" s="387">
        <f>'Concept-Level Data'!R212</f>
        <v>3</v>
      </c>
      <c r="G430" s="381">
        <f>'Concept-Level Data'!T212</f>
        <v>5</v>
      </c>
      <c r="H430" s="240"/>
    </row>
    <row r="431" spans="2:8" hidden="1" x14ac:dyDescent="0.25">
      <c r="B431" s="251" t="str">
        <f>'Concept-Level Data'!A213</f>
        <v>Respondent 15</v>
      </c>
      <c r="C431" s="793" t="str">
        <f>'Concept-Level Data'!B213</f>
        <v>Stormwater BMPs</v>
      </c>
      <c r="D431" s="794"/>
      <c r="E431" s="378">
        <f>'Concept-Level Data'!Q213</f>
        <v>3</v>
      </c>
      <c r="F431" s="387">
        <f>'Concept-Level Data'!R213</f>
        <v>3</v>
      </c>
      <c r="G431" s="381">
        <f>'Concept-Level Data'!T213</f>
        <v>4</v>
      </c>
      <c r="H431" s="240"/>
    </row>
    <row r="432" spans="2:8" hidden="1" x14ac:dyDescent="0.25">
      <c r="B432" s="251" t="str">
        <f>'Concept-Level Data'!A214</f>
        <v>Respondent 15</v>
      </c>
      <c r="C432" s="793" t="str">
        <f>'Concept-Level Data'!B214</f>
        <v>Stormwater Capture</v>
      </c>
      <c r="D432" s="794"/>
      <c r="E432" s="378">
        <f>'Concept-Level Data'!Q214</f>
        <v>3</v>
      </c>
      <c r="F432" s="387" t="str">
        <f>'Concept-Level Data'!R214</f>
        <v>MISSING</v>
      </c>
      <c r="G432" s="381">
        <f>'Concept-Level Data'!T214</f>
        <v>3</v>
      </c>
      <c r="H432" s="240"/>
    </row>
    <row r="433" spans="2:8" hidden="1" x14ac:dyDescent="0.25">
      <c r="B433" s="251" t="str">
        <f>'Concept-Level Data'!A215</f>
        <v>Respondent 15</v>
      </c>
      <c r="C433" s="793" t="str">
        <f>'Concept-Level Data'!B215</f>
        <v>Urban and Agricultural Water Use Efficiency</v>
      </c>
      <c r="D433" s="794"/>
      <c r="E433" s="378">
        <f>'Concept-Level Data'!Q215</f>
        <v>2</v>
      </c>
      <c r="F433" s="387">
        <f>'Concept-Level Data'!R215</f>
        <v>4</v>
      </c>
      <c r="G433" s="381">
        <f>'Concept-Level Data'!T215</f>
        <v>5</v>
      </c>
      <c r="H433" s="240"/>
    </row>
    <row r="434" spans="2:8" hidden="1" x14ac:dyDescent="0.25">
      <c r="B434" s="251" t="str">
        <f>'Concept-Level Data'!A216</f>
        <v>Respondent 15</v>
      </c>
      <c r="C434" s="793" t="str">
        <f>'Concept-Level Data'!B216</f>
        <v>Watershed and Ecosystem Management</v>
      </c>
      <c r="D434" s="794"/>
      <c r="E434" s="378">
        <f>'Concept-Level Data'!Q216</f>
        <v>5</v>
      </c>
      <c r="F434" s="387">
        <f>'Concept-Level Data'!R216</f>
        <v>4</v>
      </c>
      <c r="G434" s="381">
        <f>'Concept-Level Data'!T216</f>
        <v>4</v>
      </c>
      <c r="H434" s="240"/>
    </row>
    <row r="435" spans="2:8" hidden="1" x14ac:dyDescent="0.25">
      <c r="B435" s="251" t="str">
        <f>'Concept-Level Data'!A217</f>
        <v>Respondent 16</v>
      </c>
      <c r="C435" s="793" t="str">
        <f>'Concept-Level Data'!B217</f>
        <v>Conveyance Improvement</v>
      </c>
      <c r="D435" s="794"/>
      <c r="E435" s="378">
        <f>'Concept-Level Data'!Q217</f>
        <v>3</v>
      </c>
      <c r="F435" s="387" t="str">
        <f>'Concept-Level Data'!R217</f>
        <v>MISSING</v>
      </c>
      <c r="G435" s="381">
        <f>'Concept-Level Data'!T217</f>
        <v>3</v>
      </c>
      <c r="H435" s="240"/>
    </row>
    <row r="436" spans="2:8" hidden="1" x14ac:dyDescent="0.25">
      <c r="B436" s="251" t="str">
        <f>'Concept-Level Data'!A218</f>
        <v>Respondent 16</v>
      </c>
      <c r="C436" s="793" t="str">
        <f>'Concept-Level Data'!B218</f>
        <v>Drought Restriction/Allocation</v>
      </c>
      <c r="D436" s="794"/>
      <c r="E436" s="378">
        <f>'Concept-Level Data'!Q218</f>
        <v>3</v>
      </c>
      <c r="F436" s="387">
        <f>'Concept-Level Data'!R218</f>
        <v>1</v>
      </c>
      <c r="G436" s="381">
        <f>'Concept-Level Data'!T218</f>
        <v>4</v>
      </c>
      <c r="H436" s="240"/>
    </row>
    <row r="437" spans="2:8" hidden="1" x14ac:dyDescent="0.25">
      <c r="B437" s="251" t="str">
        <f>'Concept-Level Data'!A219</f>
        <v>Respondent 16</v>
      </c>
      <c r="C437" s="793" t="str">
        <f>'Concept-Level Data'!B219</f>
        <v>Firm Water Supply Agreements</v>
      </c>
      <c r="D437" s="794"/>
      <c r="E437" s="378">
        <f>'Concept-Level Data'!Q219</f>
        <v>3</v>
      </c>
      <c r="F437" s="387" t="str">
        <f>'Concept-Level Data'!R219</f>
        <v>MISSING</v>
      </c>
      <c r="G437" s="381" t="str">
        <f>'Concept-Level Data'!T219</f>
        <v>MISSING</v>
      </c>
      <c r="H437" s="240"/>
    </row>
    <row r="438" spans="2:8" hidden="1" x14ac:dyDescent="0.25">
      <c r="B438" s="251" t="str">
        <f>'Concept-Level Data'!A220</f>
        <v>Respondent 16</v>
      </c>
      <c r="C438" s="793" t="str">
        <f>'Concept-Level Data'!B220</f>
        <v>Gray Water Use</v>
      </c>
      <c r="D438" s="794"/>
      <c r="E438" s="378">
        <f>'Concept-Level Data'!Q220</f>
        <v>3</v>
      </c>
      <c r="F438" s="387">
        <f>'Concept-Level Data'!R220</f>
        <v>1</v>
      </c>
      <c r="G438" s="381" t="str">
        <f>'Concept-Level Data'!T220</f>
        <v>MISSING</v>
      </c>
      <c r="H438" s="240"/>
    </row>
    <row r="439" spans="2:8" hidden="1" x14ac:dyDescent="0.25">
      <c r="B439" s="251" t="str">
        <f>'Concept-Level Data'!A221</f>
        <v>Respondent 16</v>
      </c>
      <c r="C439" s="793" t="str">
        <f>'Concept-Level Data'!B221</f>
        <v>Groundwater</v>
      </c>
      <c r="D439" s="794"/>
      <c r="E439" s="378">
        <f>'Concept-Level Data'!Q221</f>
        <v>3</v>
      </c>
      <c r="F439" s="387" t="str">
        <f>'Concept-Level Data'!R221</f>
        <v>MISSING</v>
      </c>
      <c r="G439" s="381" t="str">
        <f>'Concept-Level Data'!T221</f>
        <v>MISSING</v>
      </c>
      <c r="H439" s="240"/>
    </row>
    <row r="440" spans="2:8" hidden="1" x14ac:dyDescent="0.25">
      <c r="B440" s="251" t="str">
        <f>'Concept-Level Data'!A222</f>
        <v>Respondent 16</v>
      </c>
      <c r="C440" s="793" t="str">
        <f>'Concept-Level Data'!B222</f>
        <v>Imported Water Purchases</v>
      </c>
      <c r="D440" s="794"/>
      <c r="E440" s="378">
        <f>'Concept-Level Data'!Q222</f>
        <v>3</v>
      </c>
      <c r="F440" s="387">
        <f>'Concept-Level Data'!R222</f>
        <v>1</v>
      </c>
      <c r="G440" s="381" t="str">
        <f>'Concept-Level Data'!T222</f>
        <v>MISSING</v>
      </c>
      <c r="H440" s="240"/>
    </row>
    <row r="441" spans="2:8" hidden="1" x14ac:dyDescent="0.25">
      <c r="B441" s="251" t="str">
        <f>'Concept-Level Data'!A223</f>
        <v>Respondent 16</v>
      </c>
      <c r="C441" s="793" t="str">
        <f>'Concept-Level Data'!B223</f>
        <v>Local Surface Water Reservoirs</v>
      </c>
      <c r="D441" s="794"/>
      <c r="E441" s="378">
        <f>'Concept-Level Data'!Q223</f>
        <v>3</v>
      </c>
      <c r="F441" s="387">
        <f>'Concept-Level Data'!R223</f>
        <v>4</v>
      </c>
      <c r="G441" s="381" t="str">
        <f>'Concept-Level Data'!T223</f>
        <v>MISSING</v>
      </c>
      <c r="H441" s="240"/>
    </row>
    <row r="442" spans="2:8" hidden="1" x14ac:dyDescent="0.25">
      <c r="B442" s="251" t="str">
        <f>'Concept-Level Data'!A224</f>
        <v>Respondent 16</v>
      </c>
      <c r="C442" s="793" t="str">
        <f>'Concept-Level Data'!B224</f>
        <v>Potable Reuse</v>
      </c>
      <c r="D442" s="794"/>
      <c r="E442" s="378">
        <f>'Concept-Level Data'!Q224</f>
        <v>3</v>
      </c>
      <c r="F442" s="387" t="str">
        <f>'Concept-Level Data'!R224</f>
        <v>MISSING</v>
      </c>
      <c r="G442" s="381" t="str">
        <f>'Concept-Level Data'!T224</f>
        <v>MISSING</v>
      </c>
      <c r="H442" s="240"/>
    </row>
    <row r="443" spans="2:8" hidden="1" x14ac:dyDescent="0.25">
      <c r="B443" s="251" t="str">
        <f>'Concept-Level Data'!A225</f>
        <v>Respondent 16</v>
      </c>
      <c r="C443" s="793" t="str">
        <f>'Concept-Level Data'!B225</f>
        <v>Recycled Water</v>
      </c>
      <c r="D443" s="794"/>
      <c r="E443" s="378">
        <f>'Concept-Level Data'!Q225</f>
        <v>3</v>
      </c>
      <c r="F443" s="387" t="str">
        <f>'Concept-Level Data'!R225</f>
        <v>MISSING</v>
      </c>
      <c r="G443" s="381" t="str">
        <f>'Concept-Level Data'!T225</f>
        <v>MISSING</v>
      </c>
      <c r="H443" s="240"/>
    </row>
    <row r="444" spans="2:8" hidden="1" x14ac:dyDescent="0.25">
      <c r="B444" s="251" t="str">
        <f>'Concept-Level Data'!A226</f>
        <v>Respondent 16</v>
      </c>
      <c r="C444" s="793" t="str">
        <f>'Concept-Level Data'!B226</f>
        <v>Seawater Desalination</v>
      </c>
      <c r="D444" s="794"/>
      <c r="E444" s="378">
        <f>'Concept-Level Data'!Q226</f>
        <v>3</v>
      </c>
      <c r="F444" s="387" t="str">
        <f>'Concept-Level Data'!R226</f>
        <v>MISSING</v>
      </c>
      <c r="G444" s="381" t="str">
        <f>'Concept-Level Data'!T226</f>
        <v>MISSING</v>
      </c>
      <c r="H444" s="240"/>
    </row>
    <row r="445" spans="2:8" hidden="1" x14ac:dyDescent="0.25">
      <c r="B445" s="251" t="str">
        <f>'Concept-Level Data'!A227</f>
        <v>Respondent 16</v>
      </c>
      <c r="C445" s="793" t="str">
        <f>'Concept-Level Data'!B227</f>
        <v>Stormwater BMPs</v>
      </c>
      <c r="D445" s="794"/>
      <c r="E445" s="378">
        <f>'Concept-Level Data'!Q227</f>
        <v>3</v>
      </c>
      <c r="F445" s="387" t="str">
        <f>'Concept-Level Data'!R227</f>
        <v>MISSING</v>
      </c>
      <c r="G445" s="381" t="str">
        <f>'Concept-Level Data'!T227</f>
        <v>MISSING</v>
      </c>
      <c r="H445" s="240"/>
    </row>
    <row r="446" spans="2:8" hidden="1" x14ac:dyDescent="0.25">
      <c r="B446" s="251" t="str">
        <f>'Concept-Level Data'!A228</f>
        <v>Respondent 16</v>
      </c>
      <c r="C446" s="793" t="str">
        <f>'Concept-Level Data'!B228</f>
        <v>Stormwater Capture</v>
      </c>
      <c r="D446" s="794"/>
      <c r="E446" s="378">
        <f>'Concept-Level Data'!Q228</f>
        <v>3</v>
      </c>
      <c r="F446" s="387" t="str">
        <f>'Concept-Level Data'!R228</f>
        <v>MISSING</v>
      </c>
      <c r="G446" s="381" t="str">
        <f>'Concept-Level Data'!T228</f>
        <v>MISSING</v>
      </c>
      <c r="H446" s="240"/>
    </row>
    <row r="447" spans="2:8" hidden="1" x14ac:dyDescent="0.25">
      <c r="B447" s="251" t="str">
        <f>'Concept-Level Data'!A229</f>
        <v>Respondent 16</v>
      </c>
      <c r="C447" s="793" t="str">
        <f>'Concept-Level Data'!B229</f>
        <v>Urban and Agricultural Water Use Efficiency</v>
      </c>
      <c r="D447" s="794"/>
      <c r="E447" s="378">
        <f>'Concept-Level Data'!Q229</f>
        <v>3</v>
      </c>
      <c r="F447" s="387">
        <f>'Concept-Level Data'!R229</f>
        <v>1</v>
      </c>
      <c r="G447" s="381" t="str">
        <f>'Concept-Level Data'!T229</f>
        <v>MISSING</v>
      </c>
      <c r="H447" s="240"/>
    </row>
    <row r="448" spans="2:8" ht="15.75" hidden="1" thickBot="1" x14ac:dyDescent="0.3">
      <c r="B448" s="252" t="str">
        <f>'Concept-Level Data'!A230</f>
        <v>Respondent 16</v>
      </c>
      <c r="C448" s="791" t="str">
        <f>'Concept-Level Data'!B230</f>
        <v>Watershed and Ecosystem Management</v>
      </c>
      <c r="D448" s="792"/>
      <c r="E448" s="382">
        <f>'Concept-Level Data'!Q230</f>
        <v>3</v>
      </c>
      <c r="F448" s="388">
        <f>'Concept-Level Data'!R230</f>
        <v>1</v>
      </c>
      <c r="G448" s="385" t="str">
        <f>'Concept-Level Data'!T230</f>
        <v>MISSING</v>
      </c>
      <c r="H448" s="240"/>
    </row>
    <row r="449" spans="2:7" hidden="1" x14ac:dyDescent="0.25">
      <c r="B449" s="548"/>
      <c r="C449" s="515" t="s">
        <v>855</v>
      </c>
      <c r="D449" s="515"/>
      <c r="E449" s="485">
        <f>COUNTIFS(E225:E448, "=MISSING")</f>
        <v>1</v>
      </c>
      <c r="F449" s="535">
        <f t="shared" ref="F449:G449" si="29">COUNTIFS(F225:F448, "=MISSING")</f>
        <v>95</v>
      </c>
      <c r="G449" s="398">
        <f t="shared" si="29"/>
        <v>27</v>
      </c>
    </row>
    <row r="450" spans="2:7" hidden="1" x14ac:dyDescent="0.25">
      <c r="B450" s="549"/>
      <c r="C450" s="516" t="s">
        <v>856</v>
      </c>
      <c r="D450" s="516"/>
      <c r="E450" s="378">
        <f>COUNTIFS(E225:E448, "=No Response")</f>
        <v>0</v>
      </c>
      <c r="F450" s="387">
        <f t="shared" ref="F450:G450" si="30">COUNTIFS(F225:F448, "=No Response")</f>
        <v>0</v>
      </c>
      <c r="G450" s="381">
        <f t="shared" si="30"/>
        <v>0</v>
      </c>
    </row>
    <row r="451" spans="2:7" hidden="1" x14ac:dyDescent="0.25">
      <c r="B451" s="549"/>
      <c r="C451" s="516" t="s">
        <v>858</v>
      </c>
      <c r="D451" s="516"/>
      <c r="E451" s="378">
        <f>COUNTIFS(E225:E448, "=REMOVED")</f>
        <v>0</v>
      </c>
      <c r="F451" s="387">
        <f t="shared" ref="F451:G451" si="31">COUNTIFS(F225:F448, "=REMOVED")</f>
        <v>0</v>
      </c>
      <c r="G451" s="381">
        <f t="shared" si="31"/>
        <v>0</v>
      </c>
    </row>
    <row r="452" spans="2:7" ht="15.75" hidden="1" thickBot="1" x14ac:dyDescent="0.3">
      <c r="B452" s="550"/>
      <c r="C452" s="517" t="s">
        <v>859</v>
      </c>
      <c r="D452" s="517"/>
      <c r="E452" s="382">
        <f>COUNTIFS(E225:E448, "&gt;0")</f>
        <v>223</v>
      </c>
      <c r="F452" s="388">
        <f t="shared" ref="F452:G452" si="32">COUNTIFS(F225:F448, "&gt;0")</f>
        <v>129</v>
      </c>
      <c r="G452" s="385">
        <f t="shared" si="32"/>
        <v>197</v>
      </c>
    </row>
  </sheetData>
  <sheetProtection algorithmName="SHA-512" hashValue="iJy4CnVO6zOGpB/TtHcWg8fjlBih3V2VQLQ8/woPuY50LXGFOEP60ms4NaWw/3EfL3LZtDL17sZKu3IW98sX9A==" saltValue="uD5smnuWjoeYbT5jIoul+Q==" spinCount="100000" sheet="1" objects="1" scenarios="1"/>
  <mergeCells count="230">
    <mergeCell ref="C225:D225"/>
    <mergeCell ref="C226:D226"/>
    <mergeCell ref="C227:D227"/>
    <mergeCell ref="B3:I3"/>
    <mergeCell ref="E95:F95"/>
    <mergeCell ref="E223:F223"/>
    <mergeCell ref="B95:B96"/>
    <mergeCell ref="B223:B224"/>
    <mergeCell ref="C223:D224"/>
    <mergeCell ref="C233:D233"/>
    <mergeCell ref="C234:D234"/>
    <mergeCell ref="C235:D235"/>
    <mergeCell ref="C236:D236"/>
    <mergeCell ref="C237:D237"/>
    <mergeCell ref="C228:D228"/>
    <mergeCell ref="C229:D229"/>
    <mergeCell ref="C230:D230"/>
    <mergeCell ref="C231:D231"/>
    <mergeCell ref="C232:D232"/>
    <mergeCell ref="C243:D243"/>
    <mergeCell ref="C244:D244"/>
    <mergeCell ref="C245:D245"/>
    <mergeCell ref="C246:D246"/>
    <mergeCell ref="C247:D247"/>
    <mergeCell ref="C238:D238"/>
    <mergeCell ref="C239:D239"/>
    <mergeCell ref="C240:D240"/>
    <mergeCell ref="C241:D241"/>
    <mergeCell ref="C242:D242"/>
    <mergeCell ref="C253:D253"/>
    <mergeCell ref="C254:D254"/>
    <mergeCell ref="C255:D255"/>
    <mergeCell ref="C256:D256"/>
    <mergeCell ref="C257:D257"/>
    <mergeCell ref="C248:D248"/>
    <mergeCell ref="C249:D249"/>
    <mergeCell ref="C250:D250"/>
    <mergeCell ref="C251:D251"/>
    <mergeCell ref="C252:D252"/>
    <mergeCell ref="C263:D263"/>
    <mergeCell ref="C264:D264"/>
    <mergeCell ref="C265:D265"/>
    <mergeCell ref="C266:D266"/>
    <mergeCell ref="C267:D267"/>
    <mergeCell ref="C258:D258"/>
    <mergeCell ref="C259:D259"/>
    <mergeCell ref="C260:D260"/>
    <mergeCell ref="C261:D261"/>
    <mergeCell ref="C262:D262"/>
    <mergeCell ref="C273:D273"/>
    <mergeCell ref="C274:D274"/>
    <mergeCell ref="C275:D275"/>
    <mergeCell ref="C276:D276"/>
    <mergeCell ref="C277:D277"/>
    <mergeCell ref="C268:D268"/>
    <mergeCell ref="C269:D269"/>
    <mergeCell ref="C270:D270"/>
    <mergeCell ref="C271:D271"/>
    <mergeCell ref="C272:D272"/>
    <mergeCell ref="C283:D283"/>
    <mergeCell ref="C284:D284"/>
    <mergeCell ref="C285:D285"/>
    <mergeCell ref="C286:D286"/>
    <mergeCell ref="C287:D287"/>
    <mergeCell ref="C278:D278"/>
    <mergeCell ref="C279:D279"/>
    <mergeCell ref="C280:D280"/>
    <mergeCell ref="C281:D281"/>
    <mergeCell ref="C282:D282"/>
    <mergeCell ref="C293:D293"/>
    <mergeCell ref="C294:D294"/>
    <mergeCell ref="C295:D295"/>
    <mergeCell ref="C296:D296"/>
    <mergeCell ref="C297:D297"/>
    <mergeCell ref="C288:D288"/>
    <mergeCell ref="C289:D289"/>
    <mergeCell ref="C290:D290"/>
    <mergeCell ref="C291:D291"/>
    <mergeCell ref="C292:D292"/>
    <mergeCell ref="C303:D303"/>
    <mergeCell ref="C304:D304"/>
    <mergeCell ref="C305:D305"/>
    <mergeCell ref="C306:D306"/>
    <mergeCell ref="C307:D307"/>
    <mergeCell ref="C298:D298"/>
    <mergeCell ref="C299:D299"/>
    <mergeCell ref="C300:D300"/>
    <mergeCell ref="C301:D301"/>
    <mergeCell ref="C302:D302"/>
    <mergeCell ref="C313:D313"/>
    <mergeCell ref="C314:D314"/>
    <mergeCell ref="C315:D315"/>
    <mergeCell ref="C316:D316"/>
    <mergeCell ref="C317:D317"/>
    <mergeCell ref="C308:D308"/>
    <mergeCell ref="C309:D309"/>
    <mergeCell ref="C310:D310"/>
    <mergeCell ref="C311:D311"/>
    <mergeCell ref="C312:D312"/>
    <mergeCell ref="C323:D323"/>
    <mergeCell ref="C324:D324"/>
    <mergeCell ref="C325:D325"/>
    <mergeCell ref="C326:D326"/>
    <mergeCell ref="C327:D327"/>
    <mergeCell ref="C318:D318"/>
    <mergeCell ref="C319:D319"/>
    <mergeCell ref="C320:D320"/>
    <mergeCell ref="C321:D321"/>
    <mergeCell ref="C322:D322"/>
    <mergeCell ref="C333:D333"/>
    <mergeCell ref="C334:D334"/>
    <mergeCell ref="C335:D335"/>
    <mergeCell ref="C336:D336"/>
    <mergeCell ref="C337:D337"/>
    <mergeCell ref="C328:D328"/>
    <mergeCell ref="C329:D329"/>
    <mergeCell ref="C330:D330"/>
    <mergeCell ref="C331:D331"/>
    <mergeCell ref="C332:D332"/>
    <mergeCell ref="C343:D343"/>
    <mergeCell ref="C344:D344"/>
    <mergeCell ref="C345:D345"/>
    <mergeCell ref="C346:D346"/>
    <mergeCell ref="C347:D347"/>
    <mergeCell ref="C338:D338"/>
    <mergeCell ref="C339:D339"/>
    <mergeCell ref="C340:D340"/>
    <mergeCell ref="C341:D341"/>
    <mergeCell ref="C342:D342"/>
    <mergeCell ref="C353:D353"/>
    <mergeCell ref="C354:D354"/>
    <mergeCell ref="C355:D355"/>
    <mergeCell ref="C356:D356"/>
    <mergeCell ref="C357:D357"/>
    <mergeCell ref="C348:D348"/>
    <mergeCell ref="C349:D349"/>
    <mergeCell ref="C350:D350"/>
    <mergeCell ref="C351:D351"/>
    <mergeCell ref="C352:D352"/>
    <mergeCell ref="C363:D363"/>
    <mergeCell ref="C364:D364"/>
    <mergeCell ref="C365:D365"/>
    <mergeCell ref="C366:D366"/>
    <mergeCell ref="C367:D367"/>
    <mergeCell ref="C358:D358"/>
    <mergeCell ref="C359:D359"/>
    <mergeCell ref="C360:D360"/>
    <mergeCell ref="C361:D361"/>
    <mergeCell ref="C362:D362"/>
    <mergeCell ref="C373:D373"/>
    <mergeCell ref="C374:D374"/>
    <mergeCell ref="C375:D375"/>
    <mergeCell ref="C376:D376"/>
    <mergeCell ref="C377:D377"/>
    <mergeCell ref="C368:D368"/>
    <mergeCell ref="C369:D369"/>
    <mergeCell ref="C370:D370"/>
    <mergeCell ref="C371:D371"/>
    <mergeCell ref="C372:D372"/>
    <mergeCell ref="C383:D383"/>
    <mergeCell ref="C384:D384"/>
    <mergeCell ref="C385:D385"/>
    <mergeCell ref="C386:D386"/>
    <mergeCell ref="C387:D387"/>
    <mergeCell ref="C378:D378"/>
    <mergeCell ref="C379:D379"/>
    <mergeCell ref="C380:D380"/>
    <mergeCell ref="C381:D381"/>
    <mergeCell ref="C382:D382"/>
    <mergeCell ref="C393:D393"/>
    <mergeCell ref="C394:D394"/>
    <mergeCell ref="C395:D395"/>
    <mergeCell ref="C396:D396"/>
    <mergeCell ref="C397:D397"/>
    <mergeCell ref="C388:D388"/>
    <mergeCell ref="C389:D389"/>
    <mergeCell ref="C390:D390"/>
    <mergeCell ref="C391:D391"/>
    <mergeCell ref="C392:D392"/>
    <mergeCell ref="C403:D403"/>
    <mergeCell ref="C404:D404"/>
    <mergeCell ref="C405:D405"/>
    <mergeCell ref="C406:D406"/>
    <mergeCell ref="C407:D407"/>
    <mergeCell ref="C398:D398"/>
    <mergeCell ref="C399:D399"/>
    <mergeCell ref="C400:D400"/>
    <mergeCell ref="C401:D401"/>
    <mergeCell ref="C402:D402"/>
    <mergeCell ref="C413:D413"/>
    <mergeCell ref="C414:D414"/>
    <mergeCell ref="C415:D415"/>
    <mergeCell ref="C416:D416"/>
    <mergeCell ref="C417:D417"/>
    <mergeCell ref="C408:D408"/>
    <mergeCell ref="C409:D409"/>
    <mergeCell ref="C410:D410"/>
    <mergeCell ref="C411:D411"/>
    <mergeCell ref="C412:D412"/>
    <mergeCell ref="C423:D423"/>
    <mergeCell ref="C424:D424"/>
    <mergeCell ref="C425:D425"/>
    <mergeCell ref="C426:D426"/>
    <mergeCell ref="C427:D427"/>
    <mergeCell ref="C418:D418"/>
    <mergeCell ref="C419:D419"/>
    <mergeCell ref="C420:D420"/>
    <mergeCell ref="C421:D421"/>
    <mergeCell ref="C422:D422"/>
    <mergeCell ref="C433:D433"/>
    <mergeCell ref="C434:D434"/>
    <mergeCell ref="C435:D435"/>
    <mergeCell ref="C436:D436"/>
    <mergeCell ref="C437:D437"/>
    <mergeCell ref="C428:D428"/>
    <mergeCell ref="C429:D429"/>
    <mergeCell ref="C430:D430"/>
    <mergeCell ref="C431:D431"/>
    <mergeCell ref="C432:D432"/>
    <mergeCell ref="C448:D448"/>
    <mergeCell ref="C443:D443"/>
    <mergeCell ref="C444:D444"/>
    <mergeCell ref="C445:D445"/>
    <mergeCell ref="C446:D446"/>
    <mergeCell ref="C447:D447"/>
    <mergeCell ref="C438:D438"/>
    <mergeCell ref="C439:D439"/>
    <mergeCell ref="C440:D440"/>
    <mergeCell ref="C441:D441"/>
    <mergeCell ref="C442:D442"/>
  </mergeCells>
  <pageMargins left="0.7" right="0.7" top="0.75" bottom="0.75" header="0.3" footer="0.3"/>
  <pageSetup paperSize="3" scale="49"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'Data Validation Sheet'!$B$3:$B$4</xm:f>
          </x14:formula1>
          <xm:sqref>H53:H64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8"/>
    <pageSetUpPr fitToPage="1"/>
  </sheetPr>
  <dimension ref="A1:M499"/>
  <sheetViews>
    <sheetView showGridLines="0" topLeftCell="A51" zoomScale="80" zoomScaleNormal="80" workbookViewId="0">
      <selection activeCell="F25" sqref="F1:P1048576"/>
    </sheetView>
  </sheetViews>
  <sheetFormatPr defaultRowHeight="15" x14ac:dyDescent="0.25"/>
  <cols>
    <col min="1" max="1" width="5.7109375" customWidth="1"/>
    <col min="2" max="2" width="45.7109375" customWidth="1"/>
    <col min="3" max="7" width="20.7109375" customWidth="1"/>
    <col min="8" max="8" width="20.7109375" hidden="1" customWidth="1"/>
    <col min="9" max="9" width="20.7109375" customWidth="1"/>
    <col min="10" max="10" width="7.140625" customWidth="1"/>
    <col min="11" max="11" width="3.42578125" style="49" customWidth="1"/>
    <col min="12" max="12" width="5.5703125" customWidth="1"/>
    <col min="13" max="13" width="14.85546875" customWidth="1"/>
  </cols>
  <sheetData>
    <row r="1" spans="1:12" s="96" customFormat="1" ht="15.75" x14ac:dyDescent="0.25">
      <c r="A1" s="56" t="s">
        <v>243</v>
      </c>
    </row>
    <row r="2" spans="1:12" s="96" customFormat="1" ht="26.25" x14ac:dyDescent="0.4">
      <c r="A2" s="112" t="s">
        <v>1008</v>
      </c>
    </row>
    <row r="3" spans="1:12" s="49" customFormat="1" ht="14.25" customHeight="1" x14ac:dyDescent="0.5">
      <c r="B3" s="797"/>
      <c r="C3" s="797"/>
      <c r="D3" s="797"/>
      <c r="E3" s="797"/>
      <c r="F3" s="797"/>
      <c r="G3" s="797"/>
      <c r="H3" s="797"/>
      <c r="I3" s="797"/>
      <c r="J3" s="797"/>
      <c r="K3" s="797"/>
      <c r="L3" s="797"/>
    </row>
    <row r="4" spans="1:12" s="10" customFormat="1" ht="18" customHeight="1" x14ac:dyDescent="0.3">
      <c r="A4" s="47" t="s">
        <v>961</v>
      </c>
      <c r="C4" s="4"/>
      <c r="D4" s="46"/>
      <c r="E4" s="46"/>
      <c r="F4" s="46"/>
      <c r="G4" s="46"/>
      <c r="H4" s="46"/>
      <c r="I4" s="46"/>
      <c r="K4" s="50"/>
      <c r="L4" s="45" t="s">
        <v>120</v>
      </c>
    </row>
    <row r="5" spans="1:12" s="10" customFormat="1" ht="14.25" customHeight="1" x14ac:dyDescent="0.3">
      <c r="B5" s="47"/>
      <c r="C5" s="4"/>
      <c r="D5" s="46"/>
      <c r="E5" s="46"/>
      <c r="F5" s="46"/>
      <c r="G5" s="46"/>
      <c r="H5" s="46"/>
      <c r="I5" s="46"/>
      <c r="K5" s="50"/>
      <c r="L5" s="46"/>
    </row>
    <row r="6" spans="1:12" s="10" customFormat="1" ht="14.25" customHeight="1" thickBot="1" x14ac:dyDescent="0.3">
      <c r="B6" s="46" t="s">
        <v>975</v>
      </c>
      <c r="C6" s="46"/>
      <c r="D6" s="46"/>
      <c r="E6"/>
      <c r="F6"/>
      <c r="G6"/>
      <c r="H6"/>
      <c r="I6"/>
      <c r="J6"/>
      <c r="K6" s="50"/>
      <c r="L6" s="46"/>
    </row>
    <row r="7" spans="1:12" s="10" customFormat="1" ht="75" x14ac:dyDescent="0.25">
      <c r="B7" s="25" t="s">
        <v>6</v>
      </c>
      <c r="C7" s="421" t="s">
        <v>950</v>
      </c>
      <c r="D7" s="34" t="s">
        <v>220</v>
      </c>
      <c r="E7" s="14"/>
      <c r="F7" s="14"/>
      <c r="G7" s="14"/>
      <c r="H7" s="14"/>
      <c r="I7" s="14"/>
      <c r="J7" s="14"/>
      <c r="K7" s="50"/>
      <c r="L7" s="46"/>
    </row>
    <row r="8" spans="1:12" s="10" customFormat="1" ht="15" customHeight="1" x14ac:dyDescent="0.25">
      <c r="B8" s="19" t="s">
        <v>7</v>
      </c>
      <c r="C8" s="144">
        <v>245.80788904493147</v>
      </c>
      <c r="D8" s="39">
        <f>3+((2)*((C8)/(MAX($C$8:$C$19))))</f>
        <v>3.1038538175342545</v>
      </c>
      <c r="E8"/>
      <c r="F8"/>
      <c r="G8"/>
      <c r="H8"/>
      <c r="I8"/>
      <c r="J8"/>
      <c r="K8" s="50"/>
      <c r="L8" s="46"/>
    </row>
    <row r="9" spans="1:12" s="10" customFormat="1" ht="15" customHeight="1" x14ac:dyDescent="0.25">
      <c r="B9" s="19" t="s">
        <v>34</v>
      </c>
      <c r="C9" s="144">
        <v>4733.7285211274157</v>
      </c>
      <c r="D9" s="39">
        <f t="shared" ref="D9:D19" si="0">3+((2)*((C9)/(MAX($C$8:$C$19))))</f>
        <v>5</v>
      </c>
      <c r="E9"/>
      <c r="F9"/>
      <c r="G9"/>
      <c r="H9"/>
      <c r="I9"/>
      <c r="J9"/>
      <c r="K9" s="50"/>
    </row>
    <row r="10" spans="1:12" s="10" customFormat="1" ht="15" customHeight="1" x14ac:dyDescent="0.25">
      <c r="B10" s="19" t="s">
        <v>8</v>
      </c>
      <c r="C10" s="144">
        <v>399.93356873443008</v>
      </c>
      <c r="D10" s="39">
        <f t="shared" si="0"/>
        <v>3.1689719074296128</v>
      </c>
      <c r="E10"/>
      <c r="F10"/>
      <c r="G10"/>
      <c r="H10"/>
      <c r="I10"/>
      <c r="J10"/>
      <c r="K10" s="50"/>
    </row>
    <row r="11" spans="1:12" s="10" customFormat="1" ht="15" customHeight="1" x14ac:dyDescent="0.25">
      <c r="B11" s="19" t="s">
        <v>9</v>
      </c>
      <c r="C11" s="144">
        <v>1913.6225624719827</v>
      </c>
      <c r="D11" s="39">
        <f t="shared" si="0"/>
        <v>3.8085054112973178</v>
      </c>
      <c r="E11"/>
      <c r="F11"/>
      <c r="G11"/>
      <c r="H11"/>
      <c r="I11"/>
      <c r="J11"/>
      <c r="K11" s="50"/>
    </row>
    <row r="12" spans="1:12" ht="15" customHeight="1" x14ac:dyDescent="0.25">
      <c r="B12" s="19" t="s">
        <v>19</v>
      </c>
      <c r="C12" s="144">
        <v>347.59583324768573</v>
      </c>
      <c r="D12" s="39">
        <f t="shared" si="0"/>
        <v>3.1468592175053165</v>
      </c>
      <c r="K12" s="50"/>
    </row>
    <row r="13" spans="1:12" s="16" customFormat="1" ht="15" customHeight="1" x14ac:dyDescent="0.25">
      <c r="B13" s="19" t="s">
        <v>11</v>
      </c>
      <c r="C13" s="144">
        <v>3203.7142363390449</v>
      </c>
      <c r="D13" s="39">
        <f>3+((2)*((C13)/(MAX($C$8:$C$19))))</f>
        <v>4.3535690616985478</v>
      </c>
      <c r="E13"/>
      <c r="F13"/>
      <c r="G13"/>
      <c r="H13"/>
      <c r="I13"/>
      <c r="J13"/>
      <c r="K13" s="50"/>
    </row>
    <row r="14" spans="1:12" ht="15" customHeight="1" x14ac:dyDescent="0.25">
      <c r="B14" s="19" t="s">
        <v>12</v>
      </c>
      <c r="C14" s="144">
        <v>2082.4437809119377</v>
      </c>
      <c r="D14" s="39">
        <f t="shared" si="0"/>
        <v>3.879832365382867</v>
      </c>
      <c r="K14" s="50"/>
    </row>
    <row r="15" spans="1:12" ht="15" customHeight="1" x14ac:dyDescent="0.25">
      <c r="B15" s="19" t="s">
        <v>13</v>
      </c>
      <c r="C15" s="144">
        <v>2762.0496586127938</v>
      </c>
      <c r="D15" s="39">
        <f t="shared" si="0"/>
        <v>4.1669658056161474</v>
      </c>
      <c r="K15" s="51"/>
    </row>
    <row r="16" spans="1:12" ht="15" customHeight="1" x14ac:dyDescent="0.25">
      <c r="B16" s="19" t="s">
        <v>14</v>
      </c>
      <c r="C16" s="144">
        <v>12.297223587803273</v>
      </c>
      <c r="D16" s="39">
        <f t="shared" si="0"/>
        <v>3.0051955761860523</v>
      </c>
    </row>
    <row r="17" spans="1:11" ht="15" customHeight="1" x14ac:dyDescent="0.25">
      <c r="B17" s="19" t="s">
        <v>15</v>
      </c>
      <c r="C17" s="144">
        <v>100.46521469427626</v>
      </c>
      <c r="D17" s="39">
        <f t="shared" si="0"/>
        <v>3.0424465468376072</v>
      </c>
      <c r="K17" s="52"/>
    </row>
    <row r="18" spans="1:11" ht="15" customHeight="1" x14ac:dyDescent="0.25">
      <c r="B18" s="19" t="s">
        <v>16</v>
      </c>
      <c r="C18" s="144">
        <v>338.36224913720889</v>
      </c>
      <c r="D18" s="39">
        <f t="shared" si="0"/>
        <v>3.1429580288041623</v>
      </c>
    </row>
    <row r="19" spans="1:11" ht="15" customHeight="1" thickBot="1" x14ac:dyDescent="0.3">
      <c r="B19" s="20" t="s">
        <v>17</v>
      </c>
      <c r="C19" s="145">
        <v>286.89896357451289</v>
      </c>
      <c r="D19" s="42">
        <f t="shared" si="0"/>
        <v>3.1212147939173254</v>
      </c>
      <c r="K19" s="52"/>
    </row>
    <row r="20" spans="1:11" ht="17.25" x14ac:dyDescent="0.25">
      <c r="A20" s="11"/>
      <c r="B20" s="54" t="s">
        <v>219</v>
      </c>
    </row>
    <row r="22" spans="1:11" ht="15.75" thickBot="1" x14ac:dyDescent="0.3">
      <c r="B22" s="46" t="s">
        <v>976</v>
      </c>
      <c r="K22" s="52"/>
    </row>
    <row r="23" spans="1:11" ht="60" x14ac:dyDescent="0.25">
      <c r="B23" s="27" t="s">
        <v>6</v>
      </c>
      <c r="C23" s="33" t="s">
        <v>221</v>
      </c>
      <c r="D23" s="22" t="s">
        <v>222</v>
      </c>
      <c r="E23" s="412" t="s">
        <v>811</v>
      </c>
      <c r="F23" s="33" t="s">
        <v>182</v>
      </c>
      <c r="G23" s="33" t="s">
        <v>183</v>
      </c>
      <c r="H23" s="70" t="s">
        <v>128</v>
      </c>
      <c r="I23" s="34" t="s">
        <v>223</v>
      </c>
    </row>
    <row r="24" spans="1:11" x14ac:dyDescent="0.25">
      <c r="B24" s="19" t="s">
        <v>7</v>
      </c>
      <c r="C24" s="63">
        <f>IFERROR(AVERAGEIFS($E$144:$E$263,$C$144:$C$263,"="&amp;B24), "NA")</f>
        <v>3.8333333333333335</v>
      </c>
      <c r="D24" s="63">
        <f t="shared" ref="D24:D35" si="1">IFERROR(AVERAGEIFS($E$272:$E$495,$C$272:$C$495,"="&amp;B24), "NA")</f>
        <v>4</v>
      </c>
      <c r="E24" s="38">
        <f>IFERROR(ABS(D24-C24), "NA")</f>
        <v>0.16666666666666652</v>
      </c>
      <c r="F24" s="35">
        <f t="shared" ref="F24:F35" si="2">COUNTIFS($C$144:$C$267, "="&amp;B24,$E$144:$E$267,"&gt;=0")</f>
        <v>6</v>
      </c>
      <c r="G24" s="35">
        <f t="shared" ref="G24:G35" si="3">COUNTIFS($E$272:$E$495, "&gt;=0", $C$272:$C$495, "="&amp;B24)</f>
        <v>16</v>
      </c>
      <c r="H24" s="116" t="s">
        <v>126</v>
      </c>
      <c r="I24" s="39">
        <f t="shared" ref="I24:I35" si="4">IF(AND(ISNUMBER(C24),ISNUMBER(D24)),IF(H24="Average All",((F24*C24)+(G24*D24))/(F24+G24),AVERAGE(C24:D24)), IF(AND(C24="NA", ISNUMBER(D24)), D24, "NA"))</f>
        <v>3.916666666666667</v>
      </c>
      <c r="K24" s="52"/>
    </row>
    <row r="25" spans="1:11" x14ac:dyDescent="0.25">
      <c r="B25" s="19" t="s">
        <v>34</v>
      </c>
      <c r="C25" s="63" t="str">
        <f t="shared" ref="C25:C35" si="5">IFERROR(AVERAGEIFS($E$144:$E$263,$C$144:$C$263,"="&amp;B25), "NA")</f>
        <v>NA</v>
      </c>
      <c r="D25" s="63" t="str">
        <f t="shared" si="1"/>
        <v>NA</v>
      </c>
      <c r="E25" s="38" t="str">
        <f t="shared" ref="E25:E35" si="6">IFERROR(ABS(D25-C25), "NA")</f>
        <v>NA</v>
      </c>
      <c r="F25" s="35">
        <f t="shared" si="2"/>
        <v>0</v>
      </c>
      <c r="G25" s="35">
        <f t="shared" si="3"/>
        <v>0</v>
      </c>
      <c r="H25" s="116" t="s">
        <v>125</v>
      </c>
      <c r="I25" s="39" t="str">
        <f t="shared" si="4"/>
        <v>NA</v>
      </c>
      <c r="K25" s="52"/>
    </row>
    <row r="26" spans="1:11" x14ac:dyDescent="0.25">
      <c r="B26" s="19" t="s">
        <v>8</v>
      </c>
      <c r="C26" s="63">
        <f t="shared" si="5"/>
        <v>5</v>
      </c>
      <c r="D26" s="63">
        <f t="shared" si="1"/>
        <v>4.6875</v>
      </c>
      <c r="E26" s="38">
        <f t="shared" si="6"/>
        <v>0.3125</v>
      </c>
      <c r="F26" s="35">
        <f t="shared" si="2"/>
        <v>1</v>
      </c>
      <c r="G26" s="35">
        <f t="shared" si="3"/>
        <v>16</v>
      </c>
      <c r="H26" s="116" t="s">
        <v>125</v>
      </c>
      <c r="I26" s="39">
        <f t="shared" si="4"/>
        <v>4.7058823529411766</v>
      </c>
    </row>
    <row r="27" spans="1:11" x14ac:dyDescent="0.25">
      <c r="B27" s="19" t="s">
        <v>9</v>
      </c>
      <c r="C27" s="63">
        <f t="shared" si="5"/>
        <v>5</v>
      </c>
      <c r="D27" s="63">
        <f t="shared" si="1"/>
        <v>4.8125</v>
      </c>
      <c r="E27" s="38">
        <f t="shared" si="6"/>
        <v>0.1875</v>
      </c>
      <c r="F27" s="35">
        <f t="shared" si="2"/>
        <v>9</v>
      </c>
      <c r="G27" s="35">
        <f t="shared" si="3"/>
        <v>16</v>
      </c>
      <c r="H27" s="116" t="s">
        <v>126</v>
      </c>
      <c r="I27" s="39">
        <f t="shared" si="4"/>
        <v>4.90625</v>
      </c>
    </row>
    <row r="28" spans="1:11" x14ac:dyDescent="0.25">
      <c r="B28" s="19" t="s">
        <v>10</v>
      </c>
      <c r="C28" s="63">
        <f t="shared" si="5"/>
        <v>5</v>
      </c>
      <c r="D28" s="63">
        <f t="shared" si="1"/>
        <v>2.4375</v>
      </c>
      <c r="E28" s="38">
        <f t="shared" si="6"/>
        <v>2.5625</v>
      </c>
      <c r="F28" s="35">
        <f t="shared" si="2"/>
        <v>1</v>
      </c>
      <c r="G28" s="35">
        <f t="shared" si="3"/>
        <v>16</v>
      </c>
      <c r="H28" s="116" t="s">
        <v>125</v>
      </c>
      <c r="I28" s="39">
        <f t="shared" si="4"/>
        <v>2.5882352941176472</v>
      </c>
    </row>
    <row r="29" spans="1:11" x14ac:dyDescent="0.25">
      <c r="B29" s="19" t="s">
        <v>11</v>
      </c>
      <c r="C29" s="63">
        <f t="shared" si="5"/>
        <v>4.5999999999999996</v>
      </c>
      <c r="D29" s="63">
        <f t="shared" si="1"/>
        <v>5</v>
      </c>
      <c r="E29" s="38">
        <f t="shared" si="6"/>
        <v>0.40000000000000036</v>
      </c>
      <c r="F29" s="35">
        <f t="shared" si="2"/>
        <v>10</v>
      </c>
      <c r="G29" s="35">
        <f t="shared" si="3"/>
        <v>16</v>
      </c>
      <c r="H29" s="116" t="s">
        <v>126</v>
      </c>
      <c r="I29" s="39">
        <f t="shared" si="4"/>
        <v>4.8</v>
      </c>
    </row>
    <row r="30" spans="1:11" x14ac:dyDescent="0.25">
      <c r="B30" s="19" t="s">
        <v>12</v>
      </c>
      <c r="C30" s="63">
        <f t="shared" si="5"/>
        <v>5</v>
      </c>
      <c r="D30" s="63">
        <f t="shared" si="1"/>
        <v>4.9375</v>
      </c>
      <c r="E30" s="38">
        <f t="shared" si="6"/>
        <v>6.25E-2</v>
      </c>
      <c r="F30" s="35">
        <f t="shared" si="2"/>
        <v>16</v>
      </c>
      <c r="G30" s="35">
        <f t="shared" si="3"/>
        <v>16</v>
      </c>
      <c r="H30" s="116" t="s">
        <v>126</v>
      </c>
      <c r="I30" s="39">
        <f t="shared" si="4"/>
        <v>4.96875</v>
      </c>
    </row>
    <row r="31" spans="1:11" x14ac:dyDescent="0.25">
      <c r="B31" s="19" t="s">
        <v>13</v>
      </c>
      <c r="C31" s="63">
        <f t="shared" si="5"/>
        <v>5</v>
      </c>
      <c r="D31" s="63">
        <f t="shared" si="1"/>
        <v>4.9375</v>
      </c>
      <c r="E31" s="38">
        <f t="shared" si="6"/>
        <v>6.25E-2</v>
      </c>
      <c r="F31" s="35">
        <f t="shared" si="2"/>
        <v>2</v>
      </c>
      <c r="G31" s="35">
        <f t="shared" si="3"/>
        <v>16</v>
      </c>
      <c r="H31" s="116" t="s">
        <v>125</v>
      </c>
      <c r="I31" s="39">
        <f t="shared" si="4"/>
        <v>4.9444444444444446</v>
      </c>
    </row>
    <row r="32" spans="1:11" x14ac:dyDescent="0.25">
      <c r="B32" s="19" t="s">
        <v>14</v>
      </c>
      <c r="C32" s="63">
        <f t="shared" si="5"/>
        <v>3.25</v>
      </c>
      <c r="D32" s="63">
        <f t="shared" si="1"/>
        <v>3.125</v>
      </c>
      <c r="E32" s="38">
        <f t="shared" si="6"/>
        <v>0.125</v>
      </c>
      <c r="F32" s="35">
        <f t="shared" si="2"/>
        <v>20</v>
      </c>
      <c r="G32" s="35">
        <f t="shared" si="3"/>
        <v>16</v>
      </c>
      <c r="H32" s="116" t="s">
        <v>126</v>
      </c>
      <c r="I32" s="39">
        <f t="shared" si="4"/>
        <v>3.1875</v>
      </c>
    </row>
    <row r="33" spans="2:9" x14ac:dyDescent="0.25">
      <c r="B33" s="19" t="s">
        <v>15</v>
      </c>
      <c r="C33" s="63">
        <f t="shared" si="5"/>
        <v>5</v>
      </c>
      <c r="D33" s="63">
        <f t="shared" si="1"/>
        <v>4.75</v>
      </c>
      <c r="E33" s="38">
        <f t="shared" si="6"/>
        <v>0.25</v>
      </c>
      <c r="F33" s="35">
        <f t="shared" si="2"/>
        <v>2</v>
      </c>
      <c r="G33" s="35">
        <f t="shared" si="3"/>
        <v>16</v>
      </c>
      <c r="H33" s="116" t="s">
        <v>125</v>
      </c>
      <c r="I33" s="39">
        <f t="shared" si="4"/>
        <v>4.7777777777777777</v>
      </c>
    </row>
    <row r="34" spans="2:9" x14ac:dyDescent="0.25">
      <c r="B34" s="19" t="s">
        <v>16</v>
      </c>
      <c r="C34" s="63">
        <f t="shared" si="5"/>
        <v>3.8</v>
      </c>
      <c r="D34" s="63">
        <f t="shared" si="1"/>
        <v>3.875</v>
      </c>
      <c r="E34" s="38">
        <f t="shared" si="6"/>
        <v>7.5000000000000178E-2</v>
      </c>
      <c r="F34" s="35">
        <f t="shared" si="2"/>
        <v>5</v>
      </c>
      <c r="G34" s="35">
        <f t="shared" si="3"/>
        <v>16</v>
      </c>
      <c r="H34" s="116" t="s">
        <v>126</v>
      </c>
      <c r="I34" s="39">
        <f t="shared" si="4"/>
        <v>3.8374999999999999</v>
      </c>
    </row>
    <row r="35" spans="2:9" ht="15.75" thickBot="1" x14ac:dyDescent="0.3">
      <c r="B35" s="20" t="s">
        <v>17</v>
      </c>
      <c r="C35" s="63">
        <f t="shared" si="5"/>
        <v>3.2857142857142856</v>
      </c>
      <c r="D35" s="63">
        <f t="shared" si="1"/>
        <v>3.375</v>
      </c>
      <c r="E35" s="41">
        <f t="shared" si="6"/>
        <v>8.9285714285714413E-2</v>
      </c>
      <c r="F35" s="36">
        <f t="shared" si="2"/>
        <v>14</v>
      </c>
      <c r="G35" s="36">
        <f t="shared" si="3"/>
        <v>16</v>
      </c>
      <c r="H35" s="117" t="s">
        <v>126</v>
      </c>
      <c r="I35" s="42">
        <f t="shared" si="4"/>
        <v>3.3303571428571428</v>
      </c>
    </row>
    <row r="37" spans="2:9" ht="15.75" thickBot="1" x14ac:dyDescent="0.3">
      <c r="B37" s="46" t="s">
        <v>977</v>
      </c>
    </row>
    <row r="38" spans="2:9" ht="60" x14ac:dyDescent="0.25">
      <c r="B38" s="27" t="s">
        <v>6</v>
      </c>
      <c r="C38" s="33" t="s">
        <v>224</v>
      </c>
      <c r="D38" s="33" t="s">
        <v>225</v>
      </c>
      <c r="E38" s="412" t="s">
        <v>811</v>
      </c>
      <c r="F38" s="33" t="s">
        <v>182</v>
      </c>
      <c r="G38" s="33" t="s">
        <v>183</v>
      </c>
      <c r="H38" s="70" t="s">
        <v>128</v>
      </c>
      <c r="I38" s="34" t="s">
        <v>226</v>
      </c>
    </row>
    <row r="39" spans="2:9" x14ac:dyDescent="0.25">
      <c r="B39" s="19" t="s">
        <v>7</v>
      </c>
      <c r="C39" s="63">
        <f>IFERROR(AVERAGEIFS($F$144:$F$263,$C$144:$C$263,"="&amp;B39), "NA")</f>
        <v>4.333333333333333</v>
      </c>
      <c r="D39" s="63">
        <f t="shared" ref="D39:D50" si="7">IFERROR(AVERAGEIFS($F$272:$F$495,$C$272:$C$495,"="&amp;B39), "NA")</f>
        <v>4.9375</v>
      </c>
      <c r="E39" s="38">
        <f>IFERROR(ABS(D39-C39), "NA")</f>
        <v>0.60416666666666696</v>
      </c>
      <c r="F39" s="35">
        <f t="shared" ref="F39:F50" si="8">COUNTIFS($C$144:$C$267, "="&amp;B39,$F$144:$F$267,"&gt;=0")</f>
        <v>6</v>
      </c>
      <c r="G39" s="35">
        <f t="shared" ref="G39:G50" si="9">COUNTIFS($F$272:$F$495, "&gt;=0", $C$272:$C$495, "="&amp;B39)</f>
        <v>16</v>
      </c>
      <c r="H39" s="116" t="s">
        <v>126</v>
      </c>
      <c r="I39" s="39">
        <f t="shared" ref="I39:I50" si="10">IF(AND(ISNUMBER(C39),ISNUMBER(D39)),IF(H39="Average All",((F39*C39)+(G39*D39))/(F39+G39),AVERAGE(C39:D39)), IF(AND(C39="NA", ISNUMBER(D39)), D39, "NA"))</f>
        <v>4.6354166666666661</v>
      </c>
    </row>
    <row r="40" spans="2:9" x14ac:dyDescent="0.25">
      <c r="B40" s="19" t="s">
        <v>34</v>
      </c>
      <c r="C40" s="63" t="str">
        <f t="shared" ref="C40:C50" si="11">IFERROR(AVERAGEIFS($F$144:$F$263,$C$144:$C$263,"="&amp;B40), "NA")</f>
        <v>NA</v>
      </c>
      <c r="D40" s="63" t="str">
        <f t="shared" si="7"/>
        <v>NA</v>
      </c>
      <c r="E40" s="38" t="str">
        <f t="shared" ref="E40:E50" si="12">IFERROR(ABS(D40-C40), "NA")</f>
        <v>NA</v>
      </c>
      <c r="F40" s="35">
        <f t="shared" si="8"/>
        <v>0</v>
      </c>
      <c r="G40" s="35">
        <f t="shared" si="9"/>
        <v>0</v>
      </c>
      <c r="H40" s="116" t="s">
        <v>125</v>
      </c>
      <c r="I40" s="39" t="str">
        <f t="shared" si="10"/>
        <v>NA</v>
      </c>
    </row>
    <row r="41" spans="2:9" x14ac:dyDescent="0.25">
      <c r="B41" s="19" t="s">
        <v>8</v>
      </c>
      <c r="C41" s="63">
        <f t="shared" si="11"/>
        <v>3</v>
      </c>
      <c r="D41" s="63">
        <f t="shared" si="7"/>
        <v>3.5</v>
      </c>
      <c r="E41" s="38">
        <f t="shared" si="12"/>
        <v>0.5</v>
      </c>
      <c r="F41" s="35">
        <f t="shared" si="8"/>
        <v>1</v>
      </c>
      <c r="G41" s="35">
        <f t="shared" si="9"/>
        <v>16</v>
      </c>
      <c r="H41" s="116" t="s">
        <v>125</v>
      </c>
      <c r="I41" s="39">
        <f t="shared" si="10"/>
        <v>3.4705882352941178</v>
      </c>
    </row>
    <row r="42" spans="2:9" x14ac:dyDescent="0.25">
      <c r="B42" s="19" t="s">
        <v>9</v>
      </c>
      <c r="C42" s="63">
        <f t="shared" si="11"/>
        <v>3.5555555555555554</v>
      </c>
      <c r="D42" s="63">
        <f t="shared" si="7"/>
        <v>3.5625</v>
      </c>
      <c r="E42" s="38">
        <f t="shared" si="12"/>
        <v>6.9444444444446418E-3</v>
      </c>
      <c r="F42" s="35">
        <f t="shared" si="8"/>
        <v>9</v>
      </c>
      <c r="G42" s="35">
        <f t="shared" si="9"/>
        <v>16</v>
      </c>
      <c r="H42" s="116" t="s">
        <v>126</v>
      </c>
      <c r="I42" s="39">
        <f t="shared" si="10"/>
        <v>3.5590277777777777</v>
      </c>
    </row>
    <row r="43" spans="2:9" x14ac:dyDescent="0.25">
      <c r="B43" s="19" t="s">
        <v>10</v>
      </c>
      <c r="C43" s="63" t="str">
        <f t="shared" si="11"/>
        <v>NA</v>
      </c>
      <c r="D43" s="63">
        <f t="shared" si="7"/>
        <v>2.8125</v>
      </c>
      <c r="E43" s="38" t="str">
        <f t="shared" si="12"/>
        <v>NA</v>
      </c>
      <c r="F43" s="35">
        <f t="shared" si="8"/>
        <v>0</v>
      </c>
      <c r="G43" s="35">
        <f t="shared" si="9"/>
        <v>16</v>
      </c>
      <c r="H43" s="116" t="s">
        <v>125</v>
      </c>
      <c r="I43" s="39">
        <f t="shared" si="10"/>
        <v>2.8125</v>
      </c>
    </row>
    <row r="44" spans="2:9" x14ac:dyDescent="0.25">
      <c r="B44" s="19" t="s">
        <v>11</v>
      </c>
      <c r="C44" s="63">
        <f t="shared" si="11"/>
        <v>4.0999999999999996</v>
      </c>
      <c r="D44" s="63">
        <f t="shared" si="7"/>
        <v>3.5625</v>
      </c>
      <c r="E44" s="38">
        <f t="shared" si="12"/>
        <v>0.53749999999999964</v>
      </c>
      <c r="F44" s="35">
        <f t="shared" si="8"/>
        <v>10</v>
      </c>
      <c r="G44" s="35">
        <f t="shared" si="9"/>
        <v>16</v>
      </c>
      <c r="H44" s="116" t="s">
        <v>126</v>
      </c>
      <c r="I44" s="39">
        <f t="shared" si="10"/>
        <v>3.8312499999999998</v>
      </c>
    </row>
    <row r="45" spans="2:9" x14ac:dyDescent="0.25">
      <c r="B45" s="19" t="s">
        <v>12</v>
      </c>
      <c r="C45" s="63">
        <f t="shared" si="11"/>
        <v>4.1875</v>
      </c>
      <c r="D45" s="63">
        <f t="shared" si="7"/>
        <v>3.5</v>
      </c>
      <c r="E45" s="38">
        <f t="shared" si="12"/>
        <v>0.6875</v>
      </c>
      <c r="F45" s="35">
        <f t="shared" si="8"/>
        <v>16</v>
      </c>
      <c r="G45" s="35">
        <f t="shared" si="9"/>
        <v>16</v>
      </c>
      <c r="H45" s="116" t="s">
        <v>126</v>
      </c>
      <c r="I45" s="39">
        <f t="shared" si="10"/>
        <v>3.84375</v>
      </c>
    </row>
    <row r="46" spans="2:9" x14ac:dyDescent="0.25">
      <c r="B46" s="19" t="s">
        <v>13</v>
      </c>
      <c r="C46" s="63">
        <f t="shared" si="11"/>
        <v>5</v>
      </c>
      <c r="D46" s="63">
        <f t="shared" si="7"/>
        <v>3.6875</v>
      </c>
      <c r="E46" s="38">
        <f t="shared" si="12"/>
        <v>1.3125</v>
      </c>
      <c r="F46" s="35">
        <f t="shared" si="8"/>
        <v>2</v>
      </c>
      <c r="G46" s="35">
        <f t="shared" si="9"/>
        <v>16</v>
      </c>
      <c r="H46" s="116" t="s">
        <v>125</v>
      </c>
      <c r="I46" s="39">
        <f t="shared" si="10"/>
        <v>3.8333333333333335</v>
      </c>
    </row>
    <row r="47" spans="2:9" x14ac:dyDescent="0.25">
      <c r="B47" s="19" t="s">
        <v>14</v>
      </c>
      <c r="C47" s="63">
        <f t="shared" si="11"/>
        <v>3.75</v>
      </c>
      <c r="D47" s="63">
        <f t="shared" si="7"/>
        <v>3.25</v>
      </c>
      <c r="E47" s="38">
        <f t="shared" si="12"/>
        <v>0.5</v>
      </c>
      <c r="F47" s="35">
        <f t="shared" si="8"/>
        <v>20</v>
      </c>
      <c r="G47" s="35">
        <f t="shared" si="9"/>
        <v>16</v>
      </c>
      <c r="H47" s="116" t="s">
        <v>126</v>
      </c>
      <c r="I47" s="39">
        <f t="shared" si="10"/>
        <v>3.5</v>
      </c>
    </row>
    <row r="48" spans="2:9" x14ac:dyDescent="0.25">
      <c r="B48" s="19" t="s">
        <v>15</v>
      </c>
      <c r="C48" s="63">
        <f t="shared" si="11"/>
        <v>3.5</v>
      </c>
      <c r="D48" s="63">
        <f t="shared" si="7"/>
        <v>3.625</v>
      </c>
      <c r="E48" s="38">
        <f t="shared" si="12"/>
        <v>0.125</v>
      </c>
      <c r="F48" s="35">
        <f t="shared" si="8"/>
        <v>2</v>
      </c>
      <c r="G48" s="35">
        <f t="shared" si="9"/>
        <v>16</v>
      </c>
      <c r="H48" s="116" t="s">
        <v>125</v>
      </c>
      <c r="I48" s="39">
        <f t="shared" si="10"/>
        <v>3.6111111111111112</v>
      </c>
    </row>
    <row r="49" spans="2:9" x14ac:dyDescent="0.25">
      <c r="B49" s="19" t="s">
        <v>16</v>
      </c>
      <c r="C49" s="63">
        <f t="shared" si="11"/>
        <v>2.4</v>
      </c>
      <c r="D49" s="63">
        <f t="shared" si="7"/>
        <v>3.4375</v>
      </c>
      <c r="E49" s="38">
        <f t="shared" si="12"/>
        <v>1.0375000000000001</v>
      </c>
      <c r="F49" s="35">
        <f t="shared" si="8"/>
        <v>5</v>
      </c>
      <c r="G49" s="35">
        <f t="shared" si="9"/>
        <v>16</v>
      </c>
      <c r="H49" s="116" t="s">
        <v>126</v>
      </c>
      <c r="I49" s="39">
        <f t="shared" si="10"/>
        <v>2.9187500000000002</v>
      </c>
    </row>
    <row r="50" spans="2:9" ht="15.75" thickBot="1" x14ac:dyDescent="0.3">
      <c r="B50" s="20" t="s">
        <v>17</v>
      </c>
      <c r="C50" s="64">
        <f t="shared" si="11"/>
        <v>4.2142857142857144</v>
      </c>
      <c r="D50" s="64">
        <f t="shared" si="7"/>
        <v>3.125</v>
      </c>
      <c r="E50" s="41">
        <f t="shared" si="12"/>
        <v>1.0892857142857144</v>
      </c>
      <c r="F50" s="36">
        <f t="shared" si="8"/>
        <v>14</v>
      </c>
      <c r="G50" s="36">
        <f t="shared" si="9"/>
        <v>16</v>
      </c>
      <c r="H50" s="117" t="s">
        <v>126</v>
      </c>
      <c r="I50" s="42">
        <f t="shared" si="10"/>
        <v>3.6696428571428572</v>
      </c>
    </row>
    <row r="52" spans="2:9" ht="15.75" thickBot="1" x14ac:dyDescent="0.3">
      <c r="B52" s="46" t="s">
        <v>978</v>
      </c>
    </row>
    <row r="53" spans="2:9" ht="60" x14ac:dyDescent="0.25">
      <c r="B53" s="27" t="s">
        <v>6</v>
      </c>
      <c r="C53" s="33" t="s">
        <v>227</v>
      </c>
      <c r="D53" s="33" t="s">
        <v>228</v>
      </c>
      <c r="E53" s="412" t="s">
        <v>811</v>
      </c>
      <c r="F53" s="33" t="s">
        <v>182</v>
      </c>
      <c r="G53" s="33" t="s">
        <v>183</v>
      </c>
      <c r="H53" s="70" t="s">
        <v>128</v>
      </c>
      <c r="I53" s="34" t="s">
        <v>229</v>
      </c>
    </row>
    <row r="54" spans="2:9" x14ac:dyDescent="0.25">
      <c r="B54" s="19" t="s">
        <v>7</v>
      </c>
      <c r="C54" s="229">
        <f>IFERROR(AVERAGEIFS($G$144:$G$263,$C$144:$C$263,"="&amp;B54), "NA")</f>
        <v>5</v>
      </c>
      <c r="D54" s="229">
        <f t="shared" ref="D54:D65" si="13">IFERROR(AVERAGEIFS($G$272:$G$495,$C$272:$C$495,"="&amp;B54), "NA")</f>
        <v>4.625</v>
      </c>
      <c r="E54" s="38">
        <f>IFERROR(ABS(D54-C54), "NA")</f>
        <v>0.375</v>
      </c>
      <c r="F54" s="35">
        <f t="shared" ref="F54:F65" si="14">COUNTIFS($C$144:$C$267, "="&amp;B54,$G$144:$G$267,"&gt;=0")</f>
        <v>2</v>
      </c>
      <c r="G54" s="35">
        <f t="shared" ref="G54:G65" si="15">COUNTIFS($G$272:$G$495, "&gt;=0", $C$272:$C$495, "="&amp;B54)</f>
        <v>16</v>
      </c>
      <c r="H54" s="116" t="s">
        <v>126</v>
      </c>
      <c r="I54" s="39">
        <f t="shared" ref="I54:I65" si="16">IF(AND(ISNUMBER(C54),ISNUMBER(D54)),IF(H54="Average All",((F54*C54)+(G54*D54))/(F54+G54),AVERAGE(C54:D54)), IF(AND(C54="NA", ISNUMBER(D54)), D54, "NA"))</f>
        <v>4.8125</v>
      </c>
    </row>
    <row r="55" spans="2:9" x14ac:dyDescent="0.25">
      <c r="B55" s="19" t="s">
        <v>34</v>
      </c>
      <c r="C55" s="229" t="str">
        <f t="shared" ref="C55:C65" si="17">IFERROR(AVERAGEIFS($G$144:$G$263,$C$144:$C$263,"="&amp;B55), "NA")</f>
        <v>NA</v>
      </c>
      <c r="D55" s="229" t="str">
        <f t="shared" si="13"/>
        <v>NA</v>
      </c>
      <c r="E55" s="38" t="str">
        <f t="shared" ref="E55:E65" si="18">IFERROR(ABS(D55-C55), "NA")</f>
        <v>NA</v>
      </c>
      <c r="F55" s="403">
        <f t="shared" si="14"/>
        <v>0</v>
      </c>
      <c r="G55" s="35">
        <f t="shared" si="15"/>
        <v>0</v>
      </c>
      <c r="H55" s="116" t="s">
        <v>125</v>
      </c>
      <c r="I55" s="39" t="str">
        <f t="shared" si="16"/>
        <v>NA</v>
      </c>
    </row>
    <row r="56" spans="2:9" x14ac:dyDescent="0.25">
      <c r="B56" s="19" t="s">
        <v>8</v>
      </c>
      <c r="C56" s="229" t="str">
        <f t="shared" si="17"/>
        <v>NA</v>
      </c>
      <c r="D56" s="229">
        <f t="shared" si="13"/>
        <v>3.25</v>
      </c>
      <c r="E56" s="38" t="str">
        <f t="shared" si="18"/>
        <v>NA</v>
      </c>
      <c r="F56" s="403">
        <f t="shared" si="14"/>
        <v>0</v>
      </c>
      <c r="G56" s="35">
        <f t="shared" si="15"/>
        <v>16</v>
      </c>
      <c r="H56" s="116" t="s">
        <v>125</v>
      </c>
      <c r="I56" s="39">
        <f t="shared" si="16"/>
        <v>3.25</v>
      </c>
    </row>
    <row r="57" spans="2:9" x14ac:dyDescent="0.25">
      <c r="B57" s="19" t="s">
        <v>9</v>
      </c>
      <c r="C57" s="229" t="str">
        <f t="shared" si="17"/>
        <v>NA</v>
      </c>
      <c r="D57" s="229">
        <f t="shared" si="13"/>
        <v>3.125</v>
      </c>
      <c r="E57" s="38" t="str">
        <f t="shared" si="18"/>
        <v>NA</v>
      </c>
      <c r="F57" s="403">
        <f t="shared" si="14"/>
        <v>0</v>
      </c>
      <c r="G57" s="35">
        <f t="shared" si="15"/>
        <v>16</v>
      </c>
      <c r="H57" s="116" t="s">
        <v>126</v>
      </c>
      <c r="I57" s="39">
        <f t="shared" si="16"/>
        <v>3.125</v>
      </c>
    </row>
    <row r="58" spans="2:9" x14ac:dyDescent="0.25">
      <c r="B58" s="19" t="s">
        <v>10</v>
      </c>
      <c r="C58" s="229" t="str">
        <f t="shared" si="17"/>
        <v>NA</v>
      </c>
      <c r="D58" s="229">
        <f t="shared" si="13"/>
        <v>2.6875</v>
      </c>
      <c r="E58" s="38" t="str">
        <f t="shared" si="18"/>
        <v>NA</v>
      </c>
      <c r="F58" s="403">
        <f t="shared" si="14"/>
        <v>0</v>
      </c>
      <c r="G58" s="35">
        <f t="shared" si="15"/>
        <v>16</v>
      </c>
      <c r="H58" s="116" t="s">
        <v>125</v>
      </c>
      <c r="I58" s="39">
        <f t="shared" si="16"/>
        <v>2.6875</v>
      </c>
    </row>
    <row r="59" spans="2:9" x14ac:dyDescent="0.25">
      <c r="B59" s="19" t="s">
        <v>11</v>
      </c>
      <c r="C59" s="229">
        <f t="shared" si="17"/>
        <v>4.8</v>
      </c>
      <c r="D59" s="229">
        <f t="shared" si="13"/>
        <v>2.9375</v>
      </c>
      <c r="E59" s="38">
        <f t="shared" si="18"/>
        <v>1.8624999999999998</v>
      </c>
      <c r="F59" s="403">
        <f t="shared" si="14"/>
        <v>5</v>
      </c>
      <c r="G59" s="35">
        <f t="shared" si="15"/>
        <v>16</v>
      </c>
      <c r="H59" s="116" t="s">
        <v>126</v>
      </c>
      <c r="I59" s="39">
        <f t="shared" si="16"/>
        <v>3.8687499999999999</v>
      </c>
    </row>
    <row r="60" spans="2:9" x14ac:dyDescent="0.25">
      <c r="B60" s="19" t="s">
        <v>12</v>
      </c>
      <c r="C60" s="229">
        <f t="shared" si="17"/>
        <v>4.666666666666667</v>
      </c>
      <c r="D60" s="229">
        <f t="shared" si="13"/>
        <v>3.1875</v>
      </c>
      <c r="E60" s="38">
        <f t="shared" si="18"/>
        <v>1.479166666666667</v>
      </c>
      <c r="F60" s="403">
        <f t="shared" si="14"/>
        <v>9</v>
      </c>
      <c r="G60" s="35">
        <f t="shared" si="15"/>
        <v>16</v>
      </c>
      <c r="H60" s="116" t="s">
        <v>126</v>
      </c>
      <c r="I60" s="39">
        <f t="shared" si="16"/>
        <v>3.9270833333333335</v>
      </c>
    </row>
    <row r="61" spans="2:9" x14ac:dyDescent="0.25">
      <c r="B61" s="19" t="s">
        <v>13</v>
      </c>
      <c r="C61" s="229" t="str">
        <f t="shared" si="17"/>
        <v>NA</v>
      </c>
      <c r="D61" s="229">
        <f t="shared" si="13"/>
        <v>2.9333333333333331</v>
      </c>
      <c r="E61" s="38" t="str">
        <f t="shared" si="18"/>
        <v>NA</v>
      </c>
      <c r="F61" s="403">
        <f t="shared" si="14"/>
        <v>0</v>
      </c>
      <c r="G61" s="35">
        <f t="shared" si="15"/>
        <v>15</v>
      </c>
      <c r="H61" s="116" t="s">
        <v>125</v>
      </c>
      <c r="I61" s="39">
        <f t="shared" si="16"/>
        <v>2.9333333333333331</v>
      </c>
    </row>
    <row r="62" spans="2:9" x14ac:dyDescent="0.25">
      <c r="B62" s="19" t="s">
        <v>14</v>
      </c>
      <c r="C62" s="229">
        <f t="shared" si="17"/>
        <v>5</v>
      </c>
      <c r="D62" s="229">
        <f t="shared" si="13"/>
        <v>3.375</v>
      </c>
      <c r="E62" s="38">
        <f t="shared" si="18"/>
        <v>1.625</v>
      </c>
      <c r="F62" s="403">
        <f t="shared" si="14"/>
        <v>5</v>
      </c>
      <c r="G62" s="35">
        <f t="shared" si="15"/>
        <v>16</v>
      </c>
      <c r="H62" s="116" t="s">
        <v>126</v>
      </c>
      <c r="I62" s="39">
        <f t="shared" si="16"/>
        <v>4.1875</v>
      </c>
    </row>
    <row r="63" spans="2:9" x14ac:dyDescent="0.25">
      <c r="B63" s="19" t="s">
        <v>15</v>
      </c>
      <c r="C63" s="229">
        <f t="shared" si="17"/>
        <v>4</v>
      </c>
      <c r="D63" s="229">
        <f t="shared" si="13"/>
        <v>2.875</v>
      </c>
      <c r="E63" s="38">
        <f t="shared" si="18"/>
        <v>1.125</v>
      </c>
      <c r="F63" s="403">
        <f t="shared" si="14"/>
        <v>1</v>
      </c>
      <c r="G63" s="35">
        <f t="shared" si="15"/>
        <v>16</v>
      </c>
      <c r="H63" s="116" t="s">
        <v>125</v>
      </c>
      <c r="I63" s="39">
        <f t="shared" si="16"/>
        <v>2.9411764705882355</v>
      </c>
    </row>
    <row r="64" spans="2:9" x14ac:dyDescent="0.25">
      <c r="B64" s="19" t="s">
        <v>16</v>
      </c>
      <c r="C64" s="229" t="str">
        <f t="shared" si="17"/>
        <v>NA</v>
      </c>
      <c r="D64" s="229">
        <f t="shared" si="13"/>
        <v>3.5</v>
      </c>
      <c r="E64" s="38" t="str">
        <f t="shared" si="18"/>
        <v>NA</v>
      </c>
      <c r="F64" s="403">
        <f t="shared" si="14"/>
        <v>0</v>
      </c>
      <c r="G64" s="35">
        <f t="shared" si="15"/>
        <v>16</v>
      </c>
      <c r="H64" s="116" t="s">
        <v>126</v>
      </c>
      <c r="I64" s="39">
        <f t="shared" si="16"/>
        <v>3.5</v>
      </c>
    </row>
    <row r="65" spans="2:9" ht="15.75" thickBot="1" x14ac:dyDescent="0.3">
      <c r="B65" s="20" t="s">
        <v>17</v>
      </c>
      <c r="C65" s="234">
        <f t="shared" si="17"/>
        <v>5</v>
      </c>
      <c r="D65" s="234">
        <f t="shared" si="13"/>
        <v>3.0625</v>
      </c>
      <c r="E65" s="41">
        <f t="shared" si="18"/>
        <v>1.9375</v>
      </c>
      <c r="F65" s="36">
        <f t="shared" si="14"/>
        <v>1</v>
      </c>
      <c r="G65" s="36">
        <f t="shared" si="15"/>
        <v>16</v>
      </c>
      <c r="H65" s="117" t="s">
        <v>126</v>
      </c>
      <c r="I65" s="42">
        <f t="shared" si="16"/>
        <v>4.03125</v>
      </c>
    </row>
    <row r="66" spans="2:9" x14ac:dyDescent="0.25">
      <c r="C66" s="74"/>
    </row>
    <row r="67" spans="2:9" ht="15.75" thickBot="1" x14ac:dyDescent="0.3">
      <c r="B67" s="46" t="s">
        <v>979</v>
      </c>
    </row>
    <row r="68" spans="2:9" ht="60" x14ac:dyDescent="0.25">
      <c r="B68" s="27" t="s">
        <v>6</v>
      </c>
      <c r="C68" s="33" t="s">
        <v>230</v>
      </c>
      <c r="D68" s="33" t="s">
        <v>231</v>
      </c>
      <c r="E68" s="412" t="s">
        <v>811</v>
      </c>
      <c r="F68" s="33" t="s">
        <v>182</v>
      </c>
      <c r="G68" s="33" t="s">
        <v>183</v>
      </c>
      <c r="H68" s="70" t="s">
        <v>128</v>
      </c>
      <c r="I68" s="34" t="s">
        <v>232</v>
      </c>
    </row>
    <row r="69" spans="2:9" x14ac:dyDescent="0.25">
      <c r="B69" s="19" t="s">
        <v>7</v>
      </c>
      <c r="C69" s="63">
        <f>IFERROR(AVERAGEIFS($H$144:$H$263,$C$144:$C$263,"="&amp;B69), "NA")</f>
        <v>3</v>
      </c>
      <c r="D69" s="63">
        <f t="shared" ref="D69:D80" si="19">IFERROR(AVERAGEIFS($H$272:$H$495,$C$272:$C$495,"="&amp;B69), "NA")</f>
        <v>3.6875</v>
      </c>
      <c r="E69" s="38">
        <f>IFERROR(ABS(D69-C69), "NA")</f>
        <v>0.6875</v>
      </c>
      <c r="F69" s="35">
        <f t="shared" ref="F69:F80" si="20">COUNTIFS($C$144:$C$267, "="&amp;B69,$H$144:$H$267,"&gt;=0")</f>
        <v>6</v>
      </c>
      <c r="G69" s="35">
        <f t="shared" ref="G69:G80" si="21">COUNTIFS($H$272:$H$495, "&gt;=0", $C$272:$C$495, "="&amp;B69)</f>
        <v>16</v>
      </c>
      <c r="H69" s="116" t="s">
        <v>126</v>
      </c>
      <c r="I69" s="39">
        <f t="shared" ref="I69:I80" si="22">IF(AND(ISNUMBER(C69),ISNUMBER(D69)),IF(H69="Average All",((F69*C69)+(G69*D69))/(F69+G69),AVERAGE(C69:D69)), IF(AND(C69="NA", ISNUMBER(D69)), D69, "NA"))</f>
        <v>3.34375</v>
      </c>
    </row>
    <row r="70" spans="2:9" x14ac:dyDescent="0.25">
      <c r="B70" s="19" t="s">
        <v>34</v>
      </c>
      <c r="C70" s="63" t="str">
        <f t="shared" ref="C70:C80" si="23">IFERROR(AVERAGEIFS($H$144:$H$263,$C$144:$C$263,"="&amp;B70), "NA")</f>
        <v>NA</v>
      </c>
      <c r="D70" s="63" t="str">
        <f t="shared" si="19"/>
        <v>NA</v>
      </c>
      <c r="E70" s="38" t="str">
        <f t="shared" ref="E70:E80" si="24">IFERROR(ABS(D70-C70), "NA")</f>
        <v>NA</v>
      </c>
      <c r="F70" s="35">
        <f t="shared" si="20"/>
        <v>0</v>
      </c>
      <c r="G70" s="35">
        <f t="shared" si="21"/>
        <v>0</v>
      </c>
      <c r="H70" s="116" t="s">
        <v>125</v>
      </c>
      <c r="I70" s="39" t="str">
        <f t="shared" si="22"/>
        <v>NA</v>
      </c>
    </row>
    <row r="71" spans="2:9" x14ac:dyDescent="0.25">
      <c r="B71" s="19" t="s">
        <v>8</v>
      </c>
      <c r="C71" s="63">
        <f t="shared" si="23"/>
        <v>2</v>
      </c>
      <c r="D71" s="63">
        <f t="shared" si="19"/>
        <v>2.125</v>
      </c>
      <c r="E71" s="38">
        <f t="shared" si="24"/>
        <v>0.125</v>
      </c>
      <c r="F71" s="35">
        <f t="shared" si="20"/>
        <v>1</v>
      </c>
      <c r="G71" s="35">
        <f t="shared" si="21"/>
        <v>16</v>
      </c>
      <c r="H71" s="116" t="s">
        <v>125</v>
      </c>
      <c r="I71" s="39">
        <f t="shared" si="22"/>
        <v>2.1176470588235294</v>
      </c>
    </row>
    <row r="72" spans="2:9" x14ac:dyDescent="0.25">
      <c r="B72" s="19" t="s">
        <v>9</v>
      </c>
      <c r="C72" s="63">
        <f t="shared" si="23"/>
        <v>3</v>
      </c>
      <c r="D72" s="63">
        <f t="shared" si="19"/>
        <v>3.25</v>
      </c>
      <c r="E72" s="38">
        <f t="shared" si="24"/>
        <v>0.25</v>
      </c>
      <c r="F72" s="35">
        <f t="shared" si="20"/>
        <v>9</v>
      </c>
      <c r="G72" s="35">
        <f t="shared" si="21"/>
        <v>16</v>
      </c>
      <c r="H72" s="116" t="s">
        <v>126</v>
      </c>
      <c r="I72" s="39">
        <f t="shared" si="22"/>
        <v>3.125</v>
      </c>
    </row>
    <row r="73" spans="2:9" x14ac:dyDescent="0.25">
      <c r="B73" s="19" t="s">
        <v>10</v>
      </c>
      <c r="C73" s="63">
        <f t="shared" si="23"/>
        <v>3</v>
      </c>
      <c r="D73" s="63">
        <f t="shared" si="19"/>
        <v>3.4375</v>
      </c>
      <c r="E73" s="38">
        <f t="shared" si="24"/>
        <v>0.4375</v>
      </c>
      <c r="F73" s="35">
        <f t="shared" si="20"/>
        <v>1</v>
      </c>
      <c r="G73" s="35">
        <f t="shared" si="21"/>
        <v>16</v>
      </c>
      <c r="H73" s="116" t="s">
        <v>125</v>
      </c>
      <c r="I73" s="39">
        <f t="shared" si="22"/>
        <v>3.4117647058823528</v>
      </c>
    </row>
    <row r="74" spans="2:9" x14ac:dyDescent="0.25">
      <c r="B74" s="19" t="s">
        <v>11</v>
      </c>
      <c r="C74" s="63">
        <f t="shared" si="23"/>
        <v>3.5</v>
      </c>
      <c r="D74" s="63">
        <f t="shared" si="19"/>
        <v>3.1875</v>
      </c>
      <c r="E74" s="38">
        <f t="shared" si="24"/>
        <v>0.3125</v>
      </c>
      <c r="F74" s="35">
        <f t="shared" si="20"/>
        <v>10</v>
      </c>
      <c r="G74" s="35">
        <f t="shared" si="21"/>
        <v>16</v>
      </c>
      <c r="H74" s="116" t="s">
        <v>126</v>
      </c>
      <c r="I74" s="39">
        <f t="shared" si="22"/>
        <v>3.34375</v>
      </c>
    </row>
    <row r="75" spans="2:9" x14ac:dyDescent="0.25">
      <c r="B75" s="19" t="s">
        <v>12</v>
      </c>
      <c r="C75" s="63">
        <f t="shared" si="23"/>
        <v>3</v>
      </c>
      <c r="D75" s="63">
        <f t="shared" si="19"/>
        <v>3.1875</v>
      </c>
      <c r="E75" s="38">
        <f t="shared" si="24"/>
        <v>0.1875</v>
      </c>
      <c r="F75" s="35">
        <f t="shared" si="20"/>
        <v>16</v>
      </c>
      <c r="G75" s="35">
        <f t="shared" si="21"/>
        <v>16</v>
      </c>
      <c r="H75" s="116" t="s">
        <v>126</v>
      </c>
      <c r="I75" s="39">
        <f t="shared" si="22"/>
        <v>3.09375</v>
      </c>
    </row>
    <row r="76" spans="2:9" x14ac:dyDescent="0.25">
      <c r="B76" s="19" t="s">
        <v>13</v>
      </c>
      <c r="C76" s="63">
        <f t="shared" si="23"/>
        <v>3</v>
      </c>
      <c r="D76" s="63">
        <f t="shared" si="19"/>
        <v>3.4375</v>
      </c>
      <c r="E76" s="38">
        <f t="shared" si="24"/>
        <v>0.4375</v>
      </c>
      <c r="F76" s="35">
        <f t="shared" si="20"/>
        <v>2</v>
      </c>
      <c r="G76" s="35">
        <f t="shared" si="21"/>
        <v>16</v>
      </c>
      <c r="H76" s="116" t="s">
        <v>125</v>
      </c>
      <c r="I76" s="39">
        <f t="shared" si="22"/>
        <v>3.3888888888888888</v>
      </c>
    </row>
    <row r="77" spans="2:9" x14ac:dyDescent="0.25">
      <c r="B77" s="19" t="s">
        <v>14</v>
      </c>
      <c r="C77" s="63">
        <f t="shared" si="23"/>
        <v>3.2</v>
      </c>
      <c r="D77" s="63">
        <f t="shared" si="19"/>
        <v>3.0625</v>
      </c>
      <c r="E77" s="38">
        <f t="shared" si="24"/>
        <v>0.13750000000000018</v>
      </c>
      <c r="F77" s="35">
        <f t="shared" si="20"/>
        <v>20</v>
      </c>
      <c r="G77" s="35">
        <f t="shared" si="21"/>
        <v>16</v>
      </c>
      <c r="H77" s="116" t="s">
        <v>126</v>
      </c>
      <c r="I77" s="39">
        <f t="shared" si="22"/>
        <v>3.1312500000000001</v>
      </c>
    </row>
    <row r="78" spans="2:9" x14ac:dyDescent="0.25">
      <c r="B78" s="19" t="s">
        <v>15</v>
      </c>
      <c r="C78" s="63">
        <f t="shared" si="23"/>
        <v>3</v>
      </c>
      <c r="D78" s="63">
        <f t="shared" si="19"/>
        <v>3.6875</v>
      </c>
      <c r="E78" s="38">
        <f t="shared" si="24"/>
        <v>0.6875</v>
      </c>
      <c r="F78" s="35">
        <f t="shared" si="20"/>
        <v>2</v>
      </c>
      <c r="G78" s="35">
        <f t="shared" si="21"/>
        <v>16</v>
      </c>
      <c r="H78" s="116" t="s">
        <v>125</v>
      </c>
      <c r="I78" s="39">
        <f t="shared" si="22"/>
        <v>3.6111111111111112</v>
      </c>
    </row>
    <row r="79" spans="2:9" x14ac:dyDescent="0.25">
      <c r="B79" s="19" t="s">
        <v>16</v>
      </c>
      <c r="C79" s="63">
        <f t="shared" si="23"/>
        <v>2.8</v>
      </c>
      <c r="D79" s="63">
        <f t="shared" si="19"/>
        <v>2.375</v>
      </c>
      <c r="E79" s="38">
        <f t="shared" si="24"/>
        <v>0.42499999999999982</v>
      </c>
      <c r="F79" s="35">
        <f t="shared" si="20"/>
        <v>5</v>
      </c>
      <c r="G79" s="35">
        <f t="shared" si="21"/>
        <v>16</v>
      </c>
      <c r="H79" s="116" t="s">
        <v>126</v>
      </c>
      <c r="I79" s="39">
        <f t="shared" si="22"/>
        <v>2.5874999999999999</v>
      </c>
    </row>
    <row r="80" spans="2:9" ht="15.75" thickBot="1" x14ac:dyDescent="0.3">
      <c r="B80" s="20" t="s">
        <v>17</v>
      </c>
      <c r="C80" s="64">
        <f t="shared" si="23"/>
        <v>3</v>
      </c>
      <c r="D80" s="64">
        <f t="shared" si="19"/>
        <v>3.0625</v>
      </c>
      <c r="E80" s="41">
        <f t="shared" si="24"/>
        <v>6.25E-2</v>
      </c>
      <c r="F80" s="36">
        <f t="shared" si="20"/>
        <v>14</v>
      </c>
      <c r="G80" s="36">
        <f t="shared" si="21"/>
        <v>16</v>
      </c>
      <c r="H80" s="117" t="s">
        <v>126</v>
      </c>
      <c r="I80" s="42">
        <f t="shared" si="22"/>
        <v>3.03125</v>
      </c>
    </row>
    <row r="81" spans="2:13" x14ac:dyDescent="0.25">
      <c r="C81" s="26"/>
      <c r="D81" s="6"/>
    </row>
    <row r="82" spans="2:13" x14ac:dyDescent="0.25">
      <c r="H82" s="6"/>
      <c r="I82" s="6"/>
    </row>
    <row r="83" spans="2:13" ht="15.75" thickBot="1" x14ac:dyDescent="0.3">
      <c r="B83" s="1" t="s">
        <v>980</v>
      </c>
      <c r="H83" s="6"/>
      <c r="I83" s="6"/>
    </row>
    <row r="84" spans="2:13" ht="75" x14ac:dyDescent="0.25">
      <c r="B84" s="89" t="s">
        <v>6</v>
      </c>
      <c r="C84" s="33" t="s">
        <v>223</v>
      </c>
      <c r="D84" s="33" t="s">
        <v>226</v>
      </c>
      <c r="E84" s="33" t="s">
        <v>229</v>
      </c>
      <c r="F84" s="33" t="s">
        <v>232</v>
      </c>
      <c r="G84" s="297" t="s">
        <v>233</v>
      </c>
      <c r="H84" s="611"/>
      <c r="I84" s="613"/>
      <c r="J84" s="91"/>
    </row>
    <row r="85" spans="2:13" x14ac:dyDescent="0.25">
      <c r="B85" s="19" t="s">
        <v>7</v>
      </c>
      <c r="C85" s="38">
        <f t="shared" ref="C85:C96" si="25">I24</f>
        <v>3.916666666666667</v>
      </c>
      <c r="D85" s="38">
        <f t="shared" ref="D85:D96" si="26">I39</f>
        <v>4.6354166666666661</v>
      </c>
      <c r="E85" s="38">
        <f t="shared" ref="E85:E96" si="27">I54</f>
        <v>4.8125</v>
      </c>
      <c r="F85" s="38">
        <f t="shared" ref="F85:F96" si="28">I69</f>
        <v>3.34375</v>
      </c>
      <c r="G85" s="43">
        <f t="shared" ref="G85:G96" si="29">IF(OR(C85="NA", D85="NA", E85="NA", F85="NA"), "NA",AVERAGE(C85:F85))</f>
        <v>4.177083333333333</v>
      </c>
      <c r="H85" s="614"/>
      <c r="I85" s="616"/>
      <c r="J85" s="54"/>
    </row>
    <row r="86" spans="2:13" x14ac:dyDescent="0.25">
      <c r="B86" s="19" t="s">
        <v>34</v>
      </c>
      <c r="C86" s="38" t="str">
        <f t="shared" si="25"/>
        <v>NA</v>
      </c>
      <c r="D86" s="38" t="str">
        <f t="shared" si="26"/>
        <v>NA</v>
      </c>
      <c r="E86" s="38" t="str">
        <f t="shared" si="27"/>
        <v>NA</v>
      </c>
      <c r="F86" s="38" t="str">
        <f t="shared" si="28"/>
        <v>NA</v>
      </c>
      <c r="G86" s="43" t="str">
        <f t="shared" si="29"/>
        <v>NA</v>
      </c>
      <c r="H86" s="614"/>
      <c r="I86" s="616"/>
      <c r="J86" s="54"/>
    </row>
    <row r="87" spans="2:13" x14ac:dyDescent="0.25">
      <c r="B87" s="19" t="s">
        <v>8</v>
      </c>
      <c r="C87" s="38">
        <f t="shared" si="25"/>
        <v>4.7058823529411766</v>
      </c>
      <c r="D87" s="38">
        <f t="shared" si="26"/>
        <v>3.4705882352941178</v>
      </c>
      <c r="E87" s="38">
        <f t="shared" si="27"/>
        <v>3.25</v>
      </c>
      <c r="F87" s="38">
        <f t="shared" si="28"/>
        <v>2.1176470588235294</v>
      </c>
      <c r="G87" s="43">
        <f t="shared" si="29"/>
        <v>3.3860294117647056</v>
      </c>
      <c r="H87" s="614"/>
      <c r="I87" s="616"/>
      <c r="J87" s="54"/>
    </row>
    <row r="88" spans="2:13" x14ac:dyDescent="0.25">
      <c r="B88" s="19" t="s">
        <v>9</v>
      </c>
      <c r="C88" s="38">
        <f t="shared" si="25"/>
        <v>4.90625</v>
      </c>
      <c r="D88" s="38">
        <f t="shared" si="26"/>
        <v>3.5590277777777777</v>
      </c>
      <c r="E88" s="38">
        <f t="shared" si="27"/>
        <v>3.125</v>
      </c>
      <c r="F88" s="38">
        <f t="shared" si="28"/>
        <v>3.125</v>
      </c>
      <c r="G88" s="43">
        <f t="shared" si="29"/>
        <v>3.6788194444444446</v>
      </c>
      <c r="H88" s="614"/>
      <c r="I88" s="616"/>
      <c r="J88" s="54"/>
    </row>
    <row r="89" spans="2:13" x14ac:dyDescent="0.25">
      <c r="B89" s="19" t="s">
        <v>10</v>
      </c>
      <c r="C89" s="38">
        <f t="shared" si="25"/>
        <v>2.5882352941176472</v>
      </c>
      <c r="D89" s="38">
        <f t="shared" si="26"/>
        <v>2.8125</v>
      </c>
      <c r="E89" s="38">
        <f t="shared" si="27"/>
        <v>2.6875</v>
      </c>
      <c r="F89" s="38">
        <f t="shared" si="28"/>
        <v>3.4117647058823528</v>
      </c>
      <c r="G89" s="43">
        <f t="shared" si="29"/>
        <v>2.875</v>
      </c>
      <c r="H89" s="614"/>
      <c r="I89" s="616"/>
      <c r="J89" s="54"/>
    </row>
    <row r="90" spans="2:13" s="16" customFormat="1" x14ac:dyDescent="0.25">
      <c r="B90" s="19" t="s">
        <v>11</v>
      </c>
      <c r="C90" s="38">
        <f t="shared" si="25"/>
        <v>4.8</v>
      </c>
      <c r="D90" s="38">
        <f t="shared" si="26"/>
        <v>3.8312499999999998</v>
      </c>
      <c r="E90" s="38">
        <f t="shared" si="27"/>
        <v>3.8687499999999999</v>
      </c>
      <c r="F90" s="38">
        <f t="shared" si="28"/>
        <v>3.34375</v>
      </c>
      <c r="G90" s="43">
        <f t="shared" si="29"/>
        <v>3.9609375</v>
      </c>
      <c r="H90" s="620"/>
      <c r="I90" s="621"/>
      <c r="J90" s="54"/>
      <c r="K90" s="49"/>
      <c r="L90" s="91"/>
      <c r="M90" s="86"/>
    </row>
    <row r="91" spans="2:13" x14ac:dyDescent="0.25">
      <c r="B91" s="19" t="s">
        <v>12</v>
      </c>
      <c r="C91" s="38">
        <f t="shared" si="25"/>
        <v>4.96875</v>
      </c>
      <c r="D91" s="38">
        <f t="shared" si="26"/>
        <v>3.84375</v>
      </c>
      <c r="E91" s="38">
        <f t="shared" si="27"/>
        <v>3.9270833333333335</v>
      </c>
      <c r="F91" s="38">
        <f t="shared" si="28"/>
        <v>3.09375</v>
      </c>
      <c r="G91" s="43">
        <f t="shared" si="29"/>
        <v>3.9583333333333335</v>
      </c>
      <c r="H91" s="614"/>
      <c r="I91" s="616"/>
      <c r="J91" s="54"/>
      <c r="L91" s="92"/>
      <c r="M91" s="90"/>
    </row>
    <row r="92" spans="2:13" x14ac:dyDescent="0.25">
      <c r="B92" s="19" t="s">
        <v>13</v>
      </c>
      <c r="C92" s="38">
        <f t="shared" si="25"/>
        <v>4.9444444444444446</v>
      </c>
      <c r="D92" s="38">
        <f t="shared" si="26"/>
        <v>3.8333333333333335</v>
      </c>
      <c r="E92" s="38">
        <f t="shared" si="27"/>
        <v>2.9333333333333331</v>
      </c>
      <c r="F92" s="38">
        <f t="shared" si="28"/>
        <v>3.3888888888888888</v>
      </c>
      <c r="G92" s="43">
        <f t="shared" si="29"/>
        <v>3.7750000000000004</v>
      </c>
      <c r="H92" s="614"/>
      <c r="I92" s="616"/>
      <c r="J92" s="54"/>
      <c r="L92" s="92"/>
      <c r="M92" s="90"/>
    </row>
    <row r="93" spans="2:13" x14ac:dyDescent="0.25">
      <c r="B93" s="19" t="s">
        <v>14</v>
      </c>
      <c r="C93" s="38">
        <f t="shared" si="25"/>
        <v>3.1875</v>
      </c>
      <c r="D93" s="38">
        <f t="shared" si="26"/>
        <v>3.5</v>
      </c>
      <c r="E93" s="38">
        <f t="shared" si="27"/>
        <v>4.1875</v>
      </c>
      <c r="F93" s="38">
        <f t="shared" si="28"/>
        <v>3.1312500000000001</v>
      </c>
      <c r="G93" s="43">
        <f t="shared" si="29"/>
        <v>3.5015624999999999</v>
      </c>
      <c r="H93" s="614"/>
      <c r="I93" s="616"/>
      <c r="J93" s="54"/>
      <c r="L93" s="92"/>
      <c r="M93" s="90"/>
    </row>
    <row r="94" spans="2:13" x14ac:dyDescent="0.25">
      <c r="B94" s="19" t="s">
        <v>15</v>
      </c>
      <c r="C94" s="38">
        <f t="shared" si="25"/>
        <v>4.7777777777777777</v>
      </c>
      <c r="D94" s="38">
        <f t="shared" si="26"/>
        <v>3.6111111111111112</v>
      </c>
      <c r="E94" s="38">
        <f t="shared" si="27"/>
        <v>2.9411764705882355</v>
      </c>
      <c r="F94" s="38">
        <f t="shared" si="28"/>
        <v>3.6111111111111112</v>
      </c>
      <c r="G94" s="43">
        <f t="shared" si="29"/>
        <v>3.7352941176470589</v>
      </c>
      <c r="H94" s="614"/>
      <c r="I94" s="616"/>
      <c r="J94" s="54"/>
      <c r="L94" s="92"/>
      <c r="M94" s="90"/>
    </row>
    <row r="95" spans="2:13" x14ac:dyDescent="0.25">
      <c r="B95" s="19" t="s">
        <v>16</v>
      </c>
      <c r="C95" s="38">
        <f t="shared" si="25"/>
        <v>3.8374999999999999</v>
      </c>
      <c r="D95" s="38">
        <f t="shared" si="26"/>
        <v>2.9187500000000002</v>
      </c>
      <c r="E95" s="38">
        <f t="shared" si="27"/>
        <v>3.5</v>
      </c>
      <c r="F95" s="38">
        <f t="shared" si="28"/>
        <v>2.5874999999999999</v>
      </c>
      <c r="G95" s="43">
        <f t="shared" si="29"/>
        <v>3.2109375</v>
      </c>
      <c r="H95" s="614"/>
      <c r="I95" s="616"/>
      <c r="J95" s="54"/>
      <c r="L95" s="92"/>
      <c r="M95" s="90"/>
    </row>
    <row r="96" spans="2:13" ht="15.75" thickBot="1" x14ac:dyDescent="0.3">
      <c r="B96" s="20" t="s">
        <v>17</v>
      </c>
      <c r="C96" s="41">
        <f t="shared" si="25"/>
        <v>3.3303571428571428</v>
      </c>
      <c r="D96" s="41">
        <f t="shared" si="26"/>
        <v>3.6696428571428572</v>
      </c>
      <c r="E96" s="41">
        <f t="shared" si="27"/>
        <v>4.03125</v>
      </c>
      <c r="F96" s="41">
        <f t="shared" si="28"/>
        <v>3.03125</v>
      </c>
      <c r="G96" s="44">
        <f t="shared" si="29"/>
        <v>3.515625</v>
      </c>
      <c r="H96" s="617"/>
      <c r="I96" s="619"/>
      <c r="J96" s="54"/>
      <c r="L96" s="92"/>
      <c r="M96" s="90"/>
    </row>
    <row r="97" spans="2:13" x14ac:dyDescent="0.25">
      <c r="H97" s="54"/>
      <c r="I97" s="54"/>
      <c r="J97" s="54"/>
      <c r="L97" s="92"/>
      <c r="M97" s="90"/>
    </row>
    <row r="98" spans="2:13" ht="15.75" thickBot="1" x14ac:dyDescent="0.3">
      <c r="B98" s="1" t="s">
        <v>981</v>
      </c>
      <c r="L98" s="92"/>
      <c r="M98" s="90"/>
    </row>
    <row r="99" spans="2:13" ht="60" x14ac:dyDescent="0.25">
      <c r="B99" s="27" t="s">
        <v>6</v>
      </c>
      <c r="C99" s="33" t="s">
        <v>234</v>
      </c>
      <c r="D99" s="33" t="s">
        <v>235</v>
      </c>
      <c r="E99" s="412" t="s">
        <v>811</v>
      </c>
      <c r="F99" s="33" t="s">
        <v>182</v>
      </c>
      <c r="G99" s="33" t="s">
        <v>183</v>
      </c>
      <c r="H99" s="70" t="s">
        <v>128</v>
      </c>
      <c r="I99" s="34" t="s">
        <v>236</v>
      </c>
      <c r="L99" s="92"/>
      <c r="M99" s="90"/>
    </row>
    <row r="100" spans="2:13" x14ac:dyDescent="0.25">
      <c r="B100" s="19" t="s">
        <v>7</v>
      </c>
      <c r="C100" s="63">
        <f>IFERROR(AVERAGEIFS($I$144:$I$263,$C$144:$C$263,"="&amp;B100), "NA")</f>
        <v>3.8333333333333335</v>
      </c>
      <c r="D100" s="63">
        <f t="shared" ref="D100:D111" si="30">IFERROR(AVERAGEIFS($I$272:$I$495,$C$272:$C$495,"="&amp;B100), "NA")</f>
        <v>4.2666666666666666</v>
      </c>
      <c r="E100" s="38">
        <f>IFERROR(ABS(D100-C100), "NA")</f>
        <v>0.43333333333333313</v>
      </c>
      <c r="F100" s="35">
        <f t="shared" ref="F100:F111" si="31">COUNTIFS($C$144:$C$267, "="&amp;B100,$I$144:$I$267,"&gt;=0")</f>
        <v>6</v>
      </c>
      <c r="G100" s="35">
        <f t="shared" ref="G100:G111" si="32">COUNTIFS($I$272:$I$495, "&gt;=0", $C$272:$C$495, "="&amp;B100)</f>
        <v>15</v>
      </c>
      <c r="H100" s="116" t="s">
        <v>126</v>
      </c>
      <c r="I100" s="39">
        <f t="shared" ref="I100:I111" si="33">IF(AND(ISNUMBER(C100),ISNUMBER(D100)),IF(H100="Average All",((F100*C100)+(G100*D100))/(F100+G100),AVERAGE(C100:D100)), IF(AND(C100="NA", ISNUMBER(D100)), D100, "NA"))</f>
        <v>4.05</v>
      </c>
      <c r="L100" s="92"/>
      <c r="M100" s="90"/>
    </row>
    <row r="101" spans="2:13" x14ac:dyDescent="0.25">
      <c r="B101" s="19" t="s">
        <v>34</v>
      </c>
      <c r="C101" s="63" t="str">
        <f t="shared" ref="C101:C111" si="34">IFERROR(AVERAGEIFS($I$144:$I$263,$C$144:$C$263,"="&amp;B101), "NA")</f>
        <v>NA</v>
      </c>
      <c r="D101" s="63" t="str">
        <f t="shared" si="30"/>
        <v>NA</v>
      </c>
      <c r="E101" s="38" t="str">
        <f t="shared" ref="E101:E111" si="35">IFERROR(ABS(D101-C101), "NA")</f>
        <v>NA</v>
      </c>
      <c r="F101" s="35">
        <f t="shared" si="31"/>
        <v>0</v>
      </c>
      <c r="G101" s="35">
        <f t="shared" si="32"/>
        <v>0</v>
      </c>
      <c r="H101" s="116" t="s">
        <v>125</v>
      </c>
      <c r="I101" s="39" t="str">
        <f t="shared" si="33"/>
        <v>NA</v>
      </c>
      <c r="L101" s="92"/>
      <c r="M101" s="90"/>
    </row>
    <row r="102" spans="2:13" x14ac:dyDescent="0.25">
      <c r="B102" s="19" t="s">
        <v>8</v>
      </c>
      <c r="C102" s="63">
        <f t="shared" si="34"/>
        <v>3</v>
      </c>
      <c r="D102" s="63">
        <f t="shared" si="30"/>
        <v>3.0625</v>
      </c>
      <c r="E102" s="38">
        <f t="shared" si="35"/>
        <v>6.25E-2</v>
      </c>
      <c r="F102" s="35">
        <f t="shared" si="31"/>
        <v>1</v>
      </c>
      <c r="G102" s="35">
        <f t="shared" si="32"/>
        <v>16</v>
      </c>
      <c r="H102" s="116" t="s">
        <v>125</v>
      </c>
      <c r="I102" s="39">
        <f t="shared" si="33"/>
        <v>3.0588235294117645</v>
      </c>
      <c r="L102" s="92"/>
      <c r="M102" s="90"/>
    </row>
    <row r="103" spans="2:13" x14ac:dyDescent="0.25">
      <c r="B103" s="19" t="s">
        <v>9</v>
      </c>
      <c r="C103" s="63">
        <f t="shared" si="34"/>
        <v>4</v>
      </c>
      <c r="D103" s="63">
        <f t="shared" si="30"/>
        <v>3.6875</v>
      </c>
      <c r="E103" s="38">
        <f t="shared" si="35"/>
        <v>0.3125</v>
      </c>
      <c r="F103" s="35">
        <f t="shared" si="31"/>
        <v>9</v>
      </c>
      <c r="G103" s="35">
        <f t="shared" si="32"/>
        <v>16</v>
      </c>
      <c r="H103" s="116" t="s">
        <v>126</v>
      </c>
      <c r="I103" s="39">
        <f t="shared" si="33"/>
        <v>3.84375</v>
      </c>
      <c r="L103" s="54"/>
      <c r="M103" s="54"/>
    </row>
    <row r="104" spans="2:13" x14ac:dyDescent="0.25">
      <c r="B104" s="19" t="s">
        <v>10</v>
      </c>
      <c r="C104" s="63">
        <f t="shared" si="34"/>
        <v>4</v>
      </c>
      <c r="D104" s="63">
        <f t="shared" si="30"/>
        <v>3.5625</v>
      </c>
      <c r="E104" s="38">
        <f t="shared" si="35"/>
        <v>0.4375</v>
      </c>
      <c r="F104" s="35">
        <f t="shared" si="31"/>
        <v>1</v>
      </c>
      <c r="G104" s="35">
        <f t="shared" si="32"/>
        <v>16</v>
      </c>
      <c r="H104" s="116" t="s">
        <v>125</v>
      </c>
      <c r="I104" s="39">
        <f t="shared" si="33"/>
        <v>3.5882352941176472</v>
      </c>
    </row>
    <row r="105" spans="2:13" x14ac:dyDescent="0.25">
      <c r="B105" s="19" t="s">
        <v>11</v>
      </c>
      <c r="C105" s="63">
        <f t="shared" si="34"/>
        <v>4.2</v>
      </c>
      <c r="D105" s="63">
        <f t="shared" si="30"/>
        <v>4.3125</v>
      </c>
      <c r="E105" s="38">
        <f t="shared" si="35"/>
        <v>0.11249999999999982</v>
      </c>
      <c r="F105" s="35">
        <f t="shared" si="31"/>
        <v>10</v>
      </c>
      <c r="G105" s="35">
        <f t="shared" si="32"/>
        <v>16</v>
      </c>
      <c r="H105" s="116" t="s">
        <v>126</v>
      </c>
      <c r="I105" s="39">
        <f t="shared" si="33"/>
        <v>4.2562499999999996</v>
      </c>
    </row>
    <row r="106" spans="2:13" x14ac:dyDescent="0.25">
      <c r="B106" s="19" t="s">
        <v>12</v>
      </c>
      <c r="C106" s="63">
        <f t="shared" si="34"/>
        <v>4.125</v>
      </c>
      <c r="D106" s="63">
        <f t="shared" si="30"/>
        <v>3.625</v>
      </c>
      <c r="E106" s="38">
        <f t="shared" si="35"/>
        <v>0.5</v>
      </c>
      <c r="F106" s="35">
        <f t="shared" si="31"/>
        <v>16</v>
      </c>
      <c r="G106" s="35">
        <f t="shared" si="32"/>
        <v>16</v>
      </c>
      <c r="H106" s="116" t="s">
        <v>126</v>
      </c>
      <c r="I106" s="39">
        <f t="shared" si="33"/>
        <v>3.875</v>
      </c>
    </row>
    <row r="107" spans="2:13" x14ac:dyDescent="0.25">
      <c r="B107" s="19" t="s">
        <v>13</v>
      </c>
      <c r="C107" s="63">
        <f t="shared" si="34"/>
        <v>4</v>
      </c>
      <c r="D107" s="63">
        <f t="shared" si="30"/>
        <v>3.75</v>
      </c>
      <c r="E107" s="38">
        <f t="shared" si="35"/>
        <v>0.25</v>
      </c>
      <c r="F107" s="35">
        <f t="shared" si="31"/>
        <v>2</v>
      </c>
      <c r="G107" s="35">
        <f t="shared" si="32"/>
        <v>16</v>
      </c>
      <c r="H107" s="116" t="s">
        <v>125</v>
      </c>
      <c r="I107" s="39">
        <f t="shared" si="33"/>
        <v>3.7777777777777777</v>
      </c>
    </row>
    <row r="108" spans="2:13" x14ac:dyDescent="0.25">
      <c r="B108" s="19" t="s">
        <v>14</v>
      </c>
      <c r="C108" s="63">
        <f t="shared" si="34"/>
        <v>3.1666666666666665</v>
      </c>
      <c r="D108" s="63">
        <f t="shared" si="30"/>
        <v>3.5625</v>
      </c>
      <c r="E108" s="38">
        <f t="shared" si="35"/>
        <v>0.39583333333333348</v>
      </c>
      <c r="F108" s="35">
        <f t="shared" si="31"/>
        <v>12</v>
      </c>
      <c r="G108" s="35">
        <f t="shared" si="32"/>
        <v>16</v>
      </c>
      <c r="H108" s="116" t="s">
        <v>126</v>
      </c>
      <c r="I108" s="39">
        <f t="shared" si="33"/>
        <v>3.364583333333333</v>
      </c>
    </row>
    <row r="109" spans="2:13" x14ac:dyDescent="0.25">
      <c r="B109" s="19" t="s">
        <v>15</v>
      </c>
      <c r="C109" s="63">
        <f t="shared" si="34"/>
        <v>4.5</v>
      </c>
      <c r="D109" s="63">
        <f t="shared" si="30"/>
        <v>4.0625</v>
      </c>
      <c r="E109" s="38">
        <f t="shared" si="35"/>
        <v>0.4375</v>
      </c>
      <c r="F109" s="35">
        <f t="shared" si="31"/>
        <v>2</v>
      </c>
      <c r="G109" s="35">
        <f t="shared" si="32"/>
        <v>16</v>
      </c>
      <c r="H109" s="116" t="s">
        <v>125</v>
      </c>
      <c r="I109" s="39">
        <f t="shared" si="33"/>
        <v>4.1111111111111107</v>
      </c>
    </row>
    <row r="110" spans="2:13" x14ac:dyDescent="0.25">
      <c r="B110" s="19" t="s">
        <v>16</v>
      </c>
      <c r="C110" s="63">
        <f t="shared" si="34"/>
        <v>3</v>
      </c>
      <c r="D110" s="63">
        <f t="shared" si="30"/>
        <v>3.5</v>
      </c>
      <c r="E110" s="38">
        <f t="shared" si="35"/>
        <v>0.5</v>
      </c>
      <c r="F110" s="35">
        <f t="shared" si="31"/>
        <v>5</v>
      </c>
      <c r="G110" s="35">
        <f t="shared" si="32"/>
        <v>16</v>
      </c>
      <c r="H110" s="116" t="s">
        <v>126</v>
      </c>
      <c r="I110" s="39">
        <f t="shared" si="33"/>
        <v>3.25</v>
      </c>
    </row>
    <row r="111" spans="2:13" ht="15.75" thickBot="1" x14ac:dyDescent="0.3">
      <c r="B111" s="20" t="s">
        <v>17</v>
      </c>
      <c r="C111" s="64">
        <f t="shared" si="34"/>
        <v>3.8333333333333335</v>
      </c>
      <c r="D111" s="64">
        <f t="shared" si="30"/>
        <v>3.8125</v>
      </c>
      <c r="E111" s="41">
        <f t="shared" si="35"/>
        <v>2.0833333333333481E-2</v>
      </c>
      <c r="F111" s="36">
        <f t="shared" si="31"/>
        <v>6</v>
      </c>
      <c r="G111" s="36">
        <f t="shared" si="32"/>
        <v>16</v>
      </c>
      <c r="H111" s="117" t="s">
        <v>126</v>
      </c>
      <c r="I111" s="42">
        <f t="shared" si="33"/>
        <v>3.822916666666667</v>
      </c>
    </row>
    <row r="113" spans="2:11" ht="15.75" thickBot="1" x14ac:dyDescent="0.3">
      <c r="B113" s="1" t="s">
        <v>982</v>
      </c>
    </row>
    <row r="114" spans="2:11" ht="90" x14ac:dyDescent="0.25">
      <c r="B114" s="25" t="s">
        <v>6</v>
      </c>
      <c r="C114" s="33" t="s">
        <v>239</v>
      </c>
      <c r="D114" s="296" t="s">
        <v>238</v>
      </c>
      <c r="E114" s="296" t="s">
        <v>236</v>
      </c>
      <c r="F114" s="297" t="s">
        <v>237</v>
      </c>
      <c r="G114" s="611"/>
      <c r="H114" s="612"/>
      <c r="I114" s="613"/>
      <c r="J114" s="14"/>
    </row>
    <row r="115" spans="2:11" x14ac:dyDescent="0.25">
      <c r="B115" s="19" t="s">
        <v>7</v>
      </c>
      <c r="C115" s="38">
        <f t="shared" ref="C115:C126" si="36">D8</f>
        <v>3.1038538175342545</v>
      </c>
      <c r="D115" s="150">
        <f t="shared" ref="D115:D126" si="37">G85</f>
        <v>4.177083333333333</v>
      </c>
      <c r="E115" s="150">
        <f t="shared" ref="E115:E126" si="38">I100</f>
        <v>4.05</v>
      </c>
      <c r="F115" s="238">
        <f>IF(OR(C115="NA", D115="NA",E115="NA"),"NA",AVERAGE(C115:E115))</f>
        <v>3.7769790502891958</v>
      </c>
      <c r="G115" s="614"/>
      <c r="H115" s="615"/>
      <c r="I115" s="616"/>
    </row>
    <row r="116" spans="2:11" x14ac:dyDescent="0.25">
      <c r="B116" s="19" t="s">
        <v>34</v>
      </c>
      <c r="C116" s="38">
        <f t="shared" si="36"/>
        <v>5</v>
      </c>
      <c r="D116" s="150" t="str">
        <f t="shared" si="37"/>
        <v>NA</v>
      </c>
      <c r="E116" s="150" t="str">
        <f t="shared" si="38"/>
        <v>NA</v>
      </c>
      <c r="F116" s="238" t="str">
        <f>IF(OR(C116="NA", D116="NA",E116="NA"),"NA",AVERAGE(C116:E116))</f>
        <v>NA</v>
      </c>
      <c r="G116" s="614"/>
      <c r="H116" s="615"/>
      <c r="I116" s="616"/>
    </row>
    <row r="117" spans="2:11" x14ac:dyDescent="0.25">
      <c r="B117" s="19" t="s">
        <v>8</v>
      </c>
      <c r="C117" s="38">
        <f t="shared" si="36"/>
        <v>3.1689719074296128</v>
      </c>
      <c r="D117" s="150">
        <f t="shared" si="37"/>
        <v>3.3860294117647056</v>
      </c>
      <c r="E117" s="150">
        <f t="shared" si="38"/>
        <v>3.0588235294117645</v>
      </c>
      <c r="F117" s="238">
        <f>IF(OR(C117="NA", D117="NA",E117="NA"),"NA",AVERAGE(C117:E117))</f>
        <v>3.2046082828686941</v>
      </c>
      <c r="G117" s="614"/>
      <c r="H117" s="615"/>
      <c r="I117" s="616"/>
    </row>
    <row r="118" spans="2:11" x14ac:dyDescent="0.25">
      <c r="B118" s="19" t="s">
        <v>9</v>
      </c>
      <c r="C118" s="38">
        <f t="shared" si="36"/>
        <v>3.8085054112973178</v>
      </c>
      <c r="D118" s="150">
        <f t="shared" si="37"/>
        <v>3.6788194444444446</v>
      </c>
      <c r="E118" s="150">
        <f t="shared" si="38"/>
        <v>3.84375</v>
      </c>
      <c r="F118" s="238">
        <f>IF(OR(C118="NA", D118="NA",E118="NA"),"NA",AVERAGE(C118:E118))</f>
        <v>3.777024951913921</v>
      </c>
      <c r="G118" s="614"/>
      <c r="H118" s="615"/>
      <c r="I118" s="616"/>
    </row>
    <row r="119" spans="2:11" x14ac:dyDescent="0.25">
      <c r="B119" s="19" t="s">
        <v>19</v>
      </c>
      <c r="C119" s="38">
        <f t="shared" si="36"/>
        <v>3.1468592175053165</v>
      </c>
      <c r="D119" s="150">
        <f t="shared" si="37"/>
        <v>2.875</v>
      </c>
      <c r="E119" s="150">
        <f t="shared" si="38"/>
        <v>3.5882352941176472</v>
      </c>
      <c r="F119" s="238">
        <f t="shared" ref="F119:F126" si="39">IF(OR(C119="NA", D119="NA",E119="NA"),"NA",AVERAGE(C119:E119))</f>
        <v>3.2033648372076544</v>
      </c>
      <c r="G119" s="614"/>
      <c r="H119" s="615"/>
      <c r="I119" s="616"/>
    </row>
    <row r="120" spans="2:11" s="14" customFormat="1" x14ac:dyDescent="0.25">
      <c r="B120" s="19" t="s">
        <v>11</v>
      </c>
      <c r="C120" s="38">
        <f t="shared" si="36"/>
        <v>4.3535690616985478</v>
      </c>
      <c r="D120" s="150">
        <f t="shared" si="37"/>
        <v>3.9609375</v>
      </c>
      <c r="E120" s="150">
        <f t="shared" si="38"/>
        <v>4.2562499999999996</v>
      </c>
      <c r="F120" s="238">
        <f t="shared" si="39"/>
        <v>4.1902521872328489</v>
      </c>
      <c r="G120" s="622"/>
      <c r="H120" s="623"/>
      <c r="I120" s="624"/>
      <c r="J120"/>
      <c r="K120" s="49"/>
    </row>
    <row r="121" spans="2:11" x14ac:dyDescent="0.25">
      <c r="B121" s="19" t="s">
        <v>12</v>
      </c>
      <c r="C121" s="38">
        <f t="shared" si="36"/>
        <v>3.879832365382867</v>
      </c>
      <c r="D121" s="150">
        <f t="shared" si="37"/>
        <v>3.9583333333333335</v>
      </c>
      <c r="E121" s="150">
        <f t="shared" si="38"/>
        <v>3.875</v>
      </c>
      <c r="F121" s="238">
        <f t="shared" si="39"/>
        <v>3.9043885662387332</v>
      </c>
      <c r="G121" s="614"/>
      <c r="H121" s="615"/>
      <c r="I121" s="616"/>
      <c r="J121" s="6"/>
    </row>
    <row r="122" spans="2:11" x14ac:dyDescent="0.25">
      <c r="B122" s="19" t="s">
        <v>13</v>
      </c>
      <c r="C122" s="38">
        <f t="shared" si="36"/>
        <v>4.1669658056161474</v>
      </c>
      <c r="D122" s="150">
        <f t="shared" si="37"/>
        <v>3.7750000000000004</v>
      </c>
      <c r="E122" s="150">
        <f t="shared" si="38"/>
        <v>3.7777777777777777</v>
      </c>
      <c r="F122" s="238">
        <f t="shared" si="39"/>
        <v>3.9065811944646414</v>
      </c>
      <c r="G122" s="614"/>
      <c r="H122" s="615"/>
      <c r="I122" s="616"/>
      <c r="J122" s="6"/>
    </row>
    <row r="123" spans="2:11" x14ac:dyDescent="0.25">
      <c r="B123" s="19" t="s">
        <v>14</v>
      </c>
      <c r="C123" s="38">
        <f t="shared" si="36"/>
        <v>3.0051955761860523</v>
      </c>
      <c r="D123" s="150">
        <f t="shared" si="37"/>
        <v>3.5015624999999999</v>
      </c>
      <c r="E123" s="150">
        <f t="shared" si="38"/>
        <v>3.364583333333333</v>
      </c>
      <c r="F123" s="238">
        <f t="shared" si="39"/>
        <v>3.2904471365064616</v>
      </c>
      <c r="G123" s="614"/>
      <c r="H123" s="615"/>
      <c r="I123" s="616"/>
      <c r="J123" s="6"/>
    </row>
    <row r="124" spans="2:11" x14ac:dyDescent="0.25">
      <c r="B124" s="19" t="s">
        <v>15</v>
      </c>
      <c r="C124" s="38">
        <f t="shared" si="36"/>
        <v>3.0424465468376072</v>
      </c>
      <c r="D124" s="150">
        <f t="shared" si="37"/>
        <v>3.7352941176470589</v>
      </c>
      <c r="E124" s="150">
        <f t="shared" si="38"/>
        <v>4.1111111111111107</v>
      </c>
      <c r="F124" s="238">
        <f t="shared" si="39"/>
        <v>3.6296172585319257</v>
      </c>
      <c r="G124" s="614"/>
      <c r="H124" s="615"/>
      <c r="I124" s="616"/>
      <c r="J124" s="6"/>
    </row>
    <row r="125" spans="2:11" x14ac:dyDescent="0.25">
      <c r="B125" s="19" t="s">
        <v>16</v>
      </c>
      <c r="C125" s="38">
        <f t="shared" si="36"/>
        <v>3.1429580288041623</v>
      </c>
      <c r="D125" s="150">
        <f t="shared" si="37"/>
        <v>3.2109375</v>
      </c>
      <c r="E125" s="150">
        <f t="shared" si="38"/>
        <v>3.25</v>
      </c>
      <c r="F125" s="238">
        <f t="shared" si="39"/>
        <v>3.2012985096013877</v>
      </c>
      <c r="G125" s="614"/>
      <c r="H125" s="615"/>
      <c r="I125" s="616"/>
      <c r="J125" s="6"/>
    </row>
    <row r="126" spans="2:11" ht="15.75" thickBot="1" x14ac:dyDescent="0.3">
      <c r="B126" s="20" t="s">
        <v>17</v>
      </c>
      <c r="C126" s="41">
        <f t="shared" si="36"/>
        <v>3.1212147939173254</v>
      </c>
      <c r="D126" s="151">
        <f t="shared" si="37"/>
        <v>3.515625</v>
      </c>
      <c r="E126" s="151">
        <f t="shared" si="38"/>
        <v>3.822916666666667</v>
      </c>
      <c r="F126" s="402">
        <f t="shared" si="39"/>
        <v>3.4865854868613311</v>
      </c>
      <c r="G126" s="617"/>
      <c r="H126" s="618"/>
      <c r="I126" s="619"/>
      <c r="J126" s="6"/>
    </row>
    <row r="127" spans="2:11" x14ac:dyDescent="0.25">
      <c r="H127" s="6"/>
      <c r="I127" s="6"/>
      <c r="J127" s="6"/>
    </row>
    <row r="128" spans="2:11" ht="15.75" hidden="1" thickBot="1" x14ac:dyDescent="0.3">
      <c r="B128" s="1" t="s">
        <v>846</v>
      </c>
      <c r="H128" s="6"/>
      <c r="I128" s="6"/>
      <c r="J128" s="6"/>
    </row>
    <row r="129" spans="2:10" ht="90" hidden="1" x14ac:dyDescent="0.25">
      <c r="B129" s="25" t="s">
        <v>851</v>
      </c>
      <c r="C129" s="413" t="str">
        <f>C114</f>
        <v>Water
Shortage Volume Performance Measure Scores</v>
      </c>
      <c r="D129" s="413" t="str">
        <f t="shared" ref="D129:F129" si="40">D114</f>
        <v>Vulnerability of Water Supply Facilities and Infrastructure Performance Measure Scores</v>
      </c>
      <c r="E129" s="413" t="str">
        <f t="shared" si="40"/>
        <v>Carryover Storage Performance Measure Scores</v>
      </c>
      <c r="F129" s="297" t="str">
        <f t="shared" si="40"/>
        <v>Reliability and Robustness Evaluation Objective Unweighted Scores</v>
      </c>
      <c r="G129" s="231"/>
      <c r="H129" s="231"/>
      <c r="I129" s="231"/>
      <c r="J129" s="6"/>
    </row>
    <row r="130" spans="2:10" hidden="1" x14ac:dyDescent="0.25">
      <c r="B130" s="463" t="s">
        <v>848</v>
      </c>
      <c r="C130" s="241">
        <f>MAX(C115:C126)</f>
        <v>5</v>
      </c>
      <c r="D130" s="241">
        <f>MAX(D115:D126)</f>
        <v>4.177083333333333</v>
      </c>
      <c r="E130" s="241">
        <f>MAX(E115:E126)</f>
        <v>4.2562499999999996</v>
      </c>
      <c r="F130" s="464">
        <f>MAX(F115:F126)</f>
        <v>4.1902521872328489</v>
      </c>
      <c r="G130" s="231"/>
      <c r="H130" s="231"/>
      <c r="I130" s="231"/>
      <c r="J130" s="6"/>
    </row>
    <row r="131" spans="2:10" ht="30" hidden="1" x14ac:dyDescent="0.25">
      <c r="B131" s="463" t="s">
        <v>849</v>
      </c>
      <c r="C131" s="461" t="str">
        <f>INDEX($B115:$B126,MATCH(C130,C115:C126,0))</f>
        <v>Enhanced Conservation</v>
      </c>
      <c r="D131" s="461" t="str">
        <f>INDEX($B115:$B126,MATCH(D130,D115:D126,0))</f>
        <v>Conveyance Improvement</v>
      </c>
      <c r="E131" s="461" t="str">
        <f>INDEX($B115:$B126,MATCH(E130,E115:E126,0))</f>
        <v>Potable Reuse</v>
      </c>
      <c r="F131" s="462" t="str">
        <f>INDEX($B115:$B126,MATCH(F130,F115:F126,0))</f>
        <v>Potable Reuse</v>
      </c>
      <c r="G131" s="231"/>
      <c r="H131" s="231"/>
      <c r="I131" s="231"/>
      <c r="J131" s="6"/>
    </row>
    <row r="132" spans="2:10" hidden="1" x14ac:dyDescent="0.25">
      <c r="B132" s="504" t="s">
        <v>861</v>
      </c>
      <c r="C132" s="497">
        <f>LARGE(C115:C126,2)</f>
        <v>4.3535690616985478</v>
      </c>
      <c r="D132" s="497">
        <f>LARGE(D115:D126,2)</f>
        <v>3.9609375</v>
      </c>
      <c r="E132" s="497">
        <f>LARGE(E115:E126,2)</f>
        <v>4.1111111111111107</v>
      </c>
      <c r="F132" s="498">
        <f>LARGE(F115:F126,2)</f>
        <v>3.9065811944646414</v>
      </c>
      <c r="G132" s="231"/>
      <c r="H132" s="231"/>
      <c r="I132" s="231"/>
      <c r="J132" s="6"/>
    </row>
    <row r="133" spans="2:10" ht="30" hidden="1" x14ac:dyDescent="0.25">
      <c r="B133" s="505" t="s">
        <v>862</v>
      </c>
      <c r="C133" s="499" t="str">
        <f>INDEX($B115:$B126,MATCH(C132,C115:C126,0))</f>
        <v>Potable Reuse</v>
      </c>
      <c r="D133" s="499" t="str">
        <f>INDEX($B115:$B126,MATCH(D132,D115:D126,0))</f>
        <v>Potable Reuse</v>
      </c>
      <c r="E133" s="499" t="str">
        <f>INDEX($B115:$B126,MATCH(E132,E115:E126,0))</f>
        <v>Stormwater Capture</v>
      </c>
      <c r="F133" s="500" t="str">
        <f>INDEX($B115:$B126,MATCH(F132,F115:F126,0))</f>
        <v>Seawater Desalination</v>
      </c>
      <c r="G133" s="231"/>
      <c r="H133" s="231"/>
      <c r="I133" s="231"/>
      <c r="J133" s="6"/>
    </row>
    <row r="134" spans="2:10" hidden="1" x14ac:dyDescent="0.25">
      <c r="B134" s="463" t="s">
        <v>847</v>
      </c>
      <c r="C134" s="241">
        <f>MIN(C115:C126)</f>
        <v>3.0051955761860523</v>
      </c>
      <c r="D134" s="241">
        <f>MIN(D115:D126)</f>
        <v>2.875</v>
      </c>
      <c r="E134" s="241">
        <f>MIN(E115:E126)</f>
        <v>3.0588235294117645</v>
      </c>
      <c r="F134" s="464">
        <f>MIN(F115:F126)</f>
        <v>3.2012985096013877</v>
      </c>
      <c r="G134" s="231"/>
      <c r="H134" s="231"/>
      <c r="I134" s="231"/>
      <c r="J134" s="6"/>
    </row>
    <row r="135" spans="2:10" ht="45" hidden="1" x14ac:dyDescent="0.25">
      <c r="B135" s="505" t="s">
        <v>850</v>
      </c>
      <c r="C135" s="499" t="str">
        <f>INDEX($B115:$B126,MATCH(C134,C115:C126,0))</f>
        <v>Stormwater BMPs</v>
      </c>
      <c r="D135" s="499" t="str">
        <f>INDEX($B115:$B126,MATCH(D134,D115:D126,0))</f>
        <v>Imported Water purchases</v>
      </c>
      <c r="E135" s="499" t="str">
        <f>INDEX($B115:$B126,MATCH(E134,E115:E126,0))</f>
        <v>Gray Water Use</v>
      </c>
      <c r="F135" s="500" t="str">
        <f>INDEX($B115:$B126,MATCH(F134,F115:F126,0))</f>
        <v>Urban and Agricultural Water Use Efficiency</v>
      </c>
      <c r="G135" s="241"/>
      <c r="H135" s="241"/>
      <c r="I135" s="241"/>
      <c r="J135" s="6"/>
    </row>
    <row r="136" spans="2:10" hidden="1" x14ac:dyDescent="0.25">
      <c r="B136" s="504" t="s">
        <v>864</v>
      </c>
      <c r="C136" s="497">
        <f>SMALL(C115:C126,2)</f>
        <v>3.0424465468376072</v>
      </c>
      <c r="D136" s="497">
        <f>SMALL(D115:D126,2)</f>
        <v>3.2109375</v>
      </c>
      <c r="E136" s="497">
        <f>SMALL(E115:E126,2)</f>
        <v>3.25</v>
      </c>
      <c r="F136" s="498">
        <f>SMALL(F115:F126,2)</f>
        <v>3.2033648372076544</v>
      </c>
      <c r="G136" s="241"/>
      <c r="H136" s="241"/>
      <c r="I136" s="241"/>
      <c r="J136" s="6"/>
    </row>
    <row r="137" spans="2:10" ht="45" hidden="1" x14ac:dyDescent="0.25">
      <c r="B137" s="505" t="s">
        <v>863</v>
      </c>
      <c r="C137" s="499" t="str">
        <f>INDEX($B115:$B126,MATCH(C136,C115:C126,0))</f>
        <v>Stormwater Capture</v>
      </c>
      <c r="D137" s="499" t="str">
        <f>INDEX($B115:$B126,MATCH(D136,D115:D126,0))</f>
        <v>Urban and Agricultural Water Use Efficiency</v>
      </c>
      <c r="E137" s="499" t="str">
        <f>INDEX($B115:$B126,MATCH(E136,E115:E126,0))</f>
        <v>Urban and Agricultural Water Use Efficiency</v>
      </c>
      <c r="F137" s="500" t="str">
        <f>INDEX($B115:$B126,MATCH(F136,F115:F126,0))</f>
        <v>Imported Water purchases</v>
      </c>
      <c r="G137" s="241"/>
      <c r="H137" s="241"/>
      <c r="I137" s="241"/>
      <c r="J137" s="6"/>
    </row>
    <row r="138" spans="2:10" hidden="1" x14ac:dyDescent="0.25">
      <c r="B138" s="506" t="s">
        <v>844</v>
      </c>
      <c r="C138" s="502">
        <f>C130-C134</f>
        <v>1.9948044238139477</v>
      </c>
      <c r="D138" s="502">
        <f>D130-D134</f>
        <v>1.302083333333333</v>
      </c>
      <c r="E138" s="502">
        <f>E130-E134</f>
        <v>1.1974264705882351</v>
      </c>
      <c r="F138" s="503">
        <f>F130-F134</f>
        <v>0.98895367763146114</v>
      </c>
      <c r="G138" s="461"/>
      <c r="H138" s="461"/>
      <c r="I138" s="461"/>
      <c r="J138" s="6"/>
    </row>
    <row r="139" spans="2:10" ht="15.75" hidden="1" thickBot="1" x14ac:dyDescent="0.3">
      <c r="B139" s="507" t="s">
        <v>865</v>
      </c>
      <c r="C139" s="41">
        <f>AVERAGE(C115:C126)</f>
        <v>3.578364377684101</v>
      </c>
      <c r="D139" s="41">
        <f>AVERAGE(D115:D126)</f>
        <v>3.6158747400475337</v>
      </c>
      <c r="E139" s="41">
        <f>AVERAGE(E115:E126)</f>
        <v>3.7271316102198453</v>
      </c>
      <c r="F139" s="44">
        <f>AVERAGE(F115:F126)</f>
        <v>3.5973770419742537</v>
      </c>
      <c r="G139" s="461"/>
      <c r="H139" s="461"/>
      <c r="I139" s="461"/>
      <c r="J139" s="6"/>
    </row>
    <row r="140" spans="2:10" hidden="1" x14ac:dyDescent="0.25">
      <c r="H140" s="6"/>
      <c r="I140" s="6"/>
      <c r="J140" s="6"/>
    </row>
    <row r="141" spans="2:10" ht="15.75" hidden="1" thickBot="1" x14ac:dyDescent="0.3">
      <c r="B141" s="1" t="s">
        <v>725</v>
      </c>
      <c r="H141" s="6"/>
      <c r="I141" s="6"/>
      <c r="J141" s="6"/>
    </row>
    <row r="142" spans="2:10" ht="30.75" hidden="1" customHeight="1" x14ac:dyDescent="0.25">
      <c r="B142" s="800" t="s">
        <v>37</v>
      </c>
      <c r="C142" s="337"/>
      <c r="D142" s="337"/>
      <c r="E142" s="834" t="s">
        <v>704</v>
      </c>
      <c r="F142" s="835"/>
      <c r="G142" s="835"/>
      <c r="H142" s="836"/>
      <c r="I142" s="349" t="s">
        <v>705</v>
      </c>
      <c r="J142" s="6"/>
    </row>
    <row r="143" spans="2:10" ht="60.75" hidden="1" thickBot="1" x14ac:dyDescent="0.3">
      <c r="B143" s="801"/>
      <c r="C143" s="341" t="s">
        <v>6</v>
      </c>
      <c r="D143" s="354"/>
      <c r="E143" s="352" t="s">
        <v>221</v>
      </c>
      <c r="F143" s="356" t="s">
        <v>224</v>
      </c>
      <c r="G143" s="356" t="s">
        <v>227</v>
      </c>
      <c r="H143" s="353" t="s">
        <v>230</v>
      </c>
      <c r="I143" s="355" t="s">
        <v>234</v>
      </c>
      <c r="J143" s="6"/>
    </row>
    <row r="144" spans="2:10" hidden="1" x14ac:dyDescent="0.25">
      <c r="B144" s="329" t="str">
        <f>'Project-Level Data'!B7</f>
        <v>69th St Green Street</v>
      </c>
      <c r="C144" s="474" t="str">
        <f>'Project-Level Data'!C7</f>
        <v>Watershed and Ecosystem Management</v>
      </c>
      <c r="D144" s="477"/>
      <c r="E144" s="374">
        <f>'Project-Level Data'!S7</f>
        <v>3</v>
      </c>
      <c r="F144" s="375">
        <f>'Project-Level Data'!T7</f>
        <v>5</v>
      </c>
      <c r="G144" s="375" t="str">
        <f>'Project-Level Data'!U7</f>
        <v>MISSING</v>
      </c>
      <c r="H144" s="376">
        <f>'Project-Level Data'!V7</f>
        <v>3</v>
      </c>
      <c r="I144" s="377" t="str">
        <f>'Project-Level Data'!W7</f>
        <v>MISSING</v>
      </c>
      <c r="J144" s="6"/>
    </row>
    <row r="145" spans="2:10" ht="38.25" hidden="1" x14ac:dyDescent="0.25">
      <c r="B145" s="227" t="str">
        <f>'Project-Level Data'!B8</f>
        <v>Alternative Compliance Retrofit Project Avenida Del Diablo Park,
Escondido</v>
      </c>
      <c r="C145" s="475" t="str">
        <f>'Project-Level Data'!C8</f>
        <v>Watershed and Ecosystem Management</v>
      </c>
      <c r="D145" s="477"/>
      <c r="E145" s="378" t="str">
        <f>'Project-Level Data'!S8</f>
        <v>No Response</v>
      </c>
      <c r="F145" s="379" t="str">
        <f>'Project-Level Data'!T8</f>
        <v>No Response</v>
      </c>
      <c r="G145" s="379" t="str">
        <f>'Project-Level Data'!U8</f>
        <v>No Response</v>
      </c>
      <c r="H145" s="380" t="str">
        <f>'Project-Level Data'!V8</f>
        <v>No Response</v>
      </c>
      <c r="I145" s="381" t="str">
        <f>'Project-Level Data'!W8</f>
        <v>No Response</v>
      </c>
      <c r="J145" s="6"/>
    </row>
    <row r="146" spans="2:10" ht="38.25" hidden="1" x14ac:dyDescent="0.25">
      <c r="B146" s="227" t="str">
        <f>'Project-Level Data'!B9</f>
        <v>Alternative Compliance Retrofit Project El Norte Parkway and Rincon
Villa Drive, Escondido</v>
      </c>
      <c r="C146" s="475" t="str">
        <f>'Project-Level Data'!C9</f>
        <v>Stormwater BMPs</v>
      </c>
      <c r="D146" s="477"/>
      <c r="E146" s="378" t="str">
        <f>'Project-Level Data'!S9</f>
        <v>No Response</v>
      </c>
      <c r="F146" s="379" t="str">
        <f>'Project-Level Data'!T9</f>
        <v>No Response</v>
      </c>
      <c r="G146" s="379" t="str">
        <f>'Project-Level Data'!U9</f>
        <v>No Response</v>
      </c>
      <c r="H146" s="380" t="str">
        <f>'Project-Level Data'!V9</f>
        <v>No Response</v>
      </c>
      <c r="I146" s="381" t="str">
        <f>'Project-Level Data'!W9</f>
        <v>No Response</v>
      </c>
      <c r="J146" s="6"/>
    </row>
    <row r="147" spans="2:10" ht="25.5" hidden="1" x14ac:dyDescent="0.25">
      <c r="B147" s="227" t="str">
        <f>'Project-Level Data'!B10</f>
        <v>Alternative Compliance Retrofit Project Mountain View Park, Escondido</v>
      </c>
      <c r="C147" s="475" t="str">
        <f>'Project-Level Data'!C10</f>
        <v>Stormwater BMPs</v>
      </c>
      <c r="D147" s="477"/>
      <c r="E147" s="378" t="str">
        <f>'Project-Level Data'!S10</f>
        <v>No Response</v>
      </c>
      <c r="F147" s="379" t="str">
        <f>'Project-Level Data'!T10</f>
        <v>No Response</v>
      </c>
      <c r="G147" s="379" t="str">
        <f>'Project-Level Data'!U10</f>
        <v>No Response</v>
      </c>
      <c r="H147" s="380" t="str">
        <f>'Project-Level Data'!V10</f>
        <v>No Response</v>
      </c>
      <c r="I147" s="381" t="str">
        <f>'Project-Level Data'!W10</f>
        <v>No Response</v>
      </c>
    </row>
    <row r="148" spans="2:10" hidden="1" x14ac:dyDescent="0.25">
      <c r="B148" s="227" t="str">
        <f>'Project-Level Data'!B11</f>
        <v>Bakersfield Street and San Altos Channel Restoration</v>
      </c>
      <c r="C148" s="475" t="str">
        <f>'Project-Level Data'!C11</f>
        <v>Stormwater BMPs</v>
      </c>
      <c r="D148" s="477"/>
      <c r="E148" s="378">
        <f>'Project-Level Data'!S11</f>
        <v>3</v>
      </c>
      <c r="F148" s="379">
        <f>'Project-Level Data'!T11</f>
        <v>3</v>
      </c>
      <c r="G148" s="379" t="str">
        <f>'Project-Level Data'!U11</f>
        <v>MISSING</v>
      </c>
      <c r="H148" s="380">
        <f>'Project-Level Data'!V11</f>
        <v>3</v>
      </c>
      <c r="I148" s="381" t="str">
        <f>'Project-Level Data'!W11</f>
        <v>MISSING</v>
      </c>
    </row>
    <row r="149" spans="2:10" ht="38.25" hidden="1" x14ac:dyDescent="0.25">
      <c r="B149" s="227" t="str">
        <f>'Project-Level Data'!B12</f>
        <v>Broadway Channel Flood Risk Reduction and Water Quality
Improvements</v>
      </c>
      <c r="C149" s="475" t="str">
        <f>'Project-Level Data'!C12</f>
        <v>Stormwater BMPs</v>
      </c>
      <c r="D149" s="477"/>
      <c r="E149" s="378">
        <f>'Project-Level Data'!S12</f>
        <v>3</v>
      </c>
      <c r="F149" s="379">
        <f>'Project-Level Data'!T12</f>
        <v>5</v>
      </c>
      <c r="G149" s="379">
        <f>'Project-Level Data'!U12</f>
        <v>5</v>
      </c>
      <c r="H149" s="380">
        <f>'Project-Level Data'!V12</f>
        <v>3</v>
      </c>
      <c r="I149" s="381">
        <f>'Project-Level Data'!W12</f>
        <v>3</v>
      </c>
    </row>
    <row r="150" spans="2:10" hidden="1" x14ac:dyDescent="0.25">
      <c r="B150" s="227" t="str">
        <f>'Project-Level Data'!B13</f>
        <v>Broadway/Federal Blvd Green Street</v>
      </c>
      <c r="C150" s="475" t="str">
        <f>'Project-Level Data'!C13</f>
        <v>Watershed and Ecosystem Management</v>
      </c>
      <c r="D150" s="477"/>
      <c r="E150" s="378">
        <f>'Project-Level Data'!S13</f>
        <v>3</v>
      </c>
      <c r="F150" s="379">
        <f>'Project-Level Data'!T13</f>
        <v>5</v>
      </c>
      <c r="G150" s="379" t="str">
        <f>'Project-Level Data'!U13</f>
        <v>MISSING</v>
      </c>
      <c r="H150" s="380">
        <f>'Project-Level Data'!V13</f>
        <v>3</v>
      </c>
      <c r="I150" s="381" t="str">
        <f>'Project-Level Data'!W13</f>
        <v>MISSING</v>
      </c>
    </row>
    <row r="151" spans="2:10" hidden="1" x14ac:dyDescent="0.25">
      <c r="B151" s="227" t="str">
        <f>'Project-Level Data'!B14</f>
        <v>Cadiz additional imported supplies</v>
      </c>
      <c r="C151" s="475" t="str">
        <f>'Project-Level Data'!C14</f>
        <v>Imported Water Purchases</v>
      </c>
      <c r="D151" s="477"/>
      <c r="E151" s="378">
        <f>'Project-Level Data'!S14</f>
        <v>5</v>
      </c>
      <c r="F151" s="379" t="str">
        <f>'Project-Level Data'!T14</f>
        <v>MISSING</v>
      </c>
      <c r="G151" s="379" t="str">
        <f>'Project-Level Data'!U14</f>
        <v>MISSING</v>
      </c>
      <c r="H151" s="380">
        <f>'Project-Level Data'!V14</f>
        <v>3</v>
      </c>
      <c r="I151" s="381">
        <f>'Project-Level Data'!W14</f>
        <v>4</v>
      </c>
    </row>
    <row r="152" spans="2:10" hidden="1" x14ac:dyDescent="0.25">
      <c r="B152" s="227" t="str">
        <f>'Project-Level Data'!B15</f>
        <v>Camp Pendleton Desalination Facility</v>
      </c>
      <c r="C152" s="475" t="str">
        <f>'Project-Level Data'!C15</f>
        <v>Seawater Desalination</v>
      </c>
      <c r="D152" s="477"/>
      <c r="E152" s="378">
        <f>'Project-Level Data'!S15</f>
        <v>5</v>
      </c>
      <c r="F152" s="379">
        <f>'Project-Level Data'!T15</f>
        <v>5</v>
      </c>
      <c r="G152" s="379" t="str">
        <f>'Project-Level Data'!U15</f>
        <v>MISSING</v>
      </c>
      <c r="H152" s="380">
        <f>'Project-Level Data'!V15</f>
        <v>3</v>
      </c>
      <c r="I152" s="381">
        <f>'Project-Level Data'!W15</f>
        <v>3</v>
      </c>
    </row>
    <row r="153" spans="2:10" hidden="1" x14ac:dyDescent="0.25">
      <c r="B153" s="227" t="str">
        <f>'Project-Level Data'!B16</f>
        <v>Canton Dr Green Street</v>
      </c>
      <c r="C153" s="475" t="str">
        <f>'Project-Level Data'!C16</f>
        <v>Watershed and Ecosystem Management</v>
      </c>
      <c r="D153" s="477"/>
      <c r="E153" s="378">
        <f>'Project-Level Data'!S16</f>
        <v>3</v>
      </c>
      <c r="F153" s="379">
        <f>'Project-Level Data'!T16</f>
        <v>5</v>
      </c>
      <c r="G153" s="379" t="str">
        <f>'Project-Level Data'!U16</f>
        <v>MISSING</v>
      </c>
      <c r="H153" s="380">
        <f>'Project-Level Data'!V16</f>
        <v>3</v>
      </c>
      <c r="I153" s="381" t="str">
        <f>'Project-Level Data'!W16</f>
        <v>MISSING</v>
      </c>
    </row>
    <row r="154" spans="2:10" hidden="1" x14ac:dyDescent="0.25">
      <c r="B154" s="227" t="str">
        <f>'Project-Level Data'!B17</f>
        <v>Carlsbad WRF - Landscape, Agriculture 2025</v>
      </c>
      <c r="C154" s="475" t="str">
        <f>'Project-Level Data'!C17</f>
        <v>Recycled Water</v>
      </c>
      <c r="D154" s="477"/>
      <c r="E154" s="378">
        <f>'Project-Level Data'!S17</f>
        <v>5</v>
      </c>
      <c r="F154" s="379">
        <f>'Project-Level Data'!T17</f>
        <v>4</v>
      </c>
      <c r="G154" s="379" t="str">
        <f>'Project-Level Data'!U17</f>
        <v>MISSING</v>
      </c>
      <c r="H154" s="380">
        <f>'Project-Level Data'!V17</f>
        <v>3</v>
      </c>
      <c r="I154" s="381">
        <f>'Project-Level Data'!W17</f>
        <v>3</v>
      </c>
    </row>
    <row r="155" spans="2:10" hidden="1" x14ac:dyDescent="0.25">
      <c r="B155" s="227" t="str">
        <f>'Project-Level Data'!B18</f>
        <v>Carlsbad WRF - Landscape, Agriculture 2050</v>
      </c>
      <c r="C155" s="475" t="str">
        <f>'Project-Level Data'!C18</f>
        <v>Recycled Water</v>
      </c>
      <c r="D155" s="477"/>
      <c r="E155" s="378">
        <f>'Project-Level Data'!S18</f>
        <v>5</v>
      </c>
      <c r="F155" s="379">
        <f>'Project-Level Data'!T18</f>
        <v>4</v>
      </c>
      <c r="G155" s="379" t="str">
        <f>'Project-Level Data'!U18</f>
        <v>MISSING</v>
      </c>
      <c r="H155" s="380">
        <f>'Project-Level Data'!V18</f>
        <v>3</v>
      </c>
      <c r="I155" s="381">
        <f>'Project-Level Data'!W18</f>
        <v>3</v>
      </c>
    </row>
    <row r="156" spans="2:10" hidden="1" x14ac:dyDescent="0.25">
      <c r="B156" s="227" t="str">
        <f>'Project-Level Data'!B19</f>
        <v>Central Avenue Green Street</v>
      </c>
      <c r="C156" s="475" t="str">
        <f>'Project-Level Data'!C19</f>
        <v>Watershed and Ecosystem Management</v>
      </c>
      <c r="D156" s="477"/>
      <c r="E156" s="378">
        <f>'Project-Level Data'!S19</f>
        <v>3</v>
      </c>
      <c r="F156" s="379">
        <f>'Project-Level Data'!T19</f>
        <v>5</v>
      </c>
      <c r="G156" s="379" t="str">
        <f>'Project-Level Data'!U19</f>
        <v>MISSING</v>
      </c>
      <c r="H156" s="380">
        <f>'Project-Level Data'!V19</f>
        <v>3</v>
      </c>
      <c r="I156" s="381" t="str">
        <f>'Project-Level Data'!W19</f>
        <v>MISSING</v>
      </c>
    </row>
    <row r="157" spans="2:10" hidden="1" x14ac:dyDescent="0.25">
      <c r="B157" s="227" t="str">
        <f>'Project-Level Data'!B20</f>
        <v>City of Oceanside Loma Alta Slough Restoration Project</v>
      </c>
      <c r="C157" s="475" t="str">
        <f>'Project-Level Data'!C20</f>
        <v>Stormwater BMPs</v>
      </c>
      <c r="D157" s="477"/>
      <c r="E157" s="378" t="str">
        <f>'Project-Level Data'!S20</f>
        <v>No Response</v>
      </c>
      <c r="F157" s="379" t="str">
        <f>'Project-Level Data'!T20</f>
        <v>No Response</v>
      </c>
      <c r="G157" s="379" t="str">
        <f>'Project-Level Data'!U20</f>
        <v>No Response</v>
      </c>
      <c r="H157" s="380" t="str">
        <f>'Project-Level Data'!V20</f>
        <v>No Response</v>
      </c>
      <c r="I157" s="381" t="str">
        <f>'Project-Level Data'!W20</f>
        <v>No Response</v>
      </c>
    </row>
    <row r="158" spans="2:10" ht="25.5" hidden="1" x14ac:dyDescent="0.25">
      <c r="B158" s="227" t="str">
        <f>'Project-Level Data'!B21</f>
        <v>Conservation Home Makeover in the Chollas Creek Watershed</v>
      </c>
      <c r="C158" s="475" t="str">
        <f>'Project-Level Data'!C21</f>
        <v>Gray Water Use</v>
      </c>
      <c r="D158" s="477"/>
      <c r="E158" s="378" t="str">
        <f>'Project-Level Data'!S21</f>
        <v>No Response</v>
      </c>
      <c r="F158" s="379" t="str">
        <f>'Project-Level Data'!T21</f>
        <v>No Response</v>
      </c>
      <c r="G158" s="379" t="str">
        <f>'Project-Level Data'!U21</f>
        <v>No Response</v>
      </c>
      <c r="H158" s="380" t="str">
        <f>'Project-Level Data'!V21</f>
        <v>No Response</v>
      </c>
      <c r="I158" s="381" t="str">
        <f>'Project-Level Data'!W21</f>
        <v>No Response</v>
      </c>
    </row>
    <row r="159" spans="2:10" hidden="1" x14ac:dyDescent="0.25">
      <c r="B159" s="227" t="str">
        <f>'Project-Level Data'!B22</f>
        <v>Dulzura Conduit Refurbishment</v>
      </c>
      <c r="C159" s="475" t="str">
        <f>'Project-Level Data'!C22</f>
        <v>Conveyance Improvement</v>
      </c>
      <c r="D159" s="477"/>
      <c r="E159" s="378">
        <f>'Project-Level Data'!S22</f>
        <v>5</v>
      </c>
      <c r="F159" s="379">
        <f>'Project-Level Data'!T22</f>
        <v>5</v>
      </c>
      <c r="G159" s="379">
        <f>'Project-Level Data'!U22</f>
        <v>5</v>
      </c>
      <c r="H159" s="380">
        <f>'Project-Level Data'!V22</f>
        <v>3</v>
      </c>
      <c r="I159" s="381">
        <f>'Project-Level Data'!W22</f>
        <v>5</v>
      </c>
    </row>
    <row r="160" spans="2:10" ht="25.5" hidden="1" x14ac:dyDescent="0.25">
      <c r="B160" s="227" t="str">
        <f>'Project-Level Data'!B23</f>
        <v>East County Advanced Water Purification Program Phase 1</v>
      </c>
      <c r="C160" s="475" t="str">
        <f>'Project-Level Data'!C23</f>
        <v>Potable Reuse</v>
      </c>
      <c r="D160" s="477"/>
      <c r="E160" s="378">
        <f>'Project-Level Data'!S23</f>
        <v>5</v>
      </c>
      <c r="F160" s="379">
        <f>'Project-Level Data'!T23</f>
        <v>5</v>
      </c>
      <c r="G160" s="379">
        <f>'Project-Level Data'!U23</f>
        <v>5</v>
      </c>
      <c r="H160" s="380">
        <f>'Project-Level Data'!V23</f>
        <v>3</v>
      </c>
      <c r="I160" s="381">
        <f>'Project-Level Data'!W23</f>
        <v>5</v>
      </c>
    </row>
    <row r="161" spans="2:9" ht="25.5" hidden="1" x14ac:dyDescent="0.25">
      <c r="B161" s="227" t="str">
        <f>'Project-Level Data'!B24</f>
        <v>East County Advanced Water Purification Program Phase 2</v>
      </c>
      <c r="C161" s="475" t="str">
        <f>'Project-Level Data'!C24</f>
        <v>Potable Reuse</v>
      </c>
      <c r="D161" s="477"/>
      <c r="E161" s="378">
        <f>'Project-Level Data'!S24</f>
        <v>5</v>
      </c>
      <c r="F161" s="379">
        <f>'Project-Level Data'!T24</f>
        <v>5</v>
      </c>
      <c r="G161" s="379">
        <f>'Project-Level Data'!U24</f>
        <v>5</v>
      </c>
      <c r="H161" s="380">
        <f>'Project-Level Data'!V24</f>
        <v>3</v>
      </c>
      <c r="I161" s="381">
        <f>'Project-Level Data'!W24</f>
        <v>5</v>
      </c>
    </row>
    <row r="162" spans="2:9" ht="25.5" hidden="1" x14ac:dyDescent="0.25">
      <c r="B162" s="227" t="str">
        <f>'Project-Level Data'!B25</f>
        <v>East County Advanced Water Purification Program Phase 3</v>
      </c>
      <c r="C162" s="475" t="str">
        <f>'Project-Level Data'!C25</f>
        <v>Potable Reuse</v>
      </c>
      <c r="D162" s="477"/>
      <c r="E162" s="378">
        <f>'Project-Level Data'!S25</f>
        <v>5</v>
      </c>
      <c r="F162" s="379">
        <f>'Project-Level Data'!T25</f>
        <v>5</v>
      </c>
      <c r="G162" s="379">
        <f>'Project-Level Data'!U25</f>
        <v>5</v>
      </c>
      <c r="H162" s="380">
        <f>'Project-Level Data'!V25</f>
        <v>3</v>
      </c>
      <c r="I162" s="381">
        <f>'Project-Level Data'!W25</f>
        <v>5</v>
      </c>
    </row>
    <row r="163" spans="2:9" hidden="1" x14ac:dyDescent="0.25">
      <c r="B163" s="227" t="str">
        <f>'Project-Level Data'!B26</f>
        <v>Encina Wastewater Water Reuse Project</v>
      </c>
      <c r="C163" s="475" t="str">
        <f>'Project-Level Data'!C26</f>
        <v>Potable Reuse</v>
      </c>
      <c r="D163" s="477"/>
      <c r="E163" s="378">
        <f>'Project-Level Data'!S26</f>
        <v>5</v>
      </c>
      <c r="F163" s="379">
        <f>'Project-Level Data'!T26</f>
        <v>4</v>
      </c>
      <c r="G163" s="379">
        <f>'Project-Level Data'!U26</f>
        <v>4</v>
      </c>
      <c r="H163" s="380">
        <f>'Project-Level Data'!V26</f>
        <v>3</v>
      </c>
      <c r="I163" s="381">
        <f>'Project-Level Data'!W26</f>
        <v>5</v>
      </c>
    </row>
    <row r="164" spans="2:9" hidden="1" x14ac:dyDescent="0.25">
      <c r="B164" s="227" t="str">
        <f>'Project-Level Data'!B27</f>
        <v xml:space="preserve">Enhanced Conservation </v>
      </c>
      <c r="C164" s="475" t="str">
        <f>'Project-Level Data'!C27</f>
        <v>Enhanced Conservation</v>
      </c>
      <c r="D164" s="477"/>
      <c r="E164" s="378" t="str">
        <f>'Project-Level Data'!S27</f>
        <v>REMOVED</v>
      </c>
      <c r="F164" s="379" t="str">
        <f>'Project-Level Data'!T27</f>
        <v>REMOVED</v>
      </c>
      <c r="G164" s="379" t="str">
        <f>'Project-Level Data'!U27</f>
        <v>REMOVED</v>
      </c>
      <c r="H164" s="380" t="str">
        <f>'Project-Level Data'!V27</f>
        <v>REMOVED</v>
      </c>
      <c r="I164" s="381" t="str">
        <f>'Project-Level Data'!W27</f>
        <v>REMOVED</v>
      </c>
    </row>
    <row r="165" spans="2:9" hidden="1" x14ac:dyDescent="0.25">
      <c r="B165" s="227" t="str">
        <f>'Project-Level Data'!B28</f>
        <v>Extension 153 Phase I</v>
      </c>
      <c r="C165" s="475" t="str">
        <f>'Project-Level Data'!C28</f>
        <v>Recycled Water</v>
      </c>
      <c r="D165" s="477"/>
      <c r="E165" s="378">
        <f>'Project-Level Data'!S28</f>
        <v>5</v>
      </c>
      <c r="F165" s="379">
        <f>'Project-Level Data'!T28</f>
        <v>3</v>
      </c>
      <c r="G165" s="379" t="str">
        <f>'Project-Level Data'!U28</f>
        <v>MISSING</v>
      </c>
      <c r="H165" s="380">
        <f>'Project-Level Data'!V28</f>
        <v>3</v>
      </c>
      <c r="I165" s="381">
        <f>'Project-Level Data'!W28</f>
        <v>5</v>
      </c>
    </row>
    <row r="166" spans="2:9" hidden="1" x14ac:dyDescent="0.25">
      <c r="B166" s="227" t="str">
        <f>'Project-Level Data'!B29</f>
        <v>Extension 153 Phase II</v>
      </c>
      <c r="C166" s="475" t="str">
        <f>'Project-Level Data'!C29</f>
        <v>Recycled Water</v>
      </c>
      <c r="D166" s="477"/>
      <c r="E166" s="378">
        <f>'Project-Level Data'!S29</f>
        <v>5</v>
      </c>
      <c r="F166" s="379">
        <f>'Project-Level Data'!T29</f>
        <v>3</v>
      </c>
      <c r="G166" s="379" t="str">
        <f>'Project-Level Data'!U29</f>
        <v>MISSING</v>
      </c>
      <c r="H166" s="380">
        <f>'Project-Level Data'!V29</f>
        <v>3</v>
      </c>
      <c r="I166" s="381">
        <f>'Project-Level Data'!W29</f>
        <v>5</v>
      </c>
    </row>
    <row r="167" spans="2:9" hidden="1" x14ac:dyDescent="0.25">
      <c r="B167" s="227" t="str">
        <f>'Project-Level Data'!B30</f>
        <v>Federal Blvd Channel</v>
      </c>
      <c r="C167" s="475" t="str">
        <f>'Project-Level Data'!C30</f>
        <v>Watershed and Ecosystem Management</v>
      </c>
      <c r="D167" s="477"/>
      <c r="E167" s="378">
        <f>'Project-Level Data'!S30</f>
        <v>3</v>
      </c>
      <c r="F167" s="379">
        <f>'Project-Level Data'!T30</f>
        <v>3</v>
      </c>
      <c r="G167" s="379" t="str">
        <f>'Project-Level Data'!U30</f>
        <v>MISSING</v>
      </c>
      <c r="H167" s="380">
        <f>'Project-Level Data'!V30</f>
        <v>3</v>
      </c>
      <c r="I167" s="381">
        <f>'Project-Level Data'!W30</f>
        <v>3</v>
      </c>
    </row>
    <row r="168" spans="2:9" hidden="1" x14ac:dyDescent="0.25">
      <c r="B168" s="227" t="str">
        <f>'Project-Level Data'!B31</f>
        <v>Hodges Water Quality Improvement Program</v>
      </c>
      <c r="C168" s="475" t="str">
        <f>'Project-Level Data'!C31</f>
        <v>Watershed and Ecosystem Management</v>
      </c>
      <c r="D168" s="477"/>
      <c r="E168" s="378">
        <f>'Project-Level Data'!S31</f>
        <v>4</v>
      </c>
      <c r="F168" s="379">
        <f>'Project-Level Data'!T31</f>
        <v>3</v>
      </c>
      <c r="G168" s="379" t="str">
        <f>'Project-Level Data'!U31</f>
        <v>MISSING</v>
      </c>
      <c r="H168" s="380">
        <f>'Project-Level Data'!V31</f>
        <v>3</v>
      </c>
      <c r="I168" s="381">
        <f>'Project-Level Data'!W31</f>
        <v>5</v>
      </c>
    </row>
    <row r="169" spans="2:9" hidden="1" x14ac:dyDescent="0.25">
      <c r="B169" s="227" t="str">
        <f>'Project-Level Data'!B32</f>
        <v>Golden Ave Green Street</v>
      </c>
      <c r="C169" s="475" t="str">
        <f>'Project-Level Data'!C32</f>
        <v>Stormwater BMPs</v>
      </c>
      <c r="D169" s="477"/>
      <c r="E169" s="378">
        <f>'Project-Level Data'!S32</f>
        <v>3</v>
      </c>
      <c r="F169" s="379">
        <f>'Project-Level Data'!T32</f>
        <v>5</v>
      </c>
      <c r="G169" s="379" t="str">
        <f>'Project-Level Data'!U32</f>
        <v>MISSING</v>
      </c>
      <c r="H169" s="380">
        <f>'Project-Level Data'!V32</f>
        <v>3</v>
      </c>
      <c r="I169" s="381" t="str">
        <f>'Project-Level Data'!W32</f>
        <v>MISSING</v>
      </c>
    </row>
    <row r="170" spans="2:9" hidden="1" x14ac:dyDescent="0.25">
      <c r="B170" s="227" t="str">
        <f>'Project-Level Data'!B33</f>
        <v>Graywater pilot project</v>
      </c>
      <c r="C170" s="475" t="str">
        <f>'Project-Level Data'!C33</f>
        <v>Gray Water Use</v>
      </c>
      <c r="D170" s="477"/>
      <c r="E170" s="378">
        <f>'Project-Level Data'!S33</f>
        <v>5</v>
      </c>
      <c r="F170" s="379">
        <f>'Project-Level Data'!T33</f>
        <v>3</v>
      </c>
      <c r="G170" s="379" t="str">
        <f>'Project-Level Data'!U33</f>
        <v>MISSING</v>
      </c>
      <c r="H170" s="380">
        <f>'Project-Level Data'!V33</f>
        <v>2</v>
      </c>
      <c r="I170" s="381">
        <f>'Project-Level Data'!W33</f>
        <v>3</v>
      </c>
    </row>
    <row r="171" spans="2:9" hidden="1" x14ac:dyDescent="0.25">
      <c r="B171" s="227" t="str">
        <f>'Project-Level Data'!B34</f>
        <v>Groundwater Extraction Santee/El Monte</v>
      </c>
      <c r="C171" s="475" t="str">
        <f>'Project-Level Data'!C34</f>
        <v>Groundwater</v>
      </c>
      <c r="D171" s="477"/>
      <c r="E171" s="378">
        <f>'Project-Level Data'!S34</f>
        <v>5</v>
      </c>
      <c r="F171" s="379">
        <f>'Project-Level Data'!T34</f>
        <v>3</v>
      </c>
      <c r="G171" s="379" t="str">
        <f>'Project-Level Data'!U34</f>
        <v>MISSING</v>
      </c>
      <c r="H171" s="380">
        <f>'Project-Level Data'!V34</f>
        <v>3</v>
      </c>
      <c r="I171" s="381">
        <f>'Project-Level Data'!W34</f>
        <v>5</v>
      </c>
    </row>
    <row r="172" spans="2:9" ht="25.5" hidden="1" x14ac:dyDescent="0.25">
      <c r="B172" s="227" t="str">
        <f>'Project-Level Data'!B35</f>
        <v>Hale Avenue Resource Recovery Facility (HARRF) - Landscape, Agriculture, Industrial, PR</v>
      </c>
      <c r="C172" s="475" t="str">
        <f>'Project-Level Data'!C35</f>
        <v>Recycled Water</v>
      </c>
      <c r="D172" s="477"/>
      <c r="E172" s="378" t="str">
        <f>'Project-Level Data'!S35</f>
        <v>No Response</v>
      </c>
      <c r="F172" s="379" t="str">
        <f>'Project-Level Data'!T35</f>
        <v>No Response</v>
      </c>
      <c r="G172" s="379" t="str">
        <f>'Project-Level Data'!U35</f>
        <v>No Response</v>
      </c>
      <c r="H172" s="380" t="str">
        <f>'Project-Level Data'!V35</f>
        <v>No Response</v>
      </c>
      <c r="I172" s="381" t="str">
        <f>'Project-Level Data'!W35</f>
        <v>No Response</v>
      </c>
    </row>
    <row r="173" spans="2:9" ht="25.5" hidden="1" x14ac:dyDescent="0.25">
      <c r="B173" s="227" t="str">
        <f>'Project-Level Data'!B36</f>
        <v>Integrated Water Resource Solutions for the Carlsbad Watershed</v>
      </c>
      <c r="C173" s="475" t="str">
        <f>'Project-Level Data'!C36</f>
        <v>Recycled Water</v>
      </c>
      <c r="D173" s="477"/>
      <c r="E173" s="378">
        <f>'Project-Level Data'!S36</f>
        <v>5</v>
      </c>
      <c r="F173" s="379">
        <f>'Project-Level Data'!T36</f>
        <v>5</v>
      </c>
      <c r="G173" s="379">
        <f>'Project-Level Data'!U36</f>
        <v>5</v>
      </c>
      <c r="H173" s="380">
        <f>'Project-Level Data'!V36</f>
        <v>3</v>
      </c>
      <c r="I173" s="381">
        <f>'Project-Level Data'!W36</f>
        <v>5</v>
      </c>
    </row>
    <row r="174" spans="2:9" ht="25.5" hidden="1" x14ac:dyDescent="0.25">
      <c r="B174" s="227" t="str">
        <f>'Project-Level Data'!B37</f>
        <v>Intergrated Water Resource Solutions for the Carlsbad Watershed</v>
      </c>
      <c r="C174" s="475" t="str">
        <f>'Project-Level Data'!C37</f>
        <v>Recycled Water</v>
      </c>
      <c r="D174" s="477"/>
      <c r="E174" s="378">
        <f>'Project-Level Data'!S37</f>
        <v>5</v>
      </c>
      <c r="F174" s="379">
        <f>'Project-Level Data'!T37</f>
        <v>5</v>
      </c>
      <c r="G174" s="379">
        <f>'Project-Level Data'!U37</f>
        <v>5</v>
      </c>
      <c r="H174" s="380">
        <f>'Project-Level Data'!V37</f>
        <v>3</v>
      </c>
      <c r="I174" s="381">
        <f>'Project-Level Data'!W37</f>
        <v>5</v>
      </c>
    </row>
    <row r="175" spans="2:9" hidden="1" x14ac:dyDescent="0.25">
      <c r="B175" s="227" t="str">
        <f>'Project-Level Data'!B38</f>
        <v>Joint RW Transmission Project with SFID and OMWD</v>
      </c>
      <c r="C175" s="475" t="str">
        <f>'Project-Level Data'!C38</f>
        <v>Recycled Water</v>
      </c>
      <c r="D175" s="477"/>
      <c r="E175" s="378">
        <f>'Project-Level Data'!S38</f>
        <v>5</v>
      </c>
      <c r="F175" s="379">
        <f>'Project-Level Data'!T38</f>
        <v>5</v>
      </c>
      <c r="G175" s="379">
        <f>'Project-Level Data'!U38</f>
        <v>5</v>
      </c>
      <c r="H175" s="380">
        <f>'Project-Level Data'!V38</f>
        <v>3</v>
      </c>
      <c r="I175" s="381">
        <f>'Project-Level Data'!W38</f>
        <v>5</v>
      </c>
    </row>
    <row r="176" spans="2:9" hidden="1" x14ac:dyDescent="0.25">
      <c r="B176" s="227" t="str">
        <f>'Project-Level Data'!B39</f>
        <v>Las Colinas Channel Improvments</v>
      </c>
      <c r="C176" s="475" t="str">
        <f>'Project-Level Data'!C39</f>
        <v>Stormwater BMPs</v>
      </c>
      <c r="D176" s="477"/>
      <c r="E176" s="378">
        <f>'Project-Level Data'!S39</f>
        <v>3</v>
      </c>
      <c r="F176" s="379">
        <f>'Project-Level Data'!T39</f>
        <v>3</v>
      </c>
      <c r="G176" s="379" t="str">
        <f>'Project-Level Data'!U39</f>
        <v>MISSING</v>
      </c>
      <c r="H176" s="380">
        <f>'Project-Level Data'!V39</f>
        <v>3</v>
      </c>
      <c r="I176" s="381">
        <f>'Project-Level Data'!W39</f>
        <v>3</v>
      </c>
    </row>
    <row r="177" spans="2:9" hidden="1" x14ac:dyDescent="0.25">
      <c r="B177" s="227" t="str">
        <f>'Project-Level Data'!B40</f>
        <v>Lemon Grove Avenue Green Streets</v>
      </c>
      <c r="C177" s="475" t="str">
        <f>'Project-Level Data'!C40</f>
        <v>Stormwater BMPs</v>
      </c>
      <c r="D177" s="477"/>
      <c r="E177" s="378">
        <f>'Project-Level Data'!S40</f>
        <v>3</v>
      </c>
      <c r="F177" s="379">
        <f>'Project-Level Data'!T40</f>
        <v>5</v>
      </c>
      <c r="G177" s="379" t="str">
        <f>'Project-Level Data'!U40</f>
        <v>MISSING</v>
      </c>
      <c r="H177" s="380">
        <f>'Project-Level Data'!V40</f>
        <v>3</v>
      </c>
      <c r="I177" s="381" t="str">
        <f>'Project-Level Data'!W40</f>
        <v>MISSING</v>
      </c>
    </row>
    <row r="178" spans="2:9" ht="25.5" hidden="1" x14ac:dyDescent="0.25">
      <c r="B178" s="227" t="str">
        <f>'Project-Level Data'!B41</f>
        <v>Leucadia Roadside Park Stormwater Capture/Reuse Project</v>
      </c>
      <c r="C178" s="475" t="str">
        <f>'Project-Level Data'!C41</f>
        <v>Stormwater BMPs</v>
      </c>
      <c r="D178" s="477"/>
      <c r="E178" s="378">
        <f>'Project-Level Data'!S41</f>
        <v>5</v>
      </c>
      <c r="F178" s="379">
        <f>'Project-Level Data'!T41</f>
        <v>4</v>
      </c>
      <c r="G178" s="379">
        <f>'Project-Level Data'!U41</f>
        <v>5</v>
      </c>
      <c r="H178" s="380">
        <f>'Project-Level Data'!V41</f>
        <v>4</v>
      </c>
      <c r="I178" s="381">
        <f>'Project-Level Data'!W41</f>
        <v>4</v>
      </c>
    </row>
    <row r="179" spans="2:9" hidden="1" x14ac:dyDescent="0.25">
      <c r="B179" s="227" t="str">
        <f>'Project-Level Data'!B42</f>
        <v>Lilac Hills Ranch WRF</v>
      </c>
      <c r="C179" s="475" t="str">
        <f>'Project-Level Data'!C42</f>
        <v>Recycled Water</v>
      </c>
      <c r="D179" s="477"/>
      <c r="E179" s="378" t="str">
        <f>'Project-Level Data'!S42</f>
        <v>No Response</v>
      </c>
      <c r="F179" s="379" t="str">
        <f>'Project-Level Data'!T42</f>
        <v>No Response</v>
      </c>
      <c r="G179" s="379" t="str">
        <f>'Project-Level Data'!U42</f>
        <v>No Response</v>
      </c>
      <c r="H179" s="380" t="str">
        <f>'Project-Level Data'!V42</f>
        <v>No Response</v>
      </c>
      <c r="I179" s="381" t="str">
        <f>'Project-Level Data'!W42</f>
        <v>No Response</v>
      </c>
    </row>
    <row r="180" spans="2:9" hidden="1" x14ac:dyDescent="0.25">
      <c r="B180" s="227" t="str">
        <f>'Project-Level Data'!B43</f>
        <v>Lincoln St Green Street</v>
      </c>
      <c r="C180" s="475" t="str">
        <f>'Project-Level Data'!C43</f>
        <v>Stormwater BMPs</v>
      </c>
      <c r="D180" s="477"/>
      <c r="E180" s="378">
        <f>'Project-Level Data'!S43</f>
        <v>3</v>
      </c>
      <c r="F180" s="379">
        <f>'Project-Level Data'!T43</f>
        <v>5</v>
      </c>
      <c r="G180" s="379" t="str">
        <f>'Project-Level Data'!U43</f>
        <v>MISSING</v>
      </c>
      <c r="H180" s="380">
        <f>'Project-Level Data'!V43</f>
        <v>3</v>
      </c>
      <c r="I180" s="381" t="str">
        <f>'Project-Level Data'!W43</f>
        <v>MISSING</v>
      </c>
    </row>
    <row r="181" spans="2:9" ht="25.5" hidden="1" x14ac:dyDescent="0.25">
      <c r="B181" s="227" t="str">
        <f>'Project-Level Data'!B44</f>
        <v xml:space="preserve">Low Impact Development Urban Runoff Control Projects for the Tijuana Estuary </v>
      </c>
      <c r="C181" s="475" t="str">
        <f>'Project-Level Data'!C44</f>
        <v>Stormwater BMPs</v>
      </c>
      <c r="D181" s="477"/>
      <c r="E181" s="378">
        <f>'Project-Level Data'!S44</f>
        <v>4</v>
      </c>
      <c r="F181" s="379">
        <f>'Project-Level Data'!T44</f>
        <v>3</v>
      </c>
      <c r="G181" s="379">
        <f>'Project-Level Data'!U44</f>
        <v>5</v>
      </c>
      <c r="H181" s="380">
        <f>'Project-Level Data'!V44</f>
        <v>5</v>
      </c>
      <c r="I181" s="381">
        <f>'Project-Level Data'!W44</f>
        <v>3</v>
      </c>
    </row>
    <row r="182" spans="2:9" hidden="1" x14ac:dyDescent="0.25">
      <c r="B182" s="227" t="str">
        <f>'Project-Level Data'!B45</f>
        <v>Lower Moosa Canyon WRF</v>
      </c>
      <c r="C182" s="475" t="str">
        <f>'Project-Level Data'!C45</f>
        <v>Recycled Water</v>
      </c>
      <c r="D182" s="477"/>
      <c r="E182" s="378" t="str">
        <f>'Project-Level Data'!S45</f>
        <v>No Response</v>
      </c>
      <c r="F182" s="379" t="str">
        <f>'Project-Level Data'!T45</f>
        <v>No Response</v>
      </c>
      <c r="G182" s="379" t="str">
        <f>'Project-Level Data'!U45</f>
        <v>No Response</v>
      </c>
      <c r="H182" s="380" t="str">
        <f>'Project-Level Data'!V45</f>
        <v>No Response</v>
      </c>
      <c r="I182" s="381" t="str">
        <f>'Project-Level Data'!W45</f>
        <v>No Response</v>
      </c>
    </row>
    <row r="183" spans="2:9" hidden="1" x14ac:dyDescent="0.25">
      <c r="B183" s="227" t="str">
        <f>'Project-Level Data'!B46</f>
        <v>Madera St Green Street</v>
      </c>
      <c r="C183" s="475" t="str">
        <f>'Project-Level Data'!C46</f>
        <v>Stormwater BMPs</v>
      </c>
      <c r="D183" s="477"/>
      <c r="E183" s="378">
        <f>'Project-Level Data'!S46</f>
        <v>3</v>
      </c>
      <c r="F183" s="379">
        <f>'Project-Level Data'!T46</f>
        <v>5</v>
      </c>
      <c r="G183" s="379" t="str">
        <f>'Project-Level Data'!U46</f>
        <v>MISSING</v>
      </c>
      <c r="H183" s="380">
        <f>'Project-Level Data'!V46</f>
        <v>3</v>
      </c>
      <c r="I183" s="381" t="str">
        <f>'Project-Level Data'!W46</f>
        <v>MISSING</v>
      </c>
    </row>
    <row r="184" spans="2:9" hidden="1" x14ac:dyDescent="0.25">
      <c r="B184" s="227" t="str">
        <f>'Project-Level Data'!B47</f>
        <v>Main Street Promenade Extension</v>
      </c>
      <c r="C184" s="475" t="str">
        <f>'Project-Level Data'!C47</f>
        <v>Stormwater BMPs</v>
      </c>
      <c r="D184" s="477"/>
      <c r="E184" s="378">
        <f>'Project-Level Data'!S47</f>
        <v>3</v>
      </c>
      <c r="F184" s="379">
        <f>'Project-Level Data'!T47</f>
        <v>5</v>
      </c>
      <c r="G184" s="379" t="str">
        <f>'Project-Level Data'!U47</f>
        <v>MISSING</v>
      </c>
      <c r="H184" s="380">
        <f>'Project-Level Data'!V47</f>
        <v>3</v>
      </c>
      <c r="I184" s="381" t="str">
        <f>'Project-Level Data'!W47</f>
        <v>MISSING</v>
      </c>
    </row>
    <row r="185" spans="2:9" ht="25.5" hidden="1" x14ac:dyDescent="0.25">
      <c r="B185" s="227" t="str">
        <f>'Project-Level Data'!B48</f>
        <v>Mapleview Street ‐ Green Infrastructure and Stormwater QualityImprovement Project</v>
      </c>
      <c r="C185" s="475" t="str">
        <f>'Project-Level Data'!C48</f>
        <v>Stormwater BMPs</v>
      </c>
      <c r="D185" s="477"/>
      <c r="E185" s="378">
        <f>'Project-Level Data'!S48</f>
        <v>2</v>
      </c>
      <c r="F185" s="379">
        <f>'Project-Level Data'!T48</f>
        <v>2</v>
      </c>
      <c r="G185" s="379" t="str">
        <f>'Project-Level Data'!U48</f>
        <v>MISSING</v>
      </c>
      <c r="H185" s="380">
        <f>'Project-Level Data'!V48</f>
        <v>3</v>
      </c>
      <c r="I185" s="381">
        <f>'Project-Level Data'!W48</f>
        <v>3</v>
      </c>
    </row>
    <row r="186" spans="2:9" hidden="1" x14ac:dyDescent="0.25">
      <c r="B186" s="227" t="str">
        <f>'Project-Level Data'!B49</f>
        <v>Massachusetts Blvd Green Street</v>
      </c>
      <c r="C186" s="475" t="str">
        <f>'Project-Level Data'!C49</f>
        <v>Watershed and Ecosystem Management</v>
      </c>
      <c r="D186" s="477"/>
      <c r="E186" s="378">
        <f>'Project-Level Data'!S49</f>
        <v>3</v>
      </c>
      <c r="F186" s="379">
        <f>'Project-Level Data'!T49</f>
        <v>5</v>
      </c>
      <c r="G186" s="379" t="str">
        <f>'Project-Level Data'!U49</f>
        <v>MISSING</v>
      </c>
      <c r="H186" s="380">
        <f>'Project-Level Data'!V49</f>
        <v>3</v>
      </c>
      <c r="I186" s="381" t="str">
        <f>'Project-Level Data'!W49</f>
        <v>MISSING</v>
      </c>
    </row>
    <row r="187" spans="2:9" hidden="1" x14ac:dyDescent="0.25">
      <c r="B187" s="227" t="str">
        <f>'Project-Level Data'!B50</f>
        <v>Meadowlark WRF</v>
      </c>
      <c r="C187" s="475" t="str">
        <f>'Project-Level Data'!C50</f>
        <v>Recycled Water</v>
      </c>
      <c r="D187" s="477"/>
      <c r="E187" s="378" t="str">
        <f>'Project-Level Data'!S50</f>
        <v>No Response</v>
      </c>
      <c r="F187" s="379" t="str">
        <f>'Project-Level Data'!T50</f>
        <v>No Response</v>
      </c>
      <c r="G187" s="379" t="str">
        <f>'Project-Level Data'!U50</f>
        <v>No Response</v>
      </c>
      <c r="H187" s="380" t="str">
        <f>'Project-Level Data'!V50</f>
        <v>No Response</v>
      </c>
      <c r="I187" s="381" t="str">
        <f>'Project-Level Data'!W50</f>
        <v>No Response</v>
      </c>
    </row>
    <row r="188" spans="2:9" hidden="1" x14ac:dyDescent="0.25">
      <c r="B188" s="227" t="str">
        <f>'Project-Level Data'!B51</f>
        <v>Meadowood WRF</v>
      </c>
      <c r="C188" s="475" t="str">
        <f>'Project-Level Data'!C51</f>
        <v>Recycled Water</v>
      </c>
      <c r="D188" s="477"/>
      <c r="E188" s="378" t="str">
        <f>'Project-Level Data'!S51</f>
        <v>No Response</v>
      </c>
      <c r="F188" s="379" t="str">
        <f>'Project-Level Data'!T51</f>
        <v>No Response</v>
      </c>
      <c r="G188" s="379" t="str">
        <f>'Project-Level Data'!U51</f>
        <v>No Response</v>
      </c>
      <c r="H188" s="380" t="str">
        <f>'Project-Level Data'!V51</f>
        <v>No Response</v>
      </c>
      <c r="I188" s="381" t="str">
        <f>'Project-Level Data'!W51</f>
        <v>No Response</v>
      </c>
    </row>
    <row r="189" spans="2:9" ht="25.5" hidden="1" x14ac:dyDescent="0.25">
      <c r="B189" s="227" t="str">
        <f>'Project-Level Data'!B52</f>
        <v>Middle Sweetwater River Basin Groundwater Well System</v>
      </c>
      <c r="C189" s="475" t="str">
        <f>'Project-Level Data'!C52</f>
        <v>Groundwater</v>
      </c>
      <c r="D189" s="477"/>
      <c r="E189" s="378">
        <f>'Project-Level Data'!S52</f>
        <v>5</v>
      </c>
      <c r="F189" s="379">
        <f>'Project-Level Data'!T52</f>
        <v>4</v>
      </c>
      <c r="G189" s="379" t="str">
        <f>'Project-Level Data'!U52</f>
        <v>MISSING</v>
      </c>
      <c r="H189" s="380">
        <f>'Project-Level Data'!V52</f>
        <v>3</v>
      </c>
      <c r="I189" s="381">
        <f>'Project-Level Data'!W52</f>
        <v>3</v>
      </c>
    </row>
    <row r="190" spans="2:9" hidden="1" x14ac:dyDescent="0.25">
      <c r="B190" s="227" t="str">
        <f>'Project-Level Data'!B53</f>
        <v>Mission Trails Projects Alternative 1</v>
      </c>
      <c r="C190" s="475" t="str">
        <f>'Project-Level Data'!C53</f>
        <v>Conveyance Improvement</v>
      </c>
      <c r="D190" s="477"/>
      <c r="E190" s="378">
        <f>'Project-Level Data'!S53</f>
        <v>3</v>
      </c>
      <c r="F190" s="379">
        <f>'Project-Level Data'!T53</f>
        <v>5</v>
      </c>
      <c r="G190" s="379" t="str">
        <f>'Project-Level Data'!U53</f>
        <v>MISSING</v>
      </c>
      <c r="H190" s="380">
        <f>'Project-Level Data'!V53</f>
        <v>3</v>
      </c>
      <c r="I190" s="381">
        <f>'Project-Level Data'!W53</f>
        <v>4</v>
      </c>
    </row>
    <row r="191" spans="2:9" hidden="1" x14ac:dyDescent="0.25">
      <c r="B191" s="227" t="str">
        <f>'Project-Level Data'!B54</f>
        <v>Mission Valley Brackish Groundwater Recovery Project</v>
      </c>
      <c r="C191" s="475" t="str">
        <f>'Project-Level Data'!C54</f>
        <v>Groundwater</v>
      </c>
      <c r="D191" s="477"/>
      <c r="E191" s="378">
        <f>'Project-Level Data'!S54</f>
        <v>5</v>
      </c>
      <c r="F191" s="379">
        <f>'Project-Level Data'!T54</f>
        <v>3</v>
      </c>
      <c r="G191" s="379" t="str">
        <f>'Project-Level Data'!U54</f>
        <v>MISSING</v>
      </c>
      <c r="H191" s="380">
        <f>'Project-Level Data'!V54</f>
        <v>3</v>
      </c>
      <c r="I191" s="381">
        <f>'Project-Level Data'!W54</f>
        <v>5</v>
      </c>
    </row>
    <row r="192" spans="2:9" hidden="1" x14ac:dyDescent="0.25">
      <c r="B192" s="227" t="str">
        <f>'Project-Level Data'!B55</f>
        <v xml:space="preserve">Ms. Smarty-Plants Grows Water-Wise Schools </v>
      </c>
      <c r="C192" s="475" t="str">
        <f>'Project-Level Data'!C55</f>
        <v>Urban and Agricultural Water Use Efficiency</v>
      </c>
      <c r="D192" s="477"/>
      <c r="E192" s="378" t="str">
        <f>'Project-Level Data'!S55</f>
        <v>No Response</v>
      </c>
      <c r="F192" s="379" t="str">
        <f>'Project-Level Data'!T55</f>
        <v>No Response</v>
      </c>
      <c r="G192" s="379" t="str">
        <f>'Project-Level Data'!U55</f>
        <v>No Response</v>
      </c>
      <c r="H192" s="380" t="str">
        <f>'Project-Level Data'!V55</f>
        <v>No Response</v>
      </c>
      <c r="I192" s="381" t="str">
        <f>'Project-Level Data'!W55</f>
        <v>No Response</v>
      </c>
    </row>
    <row r="193" spans="2:9" hidden="1" x14ac:dyDescent="0.25">
      <c r="B193" s="227" t="str">
        <f>'Project-Level Data'!B56</f>
        <v>Mt. Vernon St Green Street</v>
      </c>
      <c r="C193" s="475" t="str">
        <f>'Project-Level Data'!C56</f>
        <v>Watershed and Ecosystem Management</v>
      </c>
      <c r="D193" s="477"/>
      <c r="E193" s="378">
        <f>'Project-Level Data'!S56</f>
        <v>3</v>
      </c>
      <c r="F193" s="379">
        <f>'Project-Level Data'!T56</f>
        <v>5</v>
      </c>
      <c r="G193" s="379" t="str">
        <f>'Project-Level Data'!U56</f>
        <v>MISSING</v>
      </c>
      <c r="H193" s="380">
        <f>'Project-Level Data'!V56</f>
        <v>3</v>
      </c>
      <c r="I193" s="381" t="str">
        <f>'Project-Level Data'!W56</f>
        <v>MISSING</v>
      </c>
    </row>
    <row r="194" spans="2:9" hidden="1" x14ac:dyDescent="0.25">
      <c r="B194" s="227" t="str">
        <f>'Project-Level Data'!B57</f>
        <v>Murray Urban Runoff Diversion System Capture</v>
      </c>
      <c r="C194" s="475" t="str">
        <f>'Project-Level Data'!C57</f>
        <v>Stormwater Capture</v>
      </c>
      <c r="D194" s="477"/>
      <c r="E194" s="378">
        <f>'Project-Level Data'!S57</f>
        <v>5</v>
      </c>
      <c r="F194" s="379">
        <f>'Project-Level Data'!T57</f>
        <v>5</v>
      </c>
      <c r="G194" s="379">
        <f>'Project-Level Data'!U57</f>
        <v>4</v>
      </c>
      <c r="H194" s="380">
        <f>'Project-Level Data'!V57</f>
        <v>3</v>
      </c>
      <c r="I194" s="381">
        <f>'Project-Level Data'!W57</f>
        <v>5</v>
      </c>
    </row>
    <row r="195" spans="2:9" hidden="1" x14ac:dyDescent="0.25">
      <c r="B195" s="227" t="str">
        <f>'Project-Level Data'!B58</f>
        <v>Nestor Creek Channel Restoration</v>
      </c>
      <c r="C195" s="475" t="str">
        <f>'Project-Level Data'!C58</f>
        <v>Watershed and Ecosystem Management</v>
      </c>
      <c r="D195" s="477"/>
      <c r="E195" s="378" t="str">
        <f>'Project-Level Data'!S58</f>
        <v>No Response</v>
      </c>
      <c r="F195" s="379" t="str">
        <f>'Project-Level Data'!T58</f>
        <v>No Response</v>
      </c>
      <c r="G195" s="379" t="str">
        <f>'Project-Level Data'!U58</f>
        <v>No Response</v>
      </c>
      <c r="H195" s="380" t="str">
        <f>'Project-Level Data'!V58</f>
        <v>No Response</v>
      </c>
      <c r="I195" s="381" t="str">
        <f>'Project-Level Data'!W58</f>
        <v>No Response</v>
      </c>
    </row>
    <row r="196" spans="2:9" ht="25.5" hidden="1" x14ac:dyDescent="0.25">
      <c r="B196" s="227" t="str">
        <f>'Project-Level Data'!B59</f>
        <v>New Local Supply Rincon del Diablo - Hale Avenue RRF/ City of Escondido/WRFs</v>
      </c>
      <c r="C196" s="475" t="str">
        <f>'Project-Level Data'!C59</f>
        <v>Potable Reuse</v>
      </c>
      <c r="D196" s="477"/>
      <c r="E196" s="378" t="str">
        <f>'Project-Level Data'!S59</f>
        <v>No Response</v>
      </c>
      <c r="F196" s="379" t="str">
        <f>'Project-Level Data'!T59</f>
        <v>No Response</v>
      </c>
      <c r="G196" s="379" t="str">
        <f>'Project-Level Data'!U59</f>
        <v>No Response</v>
      </c>
      <c r="H196" s="380" t="str">
        <f>'Project-Level Data'!V59</f>
        <v>No Response</v>
      </c>
      <c r="I196" s="381" t="str">
        <f>'Project-Level Data'!W59</f>
        <v>No Response</v>
      </c>
    </row>
    <row r="197" spans="2:9" hidden="1" x14ac:dyDescent="0.25">
      <c r="B197" s="227" t="str">
        <f>'Project-Level Data'!B60</f>
        <v>North Ave and Grove Green Street</v>
      </c>
      <c r="C197" s="475" t="str">
        <f>'Project-Level Data'!C60</f>
        <v>Watershed and Ecosystem Management</v>
      </c>
      <c r="D197" s="477"/>
      <c r="E197" s="378">
        <f>'Project-Level Data'!S60</f>
        <v>3</v>
      </c>
      <c r="F197" s="379">
        <f>'Project-Level Data'!T60</f>
        <v>5</v>
      </c>
      <c r="G197" s="379" t="str">
        <f>'Project-Level Data'!U60</f>
        <v>MISSING</v>
      </c>
      <c r="H197" s="380">
        <f>'Project-Level Data'!V60</f>
        <v>3</v>
      </c>
      <c r="I197" s="381" t="str">
        <f>'Project-Level Data'!W60</f>
        <v>MISSING</v>
      </c>
    </row>
    <row r="198" spans="2:9" hidden="1" x14ac:dyDescent="0.25">
      <c r="B198" s="227" t="str">
        <f>'Project-Level Data'!B61</f>
        <v>North City WRP - Project 1</v>
      </c>
      <c r="C198" s="475" t="str">
        <f>'Project-Level Data'!C61</f>
        <v>Recycled Water</v>
      </c>
      <c r="D198" s="477"/>
      <c r="E198" s="378">
        <f>'Project-Level Data'!S61</f>
        <v>5</v>
      </c>
      <c r="F198" s="379">
        <f>'Project-Level Data'!T61</f>
        <v>5</v>
      </c>
      <c r="G198" s="379">
        <f>'Project-Level Data'!U61</f>
        <v>4</v>
      </c>
      <c r="H198" s="380">
        <f>'Project-Level Data'!V61</f>
        <v>3</v>
      </c>
      <c r="I198" s="381">
        <f>'Project-Level Data'!W61</f>
        <v>3</v>
      </c>
    </row>
    <row r="199" spans="2:9" hidden="1" x14ac:dyDescent="0.25">
      <c r="B199" s="227" t="str">
        <f>'Project-Level Data'!B62</f>
        <v>North City WRP - Project 2</v>
      </c>
      <c r="C199" s="475" t="str">
        <f>'Project-Level Data'!C62</f>
        <v>Recycled Water</v>
      </c>
      <c r="D199" s="477"/>
      <c r="E199" s="378">
        <f>'Project-Level Data'!S62</f>
        <v>5</v>
      </c>
      <c r="F199" s="379">
        <f>'Project-Level Data'!T62</f>
        <v>5</v>
      </c>
      <c r="G199" s="379">
        <f>'Project-Level Data'!U62</f>
        <v>4</v>
      </c>
      <c r="H199" s="380">
        <f>'Project-Level Data'!V62</f>
        <v>3</v>
      </c>
      <c r="I199" s="381">
        <f>'Project-Level Data'!W62</f>
        <v>3</v>
      </c>
    </row>
    <row r="200" spans="2:9" hidden="1" x14ac:dyDescent="0.25">
      <c r="B200" s="227" t="str">
        <f>'Project-Level Data'!B63</f>
        <v>North District Recycled System/RW Chapman WRF</v>
      </c>
      <c r="C200" s="475" t="str">
        <f>'Project-Level Data'!C63</f>
        <v>Recycled Water</v>
      </c>
      <c r="D200" s="477"/>
      <c r="E200" s="378">
        <f>'Project-Level Data'!S63</f>
        <v>5</v>
      </c>
      <c r="F200" s="379">
        <f>'Project-Level Data'!T63</f>
        <v>3</v>
      </c>
      <c r="G200" s="379" t="str">
        <f>'Project-Level Data'!U63</f>
        <v>MISSING</v>
      </c>
      <c r="H200" s="380">
        <f>'Project-Level Data'!V63</f>
        <v>3</v>
      </c>
      <c r="I200" s="381">
        <f>'Project-Level Data'!W63</f>
        <v>3</v>
      </c>
    </row>
    <row r="201" spans="2:9" ht="25.5" hidden="1" x14ac:dyDescent="0.25">
      <c r="B201" s="227" t="str">
        <f>'Project-Level Data'!B64</f>
        <v>North San Diego County Regional Recycled Water Project-Phase ll</v>
      </c>
      <c r="C201" s="475" t="str">
        <f>'Project-Level Data'!C64</f>
        <v>Recycled Water</v>
      </c>
      <c r="D201" s="477"/>
      <c r="E201" s="378">
        <f>'Project-Level Data'!S64</f>
        <v>5</v>
      </c>
      <c r="F201" s="379">
        <f>'Project-Level Data'!T64</f>
        <v>5</v>
      </c>
      <c r="G201" s="379">
        <f>'Project-Level Data'!U64</f>
        <v>5</v>
      </c>
      <c r="H201" s="380">
        <f>'Project-Level Data'!V64</f>
        <v>3</v>
      </c>
      <c r="I201" s="381">
        <f>'Project-Level Data'!W64</f>
        <v>5</v>
      </c>
    </row>
    <row r="202" spans="2:9" hidden="1" x14ac:dyDescent="0.25">
      <c r="B202" s="227" t="str">
        <f>'Project-Level Data'!B65</f>
        <v>North Village WRF</v>
      </c>
      <c r="C202" s="475" t="str">
        <f>'Project-Level Data'!C65</f>
        <v>Recycled Water</v>
      </c>
      <c r="D202" s="477"/>
      <c r="E202" s="378" t="str">
        <f>'Project-Level Data'!S65</f>
        <v>No Response</v>
      </c>
      <c r="F202" s="379" t="str">
        <f>'Project-Level Data'!T65</f>
        <v>No Response</v>
      </c>
      <c r="G202" s="379" t="str">
        <f>'Project-Level Data'!U65</f>
        <v>No Response</v>
      </c>
      <c r="H202" s="380" t="str">
        <f>'Project-Level Data'!V65</f>
        <v>No Response</v>
      </c>
      <c r="I202" s="381" t="str">
        <f>'Project-Level Data'!W65</f>
        <v>No Response</v>
      </c>
    </row>
    <row r="203" spans="2:9" hidden="1" x14ac:dyDescent="0.25">
      <c r="B203" s="227" t="str">
        <f>'Project-Level Data'!B66</f>
        <v>North WWTP Landscape Application</v>
      </c>
      <c r="C203" s="475" t="str">
        <f>'Project-Level Data'!C66</f>
        <v>Recycled Water</v>
      </c>
      <c r="D203" s="477"/>
      <c r="E203" s="378">
        <f>'Project-Level Data'!S66</f>
        <v>5</v>
      </c>
      <c r="F203" s="379">
        <f>'Project-Level Data'!T66</f>
        <v>2</v>
      </c>
      <c r="G203" s="379" t="str">
        <f>'Project-Level Data'!U66</f>
        <v>MISSING</v>
      </c>
      <c r="H203" s="380">
        <f>'Project-Level Data'!V66</f>
        <v>3</v>
      </c>
      <c r="I203" s="381">
        <f>'Project-Level Data'!W66</f>
        <v>5</v>
      </c>
    </row>
    <row r="204" spans="2:9" hidden="1" x14ac:dyDescent="0.25">
      <c r="B204" s="227" t="str">
        <f>'Project-Level Data'!B67</f>
        <v>Otay Mesa Lot 7 Groundwater Well System (capacity)</v>
      </c>
      <c r="C204" s="475" t="str">
        <f>'Project-Level Data'!C67</f>
        <v>Groundwater</v>
      </c>
      <c r="D204" s="477"/>
      <c r="E204" s="378">
        <f>'Project-Level Data'!S67</f>
        <v>5</v>
      </c>
      <c r="F204" s="379">
        <f>'Project-Level Data'!T67</f>
        <v>3</v>
      </c>
      <c r="G204" s="379" t="str">
        <f>'Project-Level Data'!U67</f>
        <v>MISSING</v>
      </c>
      <c r="H204" s="380">
        <f>'Project-Level Data'!V67</f>
        <v>3</v>
      </c>
      <c r="I204" s="381">
        <f>'Project-Level Data'!W67</f>
        <v>4</v>
      </c>
    </row>
    <row r="205" spans="2:9" ht="25.5" hidden="1" x14ac:dyDescent="0.25">
      <c r="B205" s="227" t="str">
        <f>'Project-Level Data'!B68</f>
        <v>Otay River Valley GW Aquifer Studies &amp; Field Investigations</v>
      </c>
      <c r="C205" s="475" t="str">
        <f>'Project-Level Data'!C68</f>
        <v>Groundwater</v>
      </c>
      <c r="D205" s="477"/>
      <c r="E205" s="378">
        <f>'Project-Level Data'!S68</f>
        <v>5</v>
      </c>
      <c r="F205" s="379">
        <f>'Project-Level Data'!T68</f>
        <v>5</v>
      </c>
      <c r="G205" s="379" t="str">
        <f>'Project-Level Data'!U68</f>
        <v>MISSING</v>
      </c>
      <c r="H205" s="380">
        <f>'Project-Level Data'!V68</f>
        <v>3</v>
      </c>
      <c r="I205" s="381">
        <f>'Project-Level Data'!W68</f>
        <v>4</v>
      </c>
    </row>
    <row r="206" spans="2:9" hidden="1" x14ac:dyDescent="0.25">
      <c r="B206" s="227" t="str">
        <f>'Project-Level Data'!B69</f>
        <v>Palm St Green Street</v>
      </c>
      <c r="C206" s="475" t="str">
        <f>'Project-Level Data'!C69</f>
        <v>Watershed and Ecosystem Management</v>
      </c>
      <c r="D206" s="477"/>
      <c r="E206" s="378">
        <f>'Project-Level Data'!S69</f>
        <v>3</v>
      </c>
      <c r="F206" s="379">
        <f>'Project-Level Data'!T69</f>
        <v>5</v>
      </c>
      <c r="G206" s="379" t="str">
        <f>'Project-Level Data'!U69</f>
        <v>MISSING</v>
      </c>
      <c r="H206" s="380">
        <f>'Project-Level Data'!V69</f>
        <v>3</v>
      </c>
      <c r="I206" s="381" t="str">
        <f>'Project-Level Data'!W69</f>
        <v>MISSING</v>
      </c>
    </row>
    <row r="207" spans="2:9" hidden="1" x14ac:dyDescent="0.25">
      <c r="B207" s="227" t="str">
        <f>'Project-Level Data'!B70</f>
        <v>Paradise Creek Restoration Phase II</v>
      </c>
      <c r="C207" s="475" t="str">
        <f>'Project-Level Data'!C70</f>
        <v>Watershed and Ecosystem Management</v>
      </c>
      <c r="D207" s="477"/>
      <c r="E207" s="378">
        <f>'Project-Level Data'!S70</f>
        <v>4</v>
      </c>
      <c r="F207" s="379">
        <f>'Project-Level Data'!T70</f>
        <v>5</v>
      </c>
      <c r="G207" s="379">
        <f>'Project-Level Data'!U70</f>
        <v>5</v>
      </c>
      <c r="H207" s="380">
        <f>'Project-Level Data'!V70</f>
        <v>3</v>
      </c>
      <c r="I207" s="381">
        <f>'Project-Level Data'!W70</f>
        <v>3</v>
      </c>
    </row>
    <row r="208" spans="2:9" ht="25.5" hidden="1" x14ac:dyDescent="0.25">
      <c r="B208" s="227" t="str">
        <f>'Project-Level Data'!B71</f>
        <v>Paradise Valley Creek Water Quality and Community Enhancement</v>
      </c>
      <c r="C208" s="475" t="str">
        <f>'Project-Level Data'!C71</f>
        <v>Stormwater BMPs</v>
      </c>
      <c r="D208" s="477"/>
      <c r="E208" s="378">
        <f>'Project-Level Data'!S71</f>
        <v>4</v>
      </c>
      <c r="F208" s="379">
        <f>'Project-Level Data'!T71</f>
        <v>5</v>
      </c>
      <c r="G208" s="379">
        <f>'Project-Level Data'!U71</f>
        <v>5</v>
      </c>
      <c r="H208" s="380">
        <f>'Project-Level Data'!V71</f>
        <v>3</v>
      </c>
      <c r="I208" s="381">
        <f>'Project-Level Data'!W71</f>
        <v>4</v>
      </c>
    </row>
    <row r="209" spans="2:9" hidden="1" x14ac:dyDescent="0.25">
      <c r="B209" s="227" t="str">
        <f>'Project-Level Data'!B72</f>
        <v>Pipeline 3/Pipeline 4 Conversion</v>
      </c>
      <c r="C209" s="475" t="str">
        <f>'Project-Level Data'!C72</f>
        <v>Conveyance Improvement</v>
      </c>
      <c r="D209" s="477"/>
      <c r="E209" s="378">
        <f>'Project-Level Data'!S72</f>
        <v>4</v>
      </c>
      <c r="F209" s="379">
        <f>'Project-Level Data'!T72</f>
        <v>5</v>
      </c>
      <c r="G209" s="379" t="str">
        <f>'Project-Level Data'!U72</f>
        <v>MISSING</v>
      </c>
      <c r="H209" s="380">
        <f>'Project-Level Data'!V72</f>
        <v>3</v>
      </c>
      <c r="I209" s="381">
        <f>'Project-Level Data'!W72</f>
        <v>3</v>
      </c>
    </row>
    <row r="210" spans="2:9" ht="25.5" hidden="1" x14ac:dyDescent="0.25">
      <c r="B210" s="227" t="str">
        <f>'Project-Level Data'!B73</f>
        <v xml:space="preserve">Potable Reuse/Hale Avenue Resource Recovery Facility (HARRF) </v>
      </c>
      <c r="C210" s="475" t="str">
        <f>'Project-Level Data'!C73</f>
        <v>Potable Reuse</v>
      </c>
      <c r="D210" s="477"/>
      <c r="E210" s="378" t="str">
        <f>'Project-Level Data'!S73</f>
        <v>No Response</v>
      </c>
      <c r="F210" s="379" t="str">
        <f>'Project-Level Data'!T73</f>
        <v>No Response</v>
      </c>
      <c r="G210" s="379" t="str">
        <f>'Project-Level Data'!U73</f>
        <v>No Response</v>
      </c>
      <c r="H210" s="380" t="str">
        <f>'Project-Level Data'!V73</f>
        <v>No Response</v>
      </c>
      <c r="I210" s="381" t="str">
        <f>'Project-Level Data'!W73</f>
        <v>No Response</v>
      </c>
    </row>
    <row r="211" spans="2:9" ht="25.5" hidden="1" x14ac:dyDescent="0.25">
      <c r="B211" s="227" t="str">
        <f>'Project-Level Data'!B74</f>
        <v>Pure Water - Los Penasquitos Creek Urban Dry-Weather Water Harvesting</v>
      </c>
      <c r="C211" s="475" t="str">
        <f>'Project-Level Data'!C74</f>
        <v>Stormwater BMPs</v>
      </c>
      <c r="D211" s="477"/>
      <c r="E211" s="378">
        <f>'Project-Level Data'!S74</f>
        <v>5</v>
      </c>
      <c r="F211" s="379">
        <f>'Project-Level Data'!T74</f>
        <v>3</v>
      </c>
      <c r="G211" s="379" t="str">
        <f>'Project-Level Data'!U74</f>
        <v>MISSING</v>
      </c>
      <c r="H211" s="380">
        <f>'Project-Level Data'!V74</f>
        <v>4</v>
      </c>
      <c r="I211" s="381">
        <f>'Project-Level Data'!W74</f>
        <v>3</v>
      </c>
    </row>
    <row r="212" spans="2:9" hidden="1" x14ac:dyDescent="0.25">
      <c r="B212" s="227" t="str">
        <f>'Project-Level Data'!B75</f>
        <v xml:space="preserve">Pure Water San Diego Phase 1 - North City </v>
      </c>
      <c r="C212" s="475" t="str">
        <f>'Project-Level Data'!C75</f>
        <v>Potable Reuse</v>
      </c>
      <c r="D212" s="477"/>
      <c r="E212" s="378">
        <f>'Project-Level Data'!S75</f>
        <v>5</v>
      </c>
      <c r="F212" s="379">
        <f>'Project-Level Data'!T75</f>
        <v>3</v>
      </c>
      <c r="G212" s="379" t="str">
        <f>'Project-Level Data'!U75</f>
        <v>MISSING</v>
      </c>
      <c r="H212" s="380">
        <f>'Project-Level Data'!V75</f>
        <v>3</v>
      </c>
      <c r="I212" s="381">
        <f>'Project-Level Data'!W75</f>
        <v>3</v>
      </c>
    </row>
    <row r="213" spans="2:9" hidden="1" x14ac:dyDescent="0.25">
      <c r="B213" s="227" t="str">
        <f>'Project-Level Data'!B76</f>
        <v>Pure Water San Diego Phase 2 - Central</v>
      </c>
      <c r="C213" s="475" t="str">
        <f>'Project-Level Data'!C76</f>
        <v>Potable Reuse</v>
      </c>
      <c r="D213" s="477"/>
      <c r="E213" s="378">
        <f>'Project-Level Data'!S76</f>
        <v>5</v>
      </c>
      <c r="F213" s="379">
        <f>'Project-Level Data'!T76</f>
        <v>3</v>
      </c>
      <c r="G213" s="379" t="str">
        <f>'Project-Level Data'!U76</f>
        <v>MISSING</v>
      </c>
      <c r="H213" s="380">
        <f>'Project-Level Data'!V76</f>
        <v>3</v>
      </c>
      <c r="I213" s="381">
        <f>'Project-Level Data'!W76</f>
        <v>3</v>
      </c>
    </row>
    <row r="214" spans="2:9" hidden="1" x14ac:dyDescent="0.25">
      <c r="B214" s="227" t="str">
        <f>'Project-Level Data'!B77</f>
        <v>Rainwater harvesting</v>
      </c>
      <c r="C214" s="475" t="str">
        <f>'Project-Level Data'!C77</f>
        <v>Stormwater Capture</v>
      </c>
      <c r="D214" s="477"/>
      <c r="E214" s="378">
        <f>'Project-Level Data'!S77</f>
        <v>5</v>
      </c>
      <c r="F214" s="379">
        <f>'Project-Level Data'!T77</f>
        <v>2</v>
      </c>
      <c r="G214" s="379" t="str">
        <f>'Project-Level Data'!U77</f>
        <v>MISSING</v>
      </c>
      <c r="H214" s="380">
        <f>'Project-Level Data'!V77</f>
        <v>3</v>
      </c>
      <c r="I214" s="381">
        <f>'Project-Level Data'!W77</f>
        <v>4</v>
      </c>
    </row>
    <row r="215" spans="2:9" hidden="1" x14ac:dyDescent="0.25">
      <c r="B215" s="227" t="str">
        <f>'Project-Level Data'!B78</f>
        <v>Rancho Cielo</v>
      </c>
      <c r="C215" s="475" t="str">
        <f>'Project-Level Data'!C78</f>
        <v>Recycled Water</v>
      </c>
      <c r="D215" s="477"/>
      <c r="E215" s="378">
        <f>'Project-Level Data'!S78</f>
        <v>5</v>
      </c>
      <c r="F215" s="379">
        <f>'Project-Level Data'!T78</f>
        <v>5</v>
      </c>
      <c r="G215" s="379">
        <f>'Project-Level Data'!U78</f>
        <v>5</v>
      </c>
      <c r="H215" s="380">
        <f>'Project-Level Data'!V78</f>
        <v>3</v>
      </c>
      <c r="I215" s="381">
        <f>'Project-Level Data'!W78</f>
        <v>5</v>
      </c>
    </row>
    <row r="216" spans="2:9" ht="25.5" hidden="1" x14ac:dyDescent="0.25">
      <c r="B216" s="227" t="str">
        <f>'Project-Level Data'!B79</f>
        <v>Rancho del Rey Groundwater Well Development (capacity)</v>
      </c>
      <c r="C216" s="475" t="str">
        <f>'Project-Level Data'!C79</f>
        <v>Groundwater</v>
      </c>
      <c r="D216" s="477"/>
      <c r="E216" s="378">
        <f>'Project-Level Data'!S79</f>
        <v>5</v>
      </c>
      <c r="F216" s="379">
        <f>'Project-Level Data'!T79</f>
        <v>3</v>
      </c>
      <c r="G216" s="379" t="str">
        <f>'Project-Level Data'!U79</f>
        <v>MISSING</v>
      </c>
      <c r="H216" s="380">
        <f>'Project-Level Data'!V79</f>
        <v>3</v>
      </c>
      <c r="I216" s="381">
        <f>'Project-Level Data'!W79</f>
        <v>3</v>
      </c>
    </row>
    <row r="217" spans="2:9" hidden="1" x14ac:dyDescent="0.25">
      <c r="B217" s="227" t="str">
        <f>'Project-Level Data'!B80</f>
        <v>Ray Stoyer WRF - Landscape, Irrigation, Dust Control</v>
      </c>
      <c r="C217" s="475" t="str">
        <f>'Project-Level Data'!C80</f>
        <v>Recycled Water</v>
      </c>
      <c r="D217" s="477"/>
      <c r="E217" s="378">
        <f>'Project-Level Data'!S80</f>
        <v>5</v>
      </c>
      <c r="F217" s="379">
        <f>'Project-Level Data'!T80</f>
        <v>5</v>
      </c>
      <c r="G217" s="379">
        <f>'Project-Level Data'!U80</f>
        <v>4</v>
      </c>
      <c r="H217" s="380">
        <f>'Project-Level Data'!V80</f>
        <v>3</v>
      </c>
      <c r="I217" s="381">
        <f>'Project-Level Data'!W80</f>
        <v>3</v>
      </c>
    </row>
    <row r="218" spans="2:9" hidden="1" x14ac:dyDescent="0.25">
      <c r="B218" s="227" t="str">
        <f>'Project-Level Data'!B81</f>
        <v>Regional Demand Management Program Expansion</v>
      </c>
      <c r="C218" s="475" t="str">
        <f>'Project-Level Data'!C81</f>
        <v>Urban and Agricultural Water Use Efficiency</v>
      </c>
      <c r="D218" s="477"/>
      <c r="E218" s="378">
        <f>'Project-Level Data'!S81</f>
        <v>4</v>
      </c>
      <c r="F218" s="379">
        <f>'Project-Level Data'!T81</f>
        <v>1</v>
      </c>
      <c r="G218" s="379" t="str">
        <f>'Project-Level Data'!U81</f>
        <v>MISSING</v>
      </c>
      <c r="H218" s="380">
        <f>'Project-Level Data'!V81</f>
        <v>3</v>
      </c>
      <c r="I218" s="381">
        <f>'Project-Level Data'!W81</f>
        <v>3</v>
      </c>
    </row>
    <row r="219" spans="2:9" hidden="1" x14ac:dyDescent="0.25">
      <c r="B219" s="227" t="str">
        <f>'Project-Level Data'!B82</f>
        <v>Regional Drought Resilience Program</v>
      </c>
      <c r="C219" s="475" t="str">
        <f>'Project-Level Data'!C82</f>
        <v>Urban and Agricultural Water Use Efficiency</v>
      </c>
      <c r="D219" s="477"/>
      <c r="E219" s="378">
        <f>'Project-Level Data'!S82</f>
        <v>4</v>
      </c>
      <c r="F219" s="379">
        <f>'Project-Level Data'!T82</f>
        <v>1</v>
      </c>
      <c r="G219" s="379" t="str">
        <f>'Project-Level Data'!U82</f>
        <v>MISSING</v>
      </c>
      <c r="H219" s="380">
        <f>'Project-Level Data'!V82</f>
        <v>3</v>
      </c>
      <c r="I219" s="381">
        <f>'Project-Level Data'!W82</f>
        <v>3</v>
      </c>
    </row>
    <row r="220" spans="2:9" hidden="1" x14ac:dyDescent="0.25">
      <c r="B220" s="227" t="str">
        <f>'Project-Level Data'!B83</f>
        <v>Re-rating of Carlsbad Desalination for higher flow</v>
      </c>
      <c r="C220" s="475" t="str">
        <f>'Project-Level Data'!C83</f>
        <v>Seawater Desalination</v>
      </c>
      <c r="D220" s="477"/>
      <c r="E220" s="378" t="str">
        <f>'Project-Level Data'!S83</f>
        <v>No Response</v>
      </c>
      <c r="F220" s="379" t="str">
        <f>'Project-Level Data'!T83</f>
        <v>No Response</v>
      </c>
      <c r="G220" s="379" t="str">
        <f>'Project-Level Data'!U83</f>
        <v>No Response</v>
      </c>
      <c r="H220" s="380" t="str">
        <f>'Project-Level Data'!V83</f>
        <v>No Response</v>
      </c>
      <c r="I220" s="381" t="str">
        <f>'Project-Level Data'!W83</f>
        <v>No Response</v>
      </c>
    </row>
    <row r="221" spans="2:9" hidden="1" x14ac:dyDescent="0.25">
      <c r="B221" s="227" t="str">
        <f>'Project-Level Data'!B84</f>
        <v>Rincon Customer-Driven Demand Management Program</v>
      </c>
      <c r="C221" s="475" t="str">
        <f>'Project-Level Data'!C84</f>
        <v>Urban and Agricultural Water Use Efficiency</v>
      </c>
      <c r="D221" s="477"/>
      <c r="E221" s="378" t="str">
        <f>'Project-Level Data'!S84</f>
        <v>No Response</v>
      </c>
      <c r="F221" s="379" t="str">
        <f>'Project-Level Data'!T84</f>
        <v>No Response</v>
      </c>
      <c r="G221" s="379" t="str">
        <f>'Project-Level Data'!U84</f>
        <v>No Response</v>
      </c>
      <c r="H221" s="380" t="str">
        <f>'Project-Level Data'!V84</f>
        <v>No Response</v>
      </c>
      <c r="I221" s="381" t="str">
        <f>'Project-Level Data'!W84</f>
        <v>No Response</v>
      </c>
    </row>
    <row r="222" spans="2:9" hidden="1" x14ac:dyDescent="0.25">
      <c r="B222" s="227" t="str">
        <f>'Project-Level Data'!B85</f>
        <v>Rosarito Beach Desalination</v>
      </c>
      <c r="C222" s="475" t="str">
        <f>'Project-Level Data'!C85</f>
        <v>Seawater Desalination</v>
      </c>
      <c r="D222" s="477"/>
      <c r="E222" s="378">
        <f>'Project-Level Data'!S85</f>
        <v>5</v>
      </c>
      <c r="F222" s="379">
        <f>'Project-Level Data'!T85</f>
        <v>5</v>
      </c>
      <c r="G222" s="379" t="str">
        <f>'Project-Level Data'!U85</f>
        <v>MISSING</v>
      </c>
      <c r="H222" s="380">
        <f>'Project-Level Data'!V85</f>
        <v>3</v>
      </c>
      <c r="I222" s="381">
        <f>'Project-Level Data'!W85</f>
        <v>5</v>
      </c>
    </row>
    <row r="223" spans="2:9" hidden="1" x14ac:dyDescent="0.25">
      <c r="B223" s="227" t="str">
        <f>'Project-Level Data'!B86</f>
        <v>Safari Drought Response and Outreach</v>
      </c>
      <c r="C223" s="475" t="str">
        <f>'Project-Level Data'!C86</f>
        <v>Recycled Water</v>
      </c>
      <c r="D223" s="477"/>
      <c r="E223" s="378" t="str">
        <f>'Project-Level Data'!S86</f>
        <v>No Response</v>
      </c>
      <c r="F223" s="379" t="str">
        <f>'Project-Level Data'!T86</f>
        <v>No Response</v>
      </c>
      <c r="G223" s="379" t="str">
        <f>'Project-Level Data'!U86</f>
        <v>No Response</v>
      </c>
      <c r="H223" s="380" t="str">
        <f>'Project-Level Data'!V86</f>
        <v>No Response</v>
      </c>
      <c r="I223" s="381" t="str">
        <f>'Project-Level Data'!W86</f>
        <v>No Response</v>
      </c>
    </row>
    <row r="224" spans="2:9" hidden="1" x14ac:dyDescent="0.25">
      <c r="B224" s="227" t="str">
        <f>'Project-Level Data'!B87</f>
        <v>Safari Park Storm Water Capture and Reuse Project</v>
      </c>
      <c r="C224" s="475" t="str">
        <f>'Project-Level Data'!C87</f>
        <v>Stormwater BMPs</v>
      </c>
      <c r="D224" s="477"/>
      <c r="E224" s="378" t="str">
        <f>'Project-Level Data'!S87</f>
        <v>No Response</v>
      </c>
      <c r="F224" s="379" t="str">
        <f>'Project-Level Data'!T87</f>
        <v>No Response</v>
      </c>
      <c r="G224" s="379" t="str">
        <f>'Project-Level Data'!U87</f>
        <v>No Response</v>
      </c>
      <c r="H224" s="380" t="str">
        <f>'Project-Level Data'!V87</f>
        <v>No Response</v>
      </c>
      <c r="I224" s="381" t="str">
        <f>'Project-Level Data'!W87</f>
        <v>No Response</v>
      </c>
    </row>
    <row r="225" spans="2:9" ht="25.5" hidden="1" x14ac:dyDescent="0.25">
      <c r="B225" s="227" t="str">
        <f>'Project-Level Data'!B88</f>
        <v>Safari Park Water Reuse Sustainability and Watershed Protection Prgram</v>
      </c>
      <c r="C225" s="475" t="str">
        <f>'Project-Level Data'!C88</f>
        <v>Stormwater BMPs</v>
      </c>
      <c r="D225" s="477"/>
      <c r="E225" s="378" t="str">
        <f>'Project-Level Data'!S88</f>
        <v>No Response</v>
      </c>
      <c r="F225" s="379" t="str">
        <f>'Project-Level Data'!T88</f>
        <v>No Response</v>
      </c>
      <c r="G225" s="379" t="str">
        <f>'Project-Level Data'!U88</f>
        <v>No Response</v>
      </c>
      <c r="H225" s="380" t="str">
        <f>'Project-Level Data'!V88</f>
        <v>No Response</v>
      </c>
      <c r="I225" s="381" t="str">
        <f>'Project-Level Data'!W88</f>
        <v>No Response</v>
      </c>
    </row>
    <row r="226" spans="2:9" hidden="1" x14ac:dyDescent="0.25">
      <c r="B226" s="227" t="str">
        <f>'Project-Level Data'!B89</f>
        <v>San Diego County Reservoir Intertie</v>
      </c>
      <c r="C226" s="475" t="str">
        <f>'Project-Level Data'!C89</f>
        <v>Conveyance Improvement</v>
      </c>
      <c r="D226" s="477"/>
      <c r="E226" s="378">
        <f>'Project-Level Data'!S89</f>
        <v>5</v>
      </c>
      <c r="F226" s="379">
        <f>'Project-Level Data'!T89</f>
        <v>5</v>
      </c>
      <c r="G226" s="379">
        <f>'Project-Level Data'!U89</f>
        <v>5</v>
      </c>
      <c r="H226" s="380">
        <f>'Project-Level Data'!V89</f>
        <v>3</v>
      </c>
      <c r="I226" s="381">
        <f>'Project-Level Data'!W89</f>
        <v>5</v>
      </c>
    </row>
    <row r="227" spans="2:9" ht="25.5" hidden="1" x14ac:dyDescent="0.25">
      <c r="B227" s="227" t="str">
        <f>'Project-Level Data'!B90</f>
        <v>San Diego Formation - Southeaster San Diego, including Mt Hope</v>
      </c>
      <c r="C227" s="475" t="str">
        <f>'Project-Level Data'!C90</f>
        <v>Groundwater</v>
      </c>
      <c r="D227" s="477"/>
      <c r="E227" s="378">
        <f>'Project-Level Data'!S90</f>
        <v>5</v>
      </c>
      <c r="F227" s="379">
        <f>'Project-Level Data'!T90</f>
        <v>3</v>
      </c>
      <c r="G227" s="379" t="str">
        <f>'Project-Level Data'!U90</f>
        <v>MISSING</v>
      </c>
      <c r="H227" s="380">
        <f>'Project-Level Data'!V90</f>
        <v>3</v>
      </c>
      <c r="I227" s="381">
        <f>'Project-Level Data'!W90</f>
        <v>3</v>
      </c>
    </row>
    <row r="228" spans="2:9" hidden="1" x14ac:dyDescent="0.25">
      <c r="B228" s="227" t="str">
        <f>'Project-Level Data'!B91</f>
        <v>San Diego Healthy Headwaters Restoration</v>
      </c>
      <c r="C228" s="475" t="str">
        <f>'Project-Level Data'!C91</f>
        <v>Watershed and Ecosystem Management</v>
      </c>
      <c r="D228" s="477"/>
      <c r="E228" s="378">
        <f>'Project-Level Data'!S91</f>
        <v>5</v>
      </c>
      <c r="F228" s="379">
        <f>'Project-Level Data'!T91</f>
        <v>3</v>
      </c>
      <c r="G228" s="379" t="str">
        <f>'Project-Level Data'!U91</f>
        <v>MISSING</v>
      </c>
      <c r="H228" s="380">
        <f>'Project-Level Data'!V91</f>
        <v>3</v>
      </c>
      <c r="I228" s="381">
        <f>'Project-Level Data'!W91</f>
        <v>4</v>
      </c>
    </row>
    <row r="229" spans="2:9" hidden="1" x14ac:dyDescent="0.25">
      <c r="B229" s="227" t="str">
        <f>'Project-Level Data'!B92</f>
        <v>San Diego Water Conservation Program</v>
      </c>
      <c r="C229" s="475" t="str">
        <f>'Project-Level Data'!C92</f>
        <v>Urban and Agricultural Water Use Efficiency</v>
      </c>
      <c r="D229" s="477"/>
      <c r="E229" s="378">
        <f>'Project-Level Data'!S92</f>
        <v>3</v>
      </c>
      <c r="F229" s="379">
        <f>'Project-Level Data'!T92</f>
        <v>3</v>
      </c>
      <c r="G229" s="379" t="str">
        <f>'Project-Level Data'!U92</f>
        <v>MISSING</v>
      </c>
      <c r="H229" s="380">
        <f>'Project-Level Data'!V92</f>
        <v>3</v>
      </c>
      <c r="I229" s="381">
        <f>'Project-Level Data'!W92</f>
        <v>3</v>
      </c>
    </row>
    <row r="230" spans="2:9" hidden="1" x14ac:dyDescent="0.25">
      <c r="B230" s="227" t="str">
        <f>'Project-Level Data'!B93</f>
        <v>San Diego Water Use Reduction Program</v>
      </c>
      <c r="C230" s="475" t="str">
        <f>'Project-Level Data'!C93</f>
        <v>Urban and Agricultural Water Use Efficiency</v>
      </c>
      <c r="D230" s="477"/>
      <c r="E230" s="378">
        <f>'Project-Level Data'!S93</f>
        <v>3</v>
      </c>
      <c r="F230" s="379">
        <f>'Project-Level Data'!T93</f>
        <v>3</v>
      </c>
      <c r="G230" s="379" t="str">
        <f>'Project-Level Data'!U93</f>
        <v>MISSING</v>
      </c>
      <c r="H230" s="380">
        <f>'Project-Level Data'!V93</f>
        <v>2</v>
      </c>
      <c r="I230" s="381">
        <f>'Project-Level Data'!W93</f>
        <v>3</v>
      </c>
    </row>
    <row r="231" spans="2:9" ht="25.5" hidden="1" x14ac:dyDescent="0.25">
      <c r="B231" s="227" t="str">
        <f>'Project-Level Data'!B94</f>
        <v>San Dieguito River Basin Brackish GW Recovery and Treatment</v>
      </c>
      <c r="C231" s="475" t="str">
        <f>'Project-Level Data'!C94</f>
        <v>Groundwater</v>
      </c>
      <c r="D231" s="477"/>
      <c r="E231" s="378">
        <f>'Project-Level Data'!S94</f>
        <v>5</v>
      </c>
      <c r="F231" s="379">
        <f>'Project-Level Data'!T94</f>
        <v>5</v>
      </c>
      <c r="G231" s="379" t="str">
        <f>'Project-Level Data'!U94</f>
        <v>MISSING</v>
      </c>
      <c r="H231" s="380">
        <f>'Project-Level Data'!V94</f>
        <v>3</v>
      </c>
      <c r="I231" s="381">
        <f>'Project-Level Data'!W94</f>
        <v>5</v>
      </c>
    </row>
    <row r="232" spans="2:9" hidden="1" x14ac:dyDescent="0.25">
      <c r="B232" s="227" t="str">
        <f>'Project-Level Data'!B95</f>
        <v>San Luis Rey Groundwater Study</v>
      </c>
      <c r="C232" s="475" t="str">
        <f>'Project-Level Data'!C95</f>
        <v>Groundwater</v>
      </c>
      <c r="D232" s="477"/>
      <c r="E232" s="378" t="str">
        <f>'Project-Level Data'!S95</f>
        <v>No Response</v>
      </c>
      <c r="F232" s="379" t="str">
        <f>'Project-Level Data'!T95</f>
        <v>No Response</v>
      </c>
      <c r="G232" s="379" t="str">
        <f>'Project-Level Data'!U95</f>
        <v>No Response</v>
      </c>
      <c r="H232" s="380" t="str">
        <f>'Project-Level Data'!V95</f>
        <v>No Response</v>
      </c>
      <c r="I232" s="381" t="str">
        <f>'Project-Level Data'!W95</f>
        <v>No Response</v>
      </c>
    </row>
    <row r="233" spans="2:9" ht="25.5" hidden="1" x14ac:dyDescent="0.25">
      <c r="B233" s="227" t="str">
        <f>'Project-Level Data'!B96</f>
        <v>San Marino Drive Green Street and Dry Weather Flow Management Sweetwater</v>
      </c>
      <c r="C233" s="475" t="str">
        <f>'Project-Level Data'!C96</f>
        <v>Stormwater BMPs</v>
      </c>
      <c r="D233" s="477"/>
      <c r="E233" s="378">
        <f>'Project-Level Data'!S96</f>
        <v>2</v>
      </c>
      <c r="F233" s="379">
        <f>'Project-Level Data'!T96</f>
        <v>2</v>
      </c>
      <c r="G233" s="379" t="str">
        <f>'Project-Level Data'!U96</f>
        <v>MISSING</v>
      </c>
      <c r="H233" s="380">
        <f>'Project-Level Data'!V96</f>
        <v>3</v>
      </c>
      <c r="I233" s="381">
        <f>'Project-Level Data'!W96</f>
        <v>3</v>
      </c>
    </row>
    <row r="234" spans="2:9" ht="25.5" hidden="1" x14ac:dyDescent="0.25">
      <c r="B234" s="227" t="str">
        <f>'Project-Level Data'!B97</f>
        <v>San Marino Drive Green Street and Dry Weather Flow Management Vallecitos</v>
      </c>
      <c r="C234" s="475" t="str">
        <f>'Project-Level Data'!C97</f>
        <v>Stormwater BMPs</v>
      </c>
      <c r="D234" s="477"/>
      <c r="E234" s="378">
        <f>'Project-Level Data'!S97</f>
        <v>2</v>
      </c>
      <c r="F234" s="379">
        <f>'Project-Level Data'!T97</f>
        <v>2</v>
      </c>
      <c r="G234" s="379" t="str">
        <f>'Project-Level Data'!U97</f>
        <v>MISSING</v>
      </c>
      <c r="H234" s="380">
        <f>'Project-Level Data'!V97</f>
        <v>3</v>
      </c>
      <c r="I234" s="381">
        <f>'Project-Level Data'!W97</f>
        <v>3</v>
      </c>
    </row>
    <row r="235" spans="2:9" hidden="1" x14ac:dyDescent="0.25">
      <c r="B235" s="227" t="str">
        <f>'Project-Level Data'!B98</f>
        <v>San Miguel Green Street</v>
      </c>
      <c r="C235" s="475" t="str">
        <f>'Project-Level Data'!C98</f>
        <v>Stormwater BMPs</v>
      </c>
      <c r="D235" s="477"/>
      <c r="E235" s="378" t="str">
        <f>'Project-Level Data'!S98</f>
        <v>No Response</v>
      </c>
      <c r="F235" s="379" t="str">
        <f>'Project-Level Data'!T98</f>
        <v>No Response</v>
      </c>
      <c r="G235" s="379" t="str">
        <f>'Project-Level Data'!U98</f>
        <v>No Response</v>
      </c>
      <c r="H235" s="380" t="str">
        <f>'Project-Level Data'!V98</f>
        <v>No Response</v>
      </c>
      <c r="I235" s="381" t="str">
        <f>'Project-Level Data'!W98</f>
        <v>No Response</v>
      </c>
    </row>
    <row r="236" spans="2:9" hidden="1" x14ac:dyDescent="0.25">
      <c r="B236" s="227" t="str">
        <f>'Project-Level Data'!B99</f>
        <v>San Pasqual Brackish Groundwater Recovery Project</v>
      </c>
      <c r="C236" s="475" t="str">
        <f>'Project-Level Data'!C99</f>
        <v>Groundwater</v>
      </c>
      <c r="D236" s="477"/>
      <c r="E236" s="378">
        <f>'Project-Level Data'!S99</f>
        <v>5</v>
      </c>
      <c r="F236" s="379">
        <f>'Project-Level Data'!T99</f>
        <v>3</v>
      </c>
      <c r="G236" s="379" t="str">
        <f>'Project-Level Data'!U99</f>
        <v>MISSING</v>
      </c>
      <c r="H236" s="380">
        <f>'Project-Level Data'!V99</f>
        <v>3</v>
      </c>
      <c r="I236" s="381">
        <f>'Project-Level Data'!W99</f>
        <v>4</v>
      </c>
    </row>
    <row r="237" spans="2:9" hidden="1" x14ac:dyDescent="0.25">
      <c r="B237" s="227" t="str">
        <f>'Project-Level Data'!B100</f>
        <v>San Vicente 3rd Pump Drive and Power</v>
      </c>
      <c r="C237" s="475" t="str">
        <f>'Project-Level Data'!C100</f>
        <v>Conveyance Improvement</v>
      </c>
      <c r="D237" s="477"/>
      <c r="E237" s="378">
        <f>'Project-Level Data'!S100</f>
        <v>3</v>
      </c>
      <c r="F237" s="379">
        <f>'Project-Level Data'!T100</f>
        <v>3</v>
      </c>
      <c r="G237" s="379" t="str">
        <f>'Project-Level Data'!U100</f>
        <v>MISSING</v>
      </c>
      <c r="H237" s="380">
        <f>'Project-Level Data'!V100</f>
        <v>3</v>
      </c>
      <c r="I237" s="381">
        <f>'Project-Level Data'!W100</f>
        <v>3</v>
      </c>
    </row>
    <row r="238" spans="2:9" ht="38.25" hidden="1" x14ac:dyDescent="0.25">
      <c r="B238" s="227" t="str">
        <f>'Project-Level Data'!B101</f>
        <v>Santa Margarita Conjunctive-Use Project - Local surface water recharge and expansion of Camp Pendleton groundwater recovery program</v>
      </c>
      <c r="C238" s="475" t="str">
        <f>'Project-Level Data'!C101</f>
        <v>Groundwater</v>
      </c>
      <c r="D238" s="477"/>
      <c r="E238" s="378" t="str">
        <f>'Project-Level Data'!S101</f>
        <v>No Response</v>
      </c>
      <c r="F238" s="379" t="str">
        <f>'Project-Level Data'!T101</f>
        <v>No Response</v>
      </c>
      <c r="G238" s="379" t="str">
        <f>'Project-Level Data'!U101</f>
        <v>No Response</v>
      </c>
      <c r="H238" s="380" t="str">
        <f>'Project-Level Data'!V101</f>
        <v>No Response</v>
      </c>
      <c r="I238" s="381" t="str">
        <f>'Project-Level Data'!W101</f>
        <v>No Response</v>
      </c>
    </row>
    <row r="239" spans="2:9" hidden="1" x14ac:dyDescent="0.25">
      <c r="B239" s="227" t="str">
        <f>'Project-Level Data'!B102</f>
        <v>Santa Maria WRP</v>
      </c>
      <c r="C239" s="475" t="str">
        <f>'Project-Level Data'!C102</f>
        <v>Recycled Water</v>
      </c>
      <c r="D239" s="477"/>
      <c r="E239" s="378" t="str">
        <f>'Project-Level Data'!S102</f>
        <v>No Response</v>
      </c>
      <c r="F239" s="379" t="str">
        <f>'Project-Level Data'!T102</f>
        <v>No Response</v>
      </c>
      <c r="G239" s="379" t="str">
        <f>'Project-Level Data'!U102</f>
        <v>No Response</v>
      </c>
      <c r="H239" s="380" t="str">
        <f>'Project-Level Data'!V102</f>
        <v>No Response</v>
      </c>
      <c r="I239" s="381" t="str">
        <f>'Project-Level Data'!W102</f>
        <v>No Response</v>
      </c>
    </row>
    <row r="240" spans="2:9" hidden="1" x14ac:dyDescent="0.25">
      <c r="B240" s="227" t="str">
        <f>'Project-Level Data'!B103</f>
        <v>Second Crossover Pipeline</v>
      </c>
      <c r="C240" s="475" t="str">
        <f>'Project-Level Data'!C103</f>
        <v>Conveyance Improvement</v>
      </c>
      <c r="D240" s="477"/>
      <c r="E240" s="378">
        <f>'Project-Level Data'!S103</f>
        <v>3</v>
      </c>
      <c r="F240" s="379">
        <f>'Project-Level Data'!T103</f>
        <v>3</v>
      </c>
      <c r="G240" s="379" t="str">
        <f>'Project-Level Data'!U103</f>
        <v>MISSING</v>
      </c>
      <c r="H240" s="380">
        <f>'Project-Level Data'!V103</f>
        <v>3</v>
      </c>
      <c r="I240" s="381">
        <f>'Project-Level Data'!W103</f>
        <v>3</v>
      </c>
    </row>
    <row r="241" spans="2:9" hidden="1" x14ac:dyDescent="0.25">
      <c r="B241" s="227" t="str">
        <f>'Project-Level Data'!B104</f>
        <v>SFID/SDWD/SEJPA Potable Reuse Project</v>
      </c>
      <c r="C241" s="475" t="str">
        <f>'Project-Level Data'!C104</f>
        <v>Potable Reuse</v>
      </c>
      <c r="D241" s="477"/>
      <c r="E241" s="378">
        <f>'Project-Level Data'!S104</f>
        <v>5</v>
      </c>
      <c r="F241" s="379">
        <f>'Project-Level Data'!T104</f>
        <v>4</v>
      </c>
      <c r="G241" s="379">
        <f>'Project-Level Data'!U104</f>
        <v>5</v>
      </c>
      <c r="H241" s="380">
        <f>'Project-Level Data'!V104</f>
        <v>5</v>
      </c>
      <c r="I241" s="381">
        <f>'Project-Level Data'!W104</f>
        <v>5</v>
      </c>
    </row>
    <row r="242" spans="2:9" hidden="1" x14ac:dyDescent="0.25">
      <c r="B242" s="227" t="str">
        <f>'Project-Level Data'!B105</f>
        <v>Shadowridge WRP</v>
      </c>
      <c r="C242" s="475" t="str">
        <f>'Project-Level Data'!C105</f>
        <v>Recycled Water</v>
      </c>
      <c r="D242" s="477"/>
      <c r="E242" s="378" t="str">
        <f>'Project-Level Data'!S105</f>
        <v>No Response</v>
      </c>
      <c r="F242" s="379" t="str">
        <f>'Project-Level Data'!T105</f>
        <v>No Response</v>
      </c>
      <c r="G242" s="379" t="str">
        <f>'Project-Level Data'!U105</f>
        <v>No Response</v>
      </c>
      <c r="H242" s="380" t="str">
        <f>'Project-Level Data'!V105</f>
        <v>No Response</v>
      </c>
      <c r="I242" s="381" t="str">
        <f>'Project-Level Data'!W105</f>
        <v>No Response</v>
      </c>
    </row>
    <row r="243" spans="2:9" hidden="1" x14ac:dyDescent="0.25">
      <c r="B243" s="227" t="str">
        <f>'Project-Level Data'!B106</f>
        <v>Skyline Dr and Kempt St Green Streets</v>
      </c>
      <c r="C243" s="475" t="str">
        <f>'Project-Level Data'!C106</f>
        <v>Stormwater BMPs</v>
      </c>
      <c r="D243" s="477"/>
      <c r="E243" s="378">
        <f>'Project-Level Data'!S106</f>
        <v>3</v>
      </c>
      <c r="F243" s="379">
        <f>'Project-Level Data'!T106</f>
        <v>5</v>
      </c>
      <c r="G243" s="379" t="str">
        <f>'Project-Level Data'!U106</f>
        <v>MISSING</v>
      </c>
      <c r="H243" s="380">
        <f>'Project-Level Data'!V106</f>
        <v>3</v>
      </c>
      <c r="I243" s="381" t="str">
        <f>'Project-Level Data'!W106</f>
        <v>MISSING</v>
      </c>
    </row>
    <row r="244" spans="2:9" hidden="1" x14ac:dyDescent="0.25">
      <c r="B244" s="227" t="str">
        <f>'Project-Level Data'!B107</f>
        <v>South Santa Fe Green Street Project</v>
      </c>
      <c r="C244" s="475" t="str">
        <f>'Project-Level Data'!C107</f>
        <v>Stormwater BMPs</v>
      </c>
      <c r="D244" s="477"/>
      <c r="E244" s="378">
        <f>'Project-Level Data'!S107</f>
        <v>4</v>
      </c>
      <c r="F244" s="379">
        <f>'Project-Level Data'!T107</f>
        <v>3</v>
      </c>
      <c r="G244" s="379">
        <f>'Project-Level Data'!U107</f>
        <v>5</v>
      </c>
      <c r="H244" s="380">
        <f>'Project-Level Data'!V107</f>
        <v>3</v>
      </c>
      <c r="I244" s="381">
        <f>'Project-Level Data'!W107</f>
        <v>3</v>
      </c>
    </row>
    <row r="245" spans="2:9" hidden="1" x14ac:dyDescent="0.25">
      <c r="B245" s="227" t="str">
        <f>'Project-Level Data'!B108</f>
        <v>South WWTP - Indirect Potable Recharge</v>
      </c>
      <c r="C245" s="475" t="str">
        <f>'Project-Level Data'!C108</f>
        <v>Potable Reuse</v>
      </c>
      <c r="D245" s="477"/>
      <c r="E245" s="378">
        <f>'Project-Level Data'!S108</f>
        <v>5</v>
      </c>
      <c r="F245" s="379">
        <f>'Project-Level Data'!T108</f>
        <v>5</v>
      </c>
      <c r="G245" s="379" t="str">
        <f>'Project-Level Data'!U108</f>
        <v>MISSING</v>
      </c>
      <c r="H245" s="380">
        <f>'Project-Level Data'!V108</f>
        <v>5</v>
      </c>
      <c r="I245" s="381">
        <f>'Project-Level Data'!W108</f>
        <v>5</v>
      </c>
    </row>
    <row r="246" spans="2:9" hidden="1" x14ac:dyDescent="0.25">
      <c r="B246" s="227" t="str">
        <f>'Project-Level Data'!B109</f>
        <v>South WWTP - Injection to Las Flores Basin</v>
      </c>
      <c r="C246" s="475" t="str">
        <f>'Project-Level Data'!C109</f>
        <v>Potable Reuse</v>
      </c>
      <c r="D246" s="477"/>
      <c r="E246" s="378">
        <f>'Project-Level Data'!S109</f>
        <v>3</v>
      </c>
      <c r="F246" s="379">
        <f>'Project-Level Data'!T109</f>
        <v>2</v>
      </c>
      <c r="G246" s="379" t="str">
        <f>'Project-Level Data'!U109</f>
        <v>MISSING</v>
      </c>
      <c r="H246" s="380">
        <f>'Project-Level Data'!V109</f>
        <v>3</v>
      </c>
      <c r="I246" s="381">
        <f>'Project-Level Data'!W109</f>
        <v>3</v>
      </c>
    </row>
    <row r="247" spans="2:9" hidden="1" x14ac:dyDescent="0.25">
      <c r="B247" s="227" t="str">
        <f>'Project-Level Data'!B110</f>
        <v>South WWTP - Injection to Santa Margarita Basin</v>
      </c>
      <c r="C247" s="475" t="str">
        <f>'Project-Level Data'!C110</f>
        <v>Potable Reuse</v>
      </c>
      <c r="D247" s="477"/>
      <c r="E247" s="378">
        <f>'Project-Level Data'!S110</f>
        <v>3</v>
      </c>
      <c r="F247" s="379">
        <f>'Project-Level Data'!T110</f>
        <v>5</v>
      </c>
      <c r="G247" s="379" t="str">
        <f>'Project-Level Data'!U110</f>
        <v>MISSING</v>
      </c>
      <c r="H247" s="380">
        <f>'Project-Level Data'!V110</f>
        <v>4</v>
      </c>
      <c r="I247" s="381">
        <f>'Project-Level Data'!W110</f>
        <v>3</v>
      </c>
    </row>
    <row r="248" spans="2:9" hidden="1" x14ac:dyDescent="0.25">
      <c r="B248" s="227" t="str">
        <f>'Project-Level Data'!B111</f>
        <v>Spruce Street Channel Improvement Project</v>
      </c>
      <c r="C248" s="475" t="str">
        <f>'Project-Level Data'!C111</f>
        <v>Stormwater BMPs</v>
      </c>
      <c r="D248" s="477"/>
      <c r="E248" s="378" t="str">
        <f>'Project-Level Data'!S111</f>
        <v>No Response</v>
      </c>
      <c r="F248" s="379" t="str">
        <f>'Project-Level Data'!T111</f>
        <v>No Response</v>
      </c>
      <c r="G248" s="379" t="str">
        <f>'Project-Level Data'!U111</f>
        <v>No Response</v>
      </c>
      <c r="H248" s="380" t="str">
        <f>'Project-Level Data'!V111</f>
        <v>No Response</v>
      </c>
      <c r="I248" s="381" t="str">
        <f>'Project-Level Data'!W111</f>
        <v>No Response</v>
      </c>
    </row>
    <row r="249" spans="2:9" ht="25.5" hidden="1" x14ac:dyDescent="0.25">
      <c r="B249" s="227" t="str">
        <f>'Project-Level Data'!B112</f>
        <v>Storm water Capture off San Diego River along Alvarado Canyon and Fairmont Canyon to Fish and Wildlife site</v>
      </c>
      <c r="C249" s="475" t="str">
        <f>'Project-Level Data'!C112</f>
        <v>Stormwater BMPs</v>
      </c>
      <c r="D249" s="477"/>
      <c r="E249" s="378">
        <f>'Project-Level Data'!S112</f>
        <v>5</v>
      </c>
      <c r="F249" s="379">
        <f>'Project-Level Data'!T112</f>
        <v>3</v>
      </c>
      <c r="G249" s="379" t="str">
        <f>'Project-Level Data'!U112</f>
        <v>MISSING</v>
      </c>
      <c r="H249" s="380">
        <f>'Project-Level Data'!V112</f>
        <v>3</v>
      </c>
      <c r="I249" s="381">
        <f>'Project-Level Data'!W112</f>
        <v>3</v>
      </c>
    </row>
    <row r="250" spans="2:9" ht="25.5" hidden="1" x14ac:dyDescent="0.25">
      <c r="B250" s="227" t="str">
        <f>'Project-Level Data'!B113</f>
        <v>Sustaining Healthy Tributaries to the Upper San Diego River and Protecting Local Water Supplies</v>
      </c>
      <c r="C250" s="475" t="str">
        <f>'Project-Level Data'!C113</f>
        <v>Watershed and Ecosystem Management</v>
      </c>
      <c r="D250" s="477"/>
      <c r="E250" s="378" t="str">
        <f>'Project-Level Data'!S113</f>
        <v>No Response</v>
      </c>
      <c r="F250" s="379" t="str">
        <f>'Project-Level Data'!T113</f>
        <v>No Response</v>
      </c>
      <c r="G250" s="379" t="str">
        <f>'Project-Level Data'!U113</f>
        <v>No Response</v>
      </c>
      <c r="H250" s="380" t="str">
        <f>'Project-Level Data'!V113</f>
        <v>No Response</v>
      </c>
      <c r="I250" s="381" t="str">
        <f>'Project-Level Data'!W113</f>
        <v>No Response</v>
      </c>
    </row>
    <row r="251" spans="2:9" hidden="1" x14ac:dyDescent="0.25">
      <c r="B251" s="227" t="str">
        <f>'Project-Level Data'!B114</f>
        <v>Sweetwater Rd Green Street</v>
      </c>
      <c r="C251" s="475" t="str">
        <f>'Project-Level Data'!C114</f>
        <v>Stormwater BMPs</v>
      </c>
      <c r="D251" s="477"/>
      <c r="E251" s="378">
        <f>'Project-Level Data'!S114</f>
        <v>3</v>
      </c>
      <c r="F251" s="379">
        <f>'Project-Level Data'!T114</f>
        <v>5</v>
      </c>
      <c r="G251" s="379" t="str">
        <f>'Project-Level Data'!U114</f>
        <v>MISSING</v>
      </c>
      <c r="H251" s="380">
        <f>'Project-Level Data'!V114</f>
        <v>3</v>
      </c>
      <c r="I251" s="381" t="str">
        <f>'Project-Level Data'!W114</f>
        <v>MISSING</v>
      </c>
    </row>
    <row r="252" spans="2:9" hidden="1" x14ac:dyDescent="0.25">
      <c r="B252" s="227" t="str">
        <f>'Project-Level Data'!B115</f>
        <v>Sweetwater Reservoir Wetlands Habitat Recovery</v>
      </c>
      <c r="C252" s="475" t="str">
        <f>'Project-Level Data'!C115</f>
        <v>Watershed and Ecosystem Management</v>
      </c>
      <c r="D252" s="477"/>
      <c r="E252" s="378">
        <f>'Project-Level Data'!S115</f>
        <v>3</v>
      </c>
      <c r="F252" s="379">
        <f>'Project-Level Data'!T115</f>
        <v>2</v>
      </c>
      <c r="G252" s="379" t="str">
        <f>'Project-Level Data'!U115</f>
        <v>MISSING</v>
      </c>
      <c r="H252" s="380">
        <f>'Project-Level Data'!V115</f>
        <v>3</v>
      </c>
      <c r="I252" s="381">
        <f>'Project-Level Data'!W115</f>
        <v>5</v>
      </c>
    </row>
    <row r="253" spans="2:9" hidden="1" x14ac:dyDescent="0.25">
      <c r="B253" s="227" t="str">
        <f>'Project-Level Data'!B116</f>
        <v>Sweetwater River Park Bioretention</v>
      </c>
      <c r="C253" s="475" t="str">
        <f>'Project-Level Data'!C116</f>
        <v>Stormwater BMPs</v>
      </c>
      <c r="D253" s="477"/>
      <c r="E253" s="378" t="str">
        <f>'Project-Level Data'!S116</f>
        <v>No Response</v>
      </c>
      <c r="F253" s="379" t="str">
        <f>'Project-Level Data'!T116</f>
        <v>No Response</v>
      </c>
      <c r="G253" s="379" t="str">
        <f>'Project-Level Data'!U116</f>
        <v>No Response</v>
      </c>
      <c r="H253" s="380" t="str">
        <f>'Project-Level Data'!V116</f>
        <v>No Response</v>
      </c>
      <c r="I253" s="381" t="str">
        <f>'Project-Level Data'!W116</f>
        <v>No Response</v>
      </c>
    </row>
    <row r="254" spans="2:9" hidden="1" x14ac:dyDescent="0.25">
      <c r="B254" s="227" t="str">
        <f>'Project-Level Data'!B117</f>
        <v>Sycamore Creek Restoration</v>
      </c>
      <c r="C254" s="475" t="str">
        <f>'Project-Level Data'!C117</f>
        <v>Watershed and Ecosystem Management</v>
      </c>
      <c r="D254" s="477"/>
      <c r="E254" s="378">
        <f>'Project-Level Data'!S117</f>
        <v>3</v>
      </c>
      <c r="F254" s="379">
        <f>'Project-Level Data'!T117</f>
        <v>3</v>
      </c>
      <c r="G254" s="379" t="str">
        <f>'Project-Level Data'!U117</f>
        <v>MISSING</v>
      </c>
      <c r="H254" s="380">
        <f>'Project-Level Data'!V117</f>
        <v>3</v>
      </c>
      <c r="I254" s="381">
        <f>'Project-Level Data'!W117</f>
        <v>3</v>
      </c>
    </row>
    <row r="255" spans="2:9" ht="25.5" hidden="1" x14ac:dyDescent="0.25">
      <c r="B255" s="227" t="str">
        <f>'Project-Level Data'!B118</f>
        <v>TBD - Evaluation Multiple Options/TBD - Supply/ Source Treatment Plant/Agency for recycled water</v>
      </c>
      <c r="C255" s="475" t="str">
        <f>'Project-Level Data'!C118</f>
        <v>Recycled Water</v>
      </c>
      <c r="D255" s="477"/>
      <c r="E255" s="378">
        <f>'Project-Level Data'!S118</f>
        <v>5</v>
      </c>
      <c r="F255" s="379">
        <f>'Project-Level Data'!T118</f>
        <v>3</v>
      </c>
      <c r="G255" s="379" t="str">
        <f>'Project-Level Data'!U118</f>
        <v>MISSING</v>
      </c>
      <c r="H255" s="380">
        <f>'Project-Level Data'!V118</f>
        <v>3</v>
      </c>
      <c r="I255" s="381">
        <f>'Project-Level Data'!W118</f>
        <v>3</v>
      </c>
    </row>
    <row r="256" spans="2:9" hidden="1" x14ac:dyDescent="0.25">
      <c r="B256" s="227" t="str">
        <f>'Project-Level Data'!B119</f>
        <v>Telegraph Canyon Channel Improvement Project</v>
      </c>
      <c r="C256" s="475" t="str">
        <f>'Project-Level Data'!C119</f>
        <v>Stormwater BMPs</v>
      </c>
      <c r="D256" s="477"/>
      <c r="E256" s="378" t="str">
        <f>'Project-Level Data'!S119</f>
        <v>No Response</v>
      </c>
      <c r="F256" s="379" t="str">
        <f>'Project-Level Data'!T119</f>
        <v>No Response</v>
      </c>
      <c r="G256" s="379" t="str">
        <f>'Project-Level Data'!U119</f>
        <v>No Response</v>
      </c>
      <c r="H256" s="380" t="str">
        <f>'Project-Level Data'!V119</f>
        <v>No Response</v>
      </c>
      <c r="I256" s="381" t="str">
        <f>'Project-Level Data'!W119</f>
        <v>No Response</v>
      </c>
    </row>
    <row r="257" spans="2:9" hidden="1" x14ac:dyDescent="0.25">
      <c r="B257" s="227" t="str">
        <f>'Project-Level Data'!B120</f>
        <v>Tijuana River Floating Trash Capture System</v>
      </c>
      <c r="C257" s="475" t="str">
        <f>'Project-Level Data'!C120</f>
        <v>Watershed and Ecosystem Management</v>
      </c>
      <c r="D257" s="477"/>
      <c r="E257" s="378" t="str">
        <f>'Project-Level Data'!S120</f>
        <v>No Response</v>
      </c>
      <c r="F257" s="379" t="str">
        <f>'Project-Level Data'!T120</f>
        <v>No Response</v>
      </c>
      <c r="G257" s="379" t="str">
        <f>'Project-Level Data'!U120</f>
        <v>No Response</v>
      </c>
      <c r="H257" s="380" t="str">
        <f>'Project-Level Data'!V120</f>
        <v>No Response</v>
      </c>
      <c r="I257" s="381" t="str">
        <f>'Project-Level Data'!W120</f>
        <v>No Response</v>
      </c>
    </row>
    <row r="258" spans="2:9" ht="25.5" hidden="1" x14ac:dyDescent="0.25">
      <c r="B258" s="227" t="str">
        <f>'Project-Level Data'!B121</f>
        <v>UC San Diego Water Conservation and Watershed Protection</v>
      </c>
      <c r="C258" s="475" t="str">
        <f>'Project-Level Data'!C121</f>
        <v>Urban and Agricultural Water Use Efficiency</v>
      </c>
      <c r="D258" s="477"/>
      <c r="E258" s="378">
        <f>'Project-Level Data'!S121</f>
        <v>5</v>
      </c>
      <c r="F258" s="379">
        <f>'Project-Level Data'!T121</f>
        <v>4</v>
      </c>
      <c r="G258" s="379" t="str">
        <f>'Project-Level Data'!U121</f>
        <v>MISSING</v>
      </c>
      <c r="H258" s="380">
        <f>'Project-Level Data'!V121</f>
        <v>3</v>
      </c>
      <c r="I258" s="381">
        <f>'Project-Level Data'!W121</f>
        <v>3</v>
      </c>
    </row>
    <row r="259" spans="2:9" hidden="1" x14ac:dyDescent="0.25">
      <c r="B259" s="227" t="str">
        <f>'Project-Level Data'!B122</f>
        <v>Village Park Recycled Water Expansion Project</v>
      </c>
      <c r="C259" s="475" t="str">
        <f>'Project-Level Data'!C122</f>
        <v>Recycled Water</v>
      </c>
      <c r="D259" s="477"/>
      <c r="E259" s="378">
        <f>'Project-Level Data'!S122</f>
        <v>5</v>
      </c>
      <c r="F259" s="379">
        <f>'Project-Level Data'!T122</f>
        <v>5</v>
      </c>
      <c r="G259" s="379">
        <f>'Project-Level Data'!U122</f>
        <v>5</v>
      </c>
      <c r="H259" s="380">
        <f>'Project-Level Data'!V122</f>
        <v>3</v>
      </c>
      <c r="I259" s="381">
        <f>'Project-Level Data'!W122</f>
        <v>5</v>
      </c>
    </row>
    <row r="260" spans="2:9" hidden="1" x14ac:dyDescent="0.25">
      <c r="B260" s="227" t="str">
        <f>'Project-Level Data'!B123</f>
        <v>W+157:181RP/Recycled Water Distribution System</v>
      </c>
      <c r="C260" s="475" t="str">
        <f>'Project-Level Data'!C123</f>
        <v>Recycled Water</v>
      </c>
      <c r="D260" s="477"/>
      <c r="E260" s="378" t="str">
        <f>'Project-Level Data'!S123</f>
        <v>No Response</v>
      </c>
      <c r="F260" s="379" t="str">
        <f>'Project-Level Data'!T123</f>
        <v>No Response</v>
      </c>
      <c r="G260" s="379" t="str">
        <f>'Project-Level Data'!U123</f>
        <v>No Response</v>
      </c>
      <c r="H260" s="380" t="str">
        <f>'Project-Level Data'!V123</f>
        <v>No Response</v>
      </c>
      <c r="I260" s="381" t="str">
        <f>'Project-Level Data'!W123</f>
        <v>No Response</v>
      </c>
    </row>
    <row r="261" spans="2:9" hidden="1" x14ac:dyDescent="0.25">
      <c r="B261" s="227" t="str">
        <f>'Project-Level Data'!B124</f>
        <v>Welk WRF</v>
      </c>
      <c r="C261" s="475" t="str">
        <f>'Project-Level Data'!C124</f>
        <v>Recycled Water</v>
      </c>
      <c r="D261" s="477"/>
      <c r="E261" s="378" t="str">
        <f>'Project-Level Data'!S124</f>
        <v>No Response</v>
      </c>
      <c r="F261" s="379" t="str">
        <f>'Project-Level Data'!T124</f>
        <v>No Response</v>
      </c>
      <c r="G261" s="379" t="str">
        <f>'Project-Level Data'!U124</f>
        <v>No Response</v>
      </c>
      <c r="H261" s="380" t="str">
        <f>'Project-Level Data'!V124</f>
        <v>No Response</v>
      </c>
      <c r="I261" s="381" t="str">
        <f>'Project-Level Data'!W124</f>
        <v>No Response</v>
      </c>
    </row>
    <row r="262" spans="2:9" hidden="1" x14ac:dyDescent="0.25">
      <c r="B262" s="227" t="str">
        <f>'Project-Level Data'!B125</f>
        <v>Woods Valley Ranch WRF Phase 3</v>
      </c>
      <c r="C262" s="475" t="str">
        <f>'Project-Level Data'!C125</f>
        <v>Recycled Water</v>
      </c>
      <c r="D262" s="477"/>
      <c r="E262" s="378" t="str">
        <f>'Project-Level Data'!S125</f>
        <v>No Response</v>
      </c>
      <c r="F262" s="379" t="str">
        <f>'Project-Level Data'!T125</f>
        <v>No Response</v>
      </c>
      <c r="G262" s="379" t="str">
        <f>'Project-Level Data'!U125</f>
        <v>No Response</v>
      </c>
      <c r="H262" s="380" t="str">
        <f>'Project-Level Data'!V125</f>
        <v>No Response</v>
      </c>
      <c r="I262" s="381" t="str">
        <f>'Project-Level Data'!W125</f>
        <v>No Response</v>
      </c>
    </row>
    <row r="263" spans="2:9" ht="15.75" hidden="1" thickBot="1" x14ac:dyDescent="0.3">
      <c r="B263" s="227" t="str">
        <f>'Project-Level Data'!B126</f>
        <v>Woodside Avenue Complete Green Street</v>
      </c>
      <c r="C263" s="509" t="str">
        <f>'Project-Level Data'!C126</f>
        <v>Stormwater BMPs</v>
      </c>
      <c r="D263" s="510"/>
      <c r="E263" s="378">
        <f>'Project-Level Data'!S126</f>
        <v>2</v>
      </c>
      <c r="F263" s="379">
        <f>'Project-Level Data'!T126</f>
        <v>2</v>
      </c>
      <c r="G263" s="379" t="str">
        <f>'Project-Level Data'!U126</f>
        <v>MISSING</v>
      </c>
      <c r="H263" s="380">
        <f>'Project-Level Data'!V126</f>
        <v>3</v>
      </c>
      <c r="I263" s="381">
        <f>'Project-Level Data'!W126</f>
        <v>3</v>
      </c>
    </row>
    <row r="264" spans="2:9" hidden="1" x14ac:dyDescent="0.25">
      <c r="B264" s="370"/>
      <c r="C264" s="515" t="s">
        <v>855</v>
      </c>
      <c r="D264" s="515"/>
      <c r="E264" s="378">
        <f>COUNTIFS(E144:E263, "=MISSING")</f>
        <v>0</v>
      </c>
      <c r="F264" s="379">
        <f t="shared" ref="F264:I264" si="41">COUNTIFS(F144:F263, "=MISSING")</f>
        <v>1</v>
      </c>
      <c r="G264" s="379">
        <f t="shared" si="41"/>
        <v>63</v>
      </c>
      <c r="H264" s="380">
        <f t="shared" si="41"/>
        <v>0</v>
      </c>
      <c r="I264" s="381">
        <f t="shared" si="41"/>
        <v>16</v>
      </c>
    </row>
    <row r="265" spans="2:9" hidden="1" x14ac:dyDescent="0.25">
      <c r="B265" s="227"/>
      <c r="C265" s="516" t="s">
        <v>856</v>
      </c>
      <c r="D265" s="516"/>
      <c r="E265" s="378">
        <f>COUNTIFS(E144:E263, "=No Response")</f>
        <v>33</v>
      </c>
      <c r="F265" s="379">
        <f t="shared" ref="F265:I265" si="42">COUNTIFS(F144:F263, "=No Response")</f>
        <v>33</v>
      </c>
      <c r="G265" s="379">
        <f t="shared" si="42"/>
        <v>33</v>
      </c>
      <c r="H265" s="380">
        <f t="shared" si="42"/>
        <v>33</v>
      </c>
      <c r="I265" s="381">
        <f t="shared" si="42"/>
        <v>33</v>
      </c>
    </row>
    <row r="266" spans="2:9" hidden="1" x14ac:dyDescent="0.25">
      <c r="B266" s="227"/>
      <c r="C266" s="516" t="s">
        <v>858</v>
      </c>
      <c r="D266" s="516"/>
      <c r="E266" s="378">
        <f>COUNTIFS(E144:E263, "=REMOVED")</f>
        <v>1</v>
      </c>
      <c r="F266" s="379">
        <f t="shared" ref="F266:I266" si="43">COUNTIFS(F144:F263, "=REMOVED")</f>
        <v>1</v>
      </c>
      <c r="G266" s="379">
        <f t="shared" si="43"/>
        <v>1</v>
      </c>
      <c r="H266" s="380">
        <f t="shared" si="43"/>
        <v>1</v>
      </c>
      <c r="I266" s="381">
        <f t="shared" si="43"/>
        <v>1</v>
      </c>
    </row>
    <row r="267" spans="2:9" ht="15.75" hidden="1" thickBot="1" x14ac:dyDescent="0.3">
      <c r="B267" s="328"/>
      <c r="C267" s="517" t="s">
        <v>859</v>
      </c>
      <c r="D267" s="517"/>
      <c r="E267" s="382">
        <f>COUNTIFS(E144:E263, "&gt;0")</f>
        <v>86</v>
      </c>
      <c r="F267" s="383">
        <f t="shared" ref="F267:I267" si="44">COUNTIFS(F144:F263, "&gt;0")</f>
        <v>85</v>
      </c>
      <c r="G267" s="383">
        <f t="shared" si="44"/>
        <v>23</v>
      </c>
      <c r="H267" s="384">
        <f t="shared" si="44"/>
        <v>86</v>
      </c>
      <c r="I267" s="385">
        <f t="shared" si="44"/>
        <v>70</v>
      </c>
    </row>
    <row r="268" spans="2:9" hidden="1" x14ac:dyDescent="0.25">
      <c r="B268" s="11"/>
      <c r="C268" s="84"/>
      <c r="D268" s="84"/>
    </row>
    <row r="269" spans="2:9" ht="15.75" hidden="1" thickBot="1" x14ac:dyDescent="0.3">
      <c r="B269" s="1" t="s">
        <v>726</v>
      </c>
    </row>
    <row r="270" spans="2:9" ht="30" hidden="1" customHeight="1" x14ac:dyDescent="0.25">
      <c r="B270" s="800" t="s">
        <v>374</v>
      </c>
      <c r="C270" s="821" t="s">
        <v>6</v>
      </c>
      <c r="D270" s="821"/>
      <c r="E270" s="831" t="s">
        <v>704</v>
      </c>
      <c r="F270" s="832"/>
      <c r="G270" s="832"/>
      <c r="H270" s="833"/>
      <c r="I270" s="349" t="s">
        <v>705</v>
      </c>
    </row>
    <row r="271" spans="2:9" ht="60.75" hidden="1" thickBot="1" x14ac:dyDescent="0.3">
      <c r="B271" s="801"/>
      <c r="C271" s="827"/>
      <c r="D271" s="827"/>
      <c r="E271" s="352" t="s">
        <v>222</v>
      </c>
      <c r="F271" s="356" t="s">
        <v>225</v>
      </c>
      <c r="G271" s="356" t="s">
        <v>228</v>
      </c>
      <c r="H271" s="353" t="s">
        <v>231</v>
      </c>
      <c r="I271" s="355" t="s">
        <v>235</v>
      </c>
    </row>
    <row r="272" spans="2:9" hidden="1" x14ac:dyDescent="0.25">
      <c r="B272" s="370" t="str">
        <f>'Concept-Level Data'!A7</f>
        <v>Respondent 1</v>
      </c>
      <c r="C272" s="805" t="str">
        <f>'Concept-Level Data'!B7</f>
        <v>Conveyance Improvement</v>
      </c>
      <c r="D272" s="806"/>
      <c r="E272" s="374">
        <f>'Concept-Level Data'!F7</f>
        <v>3</v>
      </c>
      <c r="F272" s="375">
        <f>'Concept-Level Data'!G7</f>
        <v>5</v>
      </c>
      <c r="G272" s="375">
        <f>'Concept-Level Data'!H7</f>
        <v>5</v>
      </c>
      <c r="H272" s="376">
        <f>'Concept-Level Data'!I7</f>
        <v>3</v>
      </c>
      <c r="I272" s="377">
        <f>'Concept-Level Data'!J7</f>
        <v>4</v>
      </c>
    </row>
    <row r="273" spans="2:9" hidden="1" x14ac:dyDescent="0.25">
      <c r="B273" s="227" t="str">
        <f>'Concept-Level Data'!A8</f>
        <v>Respondent 1</v>
      </c>
      <c r="C273" s="793" t="str">
        <f>'Concept-Level Data'!B8</f>
        <v>Drought Restriction/Allocation</v>
      </c>
      <c r="D273" s="794"/>
      <c r="E273" s="378">
        <f>'Concept-Level Data'!F8</f>
        <v>3</v>
      </c>
      <c r="F273" s="379">
        <f>'Concept-Level Data'!G8</f>
        <v>3</v>
      </c>
      <c r="G273" s="379">
        <f>'Concept-Level Data'!H8</f>
        <v>3</v>
      </c>
      <c r="H273" s="380">
        <f>'Concept-Level Data'!I8</f>
        <v>2</v>
      </c>
      <c r="I273" s="381">
        <f>'Concept-Level Data'!J8</f>
        <v>3</v>
      </c>
    </row>
    <row r="274" spans="2:9" hidden="1" x14ac:dyDescent="0.25">
      <c r="B274" s="227" t="str">
        <f>'Concept-Level Data'!A9</f>
        <v>Respondent 1</v>
      </c>
      <c r="C274" s="793" t="str">
        <f>'Concept-Level Data'!B9</f>
        <v>Firm Water Supply Agreements</v>
      </c>
      <c r="D274" s="794"/>
      <c r="E274" s="378">
        <f>'Concept-Level Data'!F9</f>
        <v>5</v>
      </c>
      <c r="F274" s="379">
        <f>'Concept-Level Data'!G9</f>
        <v>5</v>
      </c>
      <c r="G274" s="379">
        <f>'Concept-Level Data'!H9</f>
        <v>3</v>
      </c>
      <c r="H274" s="380">
        <f>'Concept-Level Data'!I9</f>
        <v>3</v>
      </c>
      <c r="I274" s="381">
        <f>'Concept-Level Data'!J9</f>
        <v>3</v>
      </c>
    </row>
    <row r="275" spans="2:9" hidden="1" x14ac:dyDescent="0.25">
      <c r="B275" s="227" t="str">
        <f>'Concept-Level Data'!A10</f>
        <v>Respondent 1</v>
      </c>
      <c r="C275" s="793" t="str">
        <f>'Concept-Level Data'!B10</f>
        <v>Gray Water Use</v>
      </c>
      <c r="D275" s="794"/>
      <c r="E275" s="378">
        <f>'Concept-Level Data'!F10</f>
        <v>4</v>
      </c>
      <c r="F275" s="379">
        <f>'Concept-Level Data'!G10</f>
        <v>5</v>
      </c>
      <c r="G275" s="379">
        <f>'Concept-Level Data'!H10</f>
        <v>3</v>
      </c>
      <c r="H275" s="380">
        <f>'Concept-Level Data'!I10</f>
        <v>2</v>
      </c>
      <c r="I275" s="381">
        <f>'Concept-Level Data'!J10</f>
        <v>3</v>
      </c>
    </row>
    <row r="276" spans="2:9" hidden="1" x14ac:dyDescent="0.25">
      <c r="B276" s="227" t="str">
        <f>'Concept-Level Data'!A11</f>
        <v>Respondent 1</v>
      </c>
      <c r="C276" s="793" t="str">
        <f>'Concept-Level Data'!B11</f>
        <v>Groundwater</v>
      </c>
      <c r="D276" s="794"/>
      <c r="E276" s="378">
        <f>'Concept-Level Data'!F11</f>
        <v>5</v>
      </c>
      <c r="F276" s="379">
        <f>'Concept-Level Data'!G11</f>
        <v>5</v>
      </c>
      <c r="G276" s="379">
        <f>'Concept-Level Data'!H11</f>
        <v>3</v>
      </c>
      <c r="H276" s="380">
        <f>'Concept-Level Data'!I11</f>
        <v>3</v>
      </c>
      <c r="I276" s="381">
        <f>'Concept-Level Data'!J11</f>
        <v>3</v>
      </c>
    </row>
    <row r="277" spans="2:9" hidden="1" x14ac:dyDescent="0.25">
      <c r="B277" s="227" t="str">
        <f>'Concept-Level Data'!A12</f>
        <v>Respondent 1</v>
      </c>
      <c r="C277" s="793" t="str">
        <f>'Concept-Level Data'!B12</f>
        <v>Imported Water Purchases</v>
      </c>
      <c r="D277" s="794"/>
      <c r="E277" s="378">
        <f>'Concept-Level Data'!F12</f>
        <v>1</v>
      </c>
      <c r="F277" s="379">
        <f>'Concept-Level Data'!G12</f>
        <v>3</v>
      </c>
      <c r="G277" s="379">
        <f>'Concept-Level Data'!H12</f>
        <v>3</v>
      </c>
      <c r="H277" s="380">
        <f>'Concept-Level Data'!I12</f>
        <v>3</v>
      </c>
      <c r="I277" s="381">
        <f>'Concept-Level Data'!J12</f>
        <v>4</v>
      </c>
    </row>
    <row r="278" spans="2:9" hidden="1" x14ac:dyDescent="0.25">
      <c r="B278" s="227" t="str">
        <f>'Concept-Level Data'!A13</f>
        <v>Respondent 1</v>
      </c>
      <c r="C278" s="793" t="str">
        <f>'Concept-Level Data'!B13</f>
        <v>Local Surface Water Reservoirs</v>
      </c>
      <c r="D278" s="794"/>
      <c r="E278" s="378">
        <f>'Concept-Level Data'!F13</f>
        <v>5</v>
      </c>
      <c r="F278" s="379">
        <f>'Concept-Level Data'!G13</f>
        <v>5</v>
      </c>
      <c r="G278" s="379">
        <f>'Concept-Level Data'!H13</f>
        <v>3</v>
      </c>
      <c r="H278" s="380">
        <f>'Concept-Level Data'!I13</f>
        <v>3</v>
      </c>
      <c r="I278" s="381">
        <f>'Concept-Level Data'!J13</f>
        <v>5</v>
      </c>
    </row>
    <row r="279" spans="2:9" hidden="1" x14ac:dyDescent="0.25">
      <c r="B279" s="227" t="str">
        <f>'Concept-Level Data'!A14</f>
        <v>Respondent 1</v>
      </c>
      <c r="C279" s="793" t="str">
        <f>'Concept-Level Data'!B14</f>
        <v>Potable Reuse</v>
      </c>
      <c r="D279" s="794"/>
      <c r="E279" s="378">
        <f>'Concept-Level Data'!F14</f>
        <v>5</v>
      </c>
      <c r="F279" s="379">
        <f>'Concept-Level Data'!G14</f>
        <v>5</v>
      </c>
      <c r="G279" s="379">
        <f>'Concept-Level Data'!H14</f>
        <v>3</v>
      </c>
      <c r="H279" s="380">
        <f>'Concept-Level Data'!I14</f>
        <v>3</v>
      </c>
      <c r="I279" s="381">
        <f>'Concept-Level Data'!J14</f>
        <v>5</v>
      </c>
    </row>
    <row r="280" spans="2:9" hidden="1" x14ac:dyDescent="0.25">
      <c r="B280" s="227" t="str">
        <f>'Concept-Level Data'!A15</f>
        <v>Respondent 1</v>
      </c>
      <c r="C280" s="793" t="str">
        <f>'Concept-Level Data'!B15</f>
        <v>Recycled Water</v>
      </c>
      <c r="D280" s="794"/>
      <c r="E280" s="378">
        <f>'Concept-Level Data'!F15</f>
        <v>5</v>
      </c>
      <c r="F280" s="379">
        <f>'Concept-Level Data'!G15</f>
        <v>4</v>
      </c>
      <c r="G280" s="379">
        <f>'Concept-Level Data'!H15</f>
        <v>3</v>
      </c>
      <c r="H280" s="380">
        <f>'Concept-Level Data'!I15</f>
        <v>3</v>
      </c>
      <c r="I280" s="381">
        <f>'Concept-Level Data'!J15</f>
        <v>3</v>
      </c>
    </row>
    <row r="281" spans="2:9" hidden="1" x14ac:dyDescent="0.25">
      <c r="B281" s="227" t="str">
        <f>'Concept-Level Data'!A16</f>
        <v>Respondent 1</v>
      </c>
      <c r="C281" s="793" t="str">
        <f>'Concept-Level Data'!B16</f>
        <v>Seawater Desalination</v>
      </c>
      <c r="D281" s="794"/>
      <c r="E281" s="378">
        <f>'Concept-Level Data'!F16</f>
        <v>5</v>
      </c>
      <c r="F281" s="379">
        <f>'Concept-Level Data'!G16</f>
        <v>5</v>
      </c>
      <c r="G281" s="379">
        <f>'Concept-Level Data'!H16</f>
        <v>3</v>
      </c>
      <c r="H281" s="380">
        <f>'Concept-Level Data'!I16</f>
        <v>3</v>
      </c>
      <c r="I281" s="381">
        <f>'Concept-Level Data'!J16</f>
        <v>5</v>
      </c>
    </row>
    <row r="282" spans="2:9" hidden="1" x14ac:dyDescent="0.25">
      <c r="B282" s="227" t="str">
        <f>'Concept-Level Data'!A17</f>
        <v>Respondent 1</v>
      </c>
      <c r="C282" s="793" t="str">
        <f>'Concept-Level Data'!B17</f>
        <v>Stormwater BMPs</v>
      </c>
      <c r="D282" s="794"/>
      <c r="E282" s="378">
        <f>'Concept-Level Data'!F17</f>
        <v>3</v>
      </c>
      <c r="F282" s="379">
        <f>'Concept-Level Data'!G17</f>
        <v>3</v>
      </c>
      <c r="G282" s="379">
        <f>'Concept-Level Data'!H17</f>
        <v>4</v>
      </c>
      <c r="H282" s="380">
        <f>'Concept-Level Data'!I17</f>
        <v>3</v>
      </c>
      <c r="I282" s="381">
        <f>'Concept-Level Data'!J17</f>
        <v>3</v>
      </c>
    </row>
    <row r="283" spans="2:9" hidden="1" x14ac:dyDescent="0.25">
      <c r="B283" s="227" t="str">
        <f>'Concept-Level Data'!A18</f>
        <v>Respondent 1</v>
      </c>
      <c r="C283" s="793" t="str">
        <f>'Concept-Level Data'!B18</f>
        <v>Stormwater Capture</v>
      </c>
      <c r="D283" s="794"/>
      <c r="E283" s="378">
        <f>'Concept-Level Data'!F18</f>
        <v>5</v>
      </c>
      <c r="F283" s="379">
        <f>'Concept-Level Data'!G18</f>
        <v>5</v>
      </c>
      <c r="G283" s="379">
        <f>'Concept-Level Data'!H18</f>
        <v>3</v>
      </c>
      <c r="H283" s="380">
        <f>'Concept-Level Data'!I18</f>
        <v>3</v>
      </c>
      <c r="I283" s="381">
        <f>'Concept-Level Data'!J18</f>
        <v>5</v>
      </c>
    </row>
    <row r="284" spans="2:9" hidden="1" x14ac:dyDescent="0.25">
      <c r="B284" s="227" t="str">
        <f>'Concept-Level Data'!A19</f>
        <v>Respondent 1</v>
      </c>
      <c r="C284" s="793" t="str">
        <f>'Concept-Level Data'!B19</f>
        <v>Urban and Agricultural Water Use Efficiency</v>
      </c>
      <c r="D284" s="794"/>
      <c r="E284" s="378">
        <f>'Concept-Level Data'!F19</f>
        <v>4</v>
      </c>
      <c r="F284" s="379">
        <f>'Concept-Level Data'!G19</f>
        <v>4</v>
      </c>
      <c r="G284" s="379">
        <f>'Concept-Level Data'!H19</f>
        <v>3</v>
      </c>
      <c r="H284" s="380">
        <f>'Concept-Level Data'!I19</f>
        <v>2</v>
      </c>
      <c r="I284" s="381">
        <f>'Concept-Level Data'!J19</f>
        <v>3</v>
      </c>
    </row>
    <row r="285" spans="2:9" hidden="1" x14ac:dyDescent="0.25">
      <c r="B285" s="227" t="str">
        <f>'Concept-Level Data'!A20</f>
        <v>Respondent 1</v>
      </c>
      <c r="C285" s="793" t="str">
        <f>'Concept-Level Data'!B20</f>
        <v>Watershed and Ecosystem Management</v>
      </c>
      <c r="D285" s="794"/>
      <c r="E285" s="378">
        <f>'Concept-Level Data'!F20</f>
        <v>4</v>
      </c>
      <c r="F285" s="379">
        <f>'Concept-Level Data'!G20</f>
        <v>3</v>
      </c>
      <c r="G285" s="379">
        <f>'Concept-Level Data'!H20</f>
        <v>3</v>
      </c>
      <c r="H285" s="380">
        <f>'Concept-Level Data'!I20</f>
        <v>3</v>
      </c>
      <c r="I285" s="381">
        <f>'Concept-Level Data'!J20</f>
        <v>3</v>
      </c>
    </row>
    <row r="286" spans="2:9" hidden="1" x14ac:dyDescent="0.25">
      <c r="B286" s="227" t="str">
        <f>'Concept-Level Data'!A21</f>
        <v>Respondent 2</v>
      </c>
      <c r="C286" s="793" t="str">
        <f>'Concept-Level Data'!B21</f>
        <v>Conveyance Improvement</v>
      </c>
      <c r="D286" s="794"/>
      <c r="E286" s="378">
        <f>'Concept-Level Data'!F21</f>
        <v>3</v>
      </c>
      <c r="F286" s="379">
        <f>'Concept-Level Data'!G21</f>
        <v>5</v>
      </c>
      <c r="G286" s="379">
        <f>'Concept-Level Data'!H21</f>
        <v>4</v>
      </c>
      <c r="H286" s="380">
        <f>'Concept-Level Data'!I21</f>
        <v>4</v>
      </c>
      <c r="I286" s="381">
        <f>'Concept-Level Data'!J21</f>
        <v>5</v>
      </c>
    </row>
    <row r="287" spans="2:9" hidden="1" x14ac:dyDescent="0.25">
      <c r="B287" s="227" t="str">
        <f>'Concept-Level Data'!A22</f>
        <v>Respondent 2</v>
      </c>
      <c r="C287" s="793" t="str">
        <f>'Concept-Level Data'!B22</f>
        <v>Drought Restriction/Allocation</v>
      </c>
      <c r="D287" s="794"/>
      <c r="E287" s="378">
        <f>'Concept-Level Data'!F22</f>
        <v>4</v>
      </c>
      <c r="F287" s="379">
        <f>'Concept-Level Data'!G22</f>
        <v>3</v>
      </c>
      <c r="G287" s="379">
        <f>'Concept-Level Data'!H22</f>
        <v>3</v>
      </c>
      <c r="H287" s="380">
        <f>'Concept-Level Data'!I22</f>
        <v>2</v>
      </c>
      <c r="I287" s="381">
        <f>'Concept-Level Data'!J22</f>
        <v>4</v>
      </c>
    </row>
    <row r="288" spans="2:9" hidden="1" x14ac:dyDescent="0.25">
      <c r="B288" s="227" t="str">
        <f>'Concept-Level Data'!A23</f>
        <v>Respondent 2</v>
      </c>
      <c r="C288" s="793" t="str">
        <f>'Concept-Level Data'!B23</f>
        <v>Firm Water Supply Agreements</v>
      </c>
      <c r="D288" s="794"/>
      <c r="E288" s="378">
        <f>'Concept-Level Data'!F23</f>
        <v>5</v>
      </c>
      <c r="F288" s="379">
        <f>'Concept-Level Data'!G23</f>
        <v>3</v>
      </c>
      <c r="G288" s="379">
        <f>'Concept-Level Data'!H23</f>
        <v>4</v>
      </c>
      <c r="H288" s="380">
        <f>'Concept-Level Data'!I23</f>
        <v>3</v>
      </c>
      <c r="I288" s="381">
        <f>'Concept-Level Data'!J23</f>
        <v>3</v>
      </c>
    </row>
    <row r="289" spans="2:9" hidden="1" x14ac:dyDescent="0.25">
      <c r="B289" s="227" t="str">
        <f>'Concept-Level Data'!A24</f>
        <v>Respondent 2</v>
      </c>
      <c r="C289" s="793" t="str">
        <f>'Concept-Level Data'!B24</f>
        <v>Gray Water Use</v>
      </c>
      <c r="D289" s="794"/>
      <c r="E289" s="378">
        <f>'Concept-Level Data'!F24</f>
        <v>4</v>
      </c>
      <c r="F289" s="379">
        <f>'Concept-Level Data'!G24</f>
        <v>4</v>
      </c>
      <c r="G289" s="379">
        <f>'Concept-Level Data'!H24</f>
        <v>3</v>
      </c>
      <c r="H289" s="380">
        <f>'Concept-Level Data'!I24</f>
        <v>2</v>
      </c>
      <c r="I289" s="381">
        <f>'Concept-Level Data'!J24</f>
        <v>4</v>
      </c>
    </row>
    <row r="290" spans="2:9" hidden="1" x14ac:dyDescent="0.25">
      <c r="B290" s="227" t="str">
        <f>'Concept-Level Data'!A25</f>
        <v>Respondent 2</v>
      </c>
      <c r="C290" s="793" t="str">
        <f>'Concept-Level Data'!B25</f>
        <v>Groundwater</v>
      </c>
      <c r="D290" s="794"/>
      <c r="E290" s="378">
        <f>'Concept-Level Data'!F25</f>
        <v>5</v>
      </c>
      <c r="F290" s="379">
        <f>'Concept-Level Data'!G25</f>
        <v>4</v>
      </c>
      <c r="G290" s="379">
        <f>'Concept-Level Data'!H25</f>
        <v>3</v>
      </c>
      <c r="H290" s="380">
        <f>'Concept-Level Data'!I25</f>
        <v>3</v>
      </c>
      <c r="I290" s="381">
        <f>'Concept-Level Data'!J25</f>
        <v>3</v>
      </c>
    </row>
    <row r="291" spans="2:9" hidden="1" x14ac:dyDescent="0.25">
      <c r="B291" s="227" t="str">
        <f>'Concept-Level Data'!A26</f>
        <v>Respondent 2</v>
      </c>
      <c r="C291" s="793" t="str">
        <f>'Concept-Level Data'!B26</f>
        <v>Imported Water Purchases</v>
      </c>
      <c r="D291" s="794"/>
      <c r="E291" s="378">
        <f>'Concept-Level Data'!F26</f>
        <v>1</v>
      </c>
      <c r="F291" s="379">
        <f>'Concept-Level Data'!G26</f>
        <v>4</v>
      </c>
      <c r="G291" s="379">
        <f>'Concept-Level Data'!H26</f>
        <v>3</v>
      </c>
      <c r="H291" s="380">
        <f>'Concept-Level Data'!I26</f>
        <v>3</v>
      </c>
      <c r="I291" s="381">
        <f>'Concept-Level Data'!J26</f>
        <v>3</v>
      </c>
    </row>
    <row r="292" spans="2:9" hidden="1" x14ac:dyDescent="0.25">
      <c r="B292" s="227" t="str">
        <f>'Concept-Level Data'!A27</f>
        <v>Respondent 2</v>
      </c>
      <c r="C292" s="793" t="str">
        <f>'Concept-Level Data'!B27</f>
        <v>Local Surface Water Reservoirs</v>
      </c>
      <c r="D292" s="794"/>
      <c r="E292" s="378">
        <f>'Concept-Level Data'!F27</f>
        <v>3</v>
      </c>
      <c r="F292" s="379">
        <f>'Concept-Level Data'!G27</f>
        <v>4</v>
      </c>
      <c r="G292" s="379">
        <f>'Concept-Level Data'!H27</f>
        <v>3</v>
      </c>
      <c r="H292" s="380">
        <f>'Concept-Level Data'!I27</f>
        <v>3</v>
      </c>
      <c r="I292" s="381">
        <f>'Concept-Level Data'!J27</f>
        <v>3</v>
      </c>
    </row>
    <row r="293" spans="2:9" hidden="1" x14ac:dyDescent="0.25">
      <c r="B293" s="227" t="str">
        <f>'Concept-Level Data'!A28</f>
        <v>Respondent 2</v>
      </c>
      <c r="C293" s="793" t="str">
        <f>'Concept-Level Data'!B28</f>
        <v>Potable Reuse</v>
      </c>
      <c r="D293" s="794"/>
      <c r="E293" s="378">
        <f>'Concept-Level Data'!F28</f>
        <v>5</v>
      </c>
      <c r="F293" s="379">
        <f>'Concept-Level Data'!G28</f>
        <v>4</v>
      </c>
      <c r="G293" s="379">
        <f>'Concept-Level Data'!H28</f>
        <v>3</v>
      </c>
      <c r="H293" s="380">
        <f>'Concept-Level Data'!I28</f>
        <v>3</v>
      </c>
      <c r="I293" s="381">
        <f>'Concept-Level Data'!J28</f>
        <v>3</v>
      </c>
    </row>
    <row r="294" spans="2:9" hidden="1" x14ac:dyDescent="0.25">
      <c r="B294" s="227" t="str">
        <f>'Concept-Level Data'!A29</f>
        <v>Respondent 2</v>
      </c>
      <c r="C294" s="793" t="str">
        <f>'Concept-Level Data'!B29</f>
        <v>Recycled Water</v>
      </c>
      <c r="D294" s="794"/>
      <c r="E294" s="378">
        <f>'Concept-Level Data'!F29</f>
        <v>4</v>
      </c>
      <c r="F294" s="379">
        <f>'Concept-Level Data'!G29</f>
        <v>4</v>
      </c>
      <c r="G294" s="379">
        <f>'Concept-Level Data'!H29</f>
        <v>3</v>
      </c>
      <c r="H294" s="380">
        <f>'Concept-Level Data'!I29</f>
        <v>3</v>
      </c>
      <c r="I294" s="381">
        <f>'Concept-Level Data'!J29</f>
        <v>5</v>
      </c>
    </row>
    <row r="295" spans="2:9" hidden="1" x14ac:dyDescent="0.25">
      <c r="B295" s="227" t="str">
        <f>'Concept-Level Data'!A30</f>
        <v>Respondent 2</v>
      </c>
      <c r="C295" s="793" t="str">
        <f>'Concept-Level Data'!B30</f>
        <v>Seawater Desalination</v>
      </c>
      <c r="D295" s="794"/>
      <c r="E295" s="378">
        <f>'Concept-Level Data'!F30</f>
        <v>4</v>
      </c>
      <c r="F295" s="379">
        <f>'Concept-Level Data'!G30</f>
        <v>4</v>
      </c>
      <c r="G295" s="379">
        <f>'Concept-Level Data'!H30</f>
        <v>3</v>
      </c>
      <c r="H295" s="380">
        <f>'Concept-Level Data'!I30</f>
        <v>3</v>
      </c>
      <c r="I295" s="381">
        <f>'Concept-Level Data'!J30</f>
        <v>3</v>
      </c>
    </row>
    <row r="296" spans="2:9" hidden="1" x14ac:dyDescent="0.25">
      <c r="B296" s="227" t="str">
        <f>'Concept-Level Data'!A31</f>
        <v>Respondent 2</v>
      </c>
      <c r="C296" s="793" t="str">
        <f>'Concept-Level Data'!B31</f>
        <v>Stormwater BMPs</v>
      </c>
      <c r="D296" s="794"/>
      <c r="E296" s="378">
        <f>'Concept-Level Data'!F31</f>
        <v>3</v>
      </c>
      <c r="F296" s="379">
        <f>'Concept-Level Data'!G31</f>
        <v>5</v>
      </c>
      <c r="G296" s="379">
        <f>'Concept-Level Data'!H31</f>
        <v>3</v>
      </c>
      <c r="H296" s="380">
        <f>'Concept-Level Data'!I31</f>
        <v>3</v>
      </c>
      <c r="I296" s="381">
        <f>'Concept-Level Data'!J31</f>
        <v>3</v>
      </c>
    </row>
    <row r="297" spans="2:9" hidden="1" x14ac:dyDescent="0.25">
      <c r="B297" s="227" t="str">
        <f>'Concept-Level Data'!A32</f>
        <v>Respondent 2</v>
      </c>
      <c r="C297" s="793" t="str">
        <f>'Concept-Level Data'!B32</f>
        <v>Stormwater Capture</v>
      </c>
      <c r="D297" s="794"/>
      <c r="E297" s="378">
        <f>'Concept-Level Data'!F32</f>
        <v>5</v>
      </c>
      <c r="F297" s="379">
        <f>'Concept-Level Data'!G32</f>
        <v>4</v>
      </c>
      <c r="G297" s="379">
        <f>'Concept-Level Data'!H32</f>
        <v>3</v>
      </c>
      <c r="H297" s="380">
        <f>'Concept-Level Data'!I32</f>
        <v>3</v>
      </c>
      <c r="I297" s="381">
        <f>'Concept-Level Data'!J32</f>
        <v>3</v>
      </c>
    </row>
    <row r="298" spans="2:9" hidden="1" x14ac:dyDescent="0.25">
      <c r="B298" s="227" t="str">
        <f>'Concept-Level Data'!A33</f>
        <v>Respondent 2</v>
      </c>
      <c r="C298" s="793" t="str">
        <f>'Concept-Level Data'!B33</f>
        <v>Urban and Agricultural Water Use Efficiency</v>
      </c>
      <c r="D298" s="794"/>
      <c r="E298" s="378">
        <f>'Concept-Level Data'!F33</f>
        <v>4</v>
      </c>
      <c r="F298" s="379">
        <f>'Concept-Level Data'!G33</f>
        <v>4</v>
      </c>
      <c r="G298" s="379">
        <f>'Concept-Level Data'!H33</f>
        <v>3</v>
      </c>
      <c r="H298" s="380">
        <f>'Concept-Level Data'!I33</f>
        <v>3</v>
      </c>
      <c r="I298" s="381">
        <f>'Concept-Level Data'!J33</f>
        <v>3</v>
      </c>
    </row>
    <row r="299" spans="2:9" hidden="1" x14ac:dyDescent="0.25">
      <c r="B299" s="227" t="str">
        <f>'Concept-Level Data'!A34</f>
        <v>Respondent 2</v>
      </c>
      <c r="C299" s="793" t="str">
        <f>'Concept-Level Data'!B34</f>
        <v>Watershed and Ecosystem Management</v>
      </c>
      <c r="D299" s="794"/>
      <c r="E299" s="378">
        <f>'Concept-Level Data'!F34</f>
        <v>3</v>
      </c>
      <c r="F299" s="379">
        <f>'Concept-Level Data'!G34</f>
        <v>5</v>
      </c>
      <c r="G299" s="379">
        <f>'Concept-Level Data'!H34</f>
        <v>4</v>
      </c>
      <c r="H299" s="380">
        <f>'Concept-Level Data'!I34</f>
        <v>3</v>
      </c>
      <c r="I299" s="381">
        <f>'Concept-Level Data'!J34</f>
        <v>5</v>
      </c>
    </row>
    <row r="300" spans="2:9" hidden="1" x14ac:dyDescent="0.25">
      <c r="B300" s="227" t="str">
        <f>'Concept-Level Data'!A35</f>
        <v>Respondent 3</v>
      </c>
      <c r="C300" s="793" t="str">
        <f>'Concept-Level Data'!B35</f>
        <v>Conveyance Improvement</v>
      </c>
      <c r="D300" s="794"/>
      <c r="E300" s="378">
        <f>'Concept-Level Data'!F35</f>
        <v>5</v>
      </c>
      <c r="F300" s="379">
        <f>'Concept-Level Data'!G35</f>
        <v>5</v>
      </c>
      <c r="G300" s="379">
        <f>'Concept-Level Data'!H35</f>
        <v>4</v>
      </c>
      <c r="H300" s="380">
        <f>'Concept-Level Data'!I35</f>
        <v>3</v>
      </c>
      <c r="I300" s="381">
        <f>'Concept-Level Data'!J35</f>
        <v>3</v>
      </c>
    </row>
    <row r="301" spans="2:9" hidden="1" x14ac:dyDescent="0.25">
      <c r="B301" s="227" t="str">
        <f>'Concept-Level Data'!A36</f>
        <v>Respondent 3</v>
      </c>
      <c r="C301" s="793" t="str">
        <f>'Concept-Level Data'!B36</f>
        <v>Drought Restriction/Allocation</v>
      </c>
      <c r="D301" s="794"/>
      <c r="E301" s="378">
        <f>'Concept-Level Data'!F36</f>
        <v>3</v>
      </c>
      <c r="F301" s="379">
        <f>'Concept-Level Data'!G36</f>
        <v>3</v>
      </c>
      <c r="G301" s="379">
        <f>'Concept-Level Data'!H36</f>
        <v>3</v>
      </c>
      <c r="H301" s="380">
        <f>'Concept-Level Data'!I36</f>
        <v>1</v>
      </c>
      <c r="I301" s="381">
        <f>'Concept-Level Data'!J36</f>
        <v>3</v>
      </c>
    </row>
    <row r="302" spans="2:9" hidden="1" x14ac:dyDescent="0.25">
      <c r="B302" s="227" t="str">
        <f>'Concept-Level Data'!A37</f>
        <v>Respondent 3</v>
      </c>
      <c r="C302" s="793" t="str">
        <f>'Concept-Level Data'!B37</f>
        <v>Firm Water Supply Agreements</v>
      </c>
      <c r="D302" s="794"/>
      <c r="E302" s="378">
        <f>'Concept-Level Data'!F37</f>
        <v>5</v>
      </c>
      <c r="F302" s="379">
        <f>'Concept-Level Data'!G37</f>
        <v>3</v>
      </c>
      <c r="G302" s="379">
        <f>'Concept-Level Data'!H37</f>
        <v>3</v>
      </c>
      <c r="H302" s="380">
        <f>'Concept-Level Data'!I37</f>
        <v>3</v>
      </c>
      <c r="I302" s="381">
        <f>'Concept-Level Data'!J37</f>
        <v>4</v>
      </c>
    </row>
    <row r="303" spans="2:9" hidden="1" x14ac:dyDescent="0.25">
      <c r="B303" s="227" t="str">
        <f>'Concept-Level Data'!A38</f>
        <v>Respondent 3</v>
      </c>
      <c r="C303" s="793" t="str">
        <f>'Concept-Level Data'!B38</f>
        <v>Gray Water Use</v>
      </c>
      <c r="D303" s="794"/>
      <c r="E303" s="378">
        <f>'Concept-Level Data'!F38</f>
        <v>3</v>
      </c>
      <c r="F303" s="379">
        <f>'Concept-Level Data'!G38</f>
        <v>3</v>
      </c>
      <c r="G303" s="379">
        <f>'Concept-Level Data'!H38</f>
        <v>3</v>
      </c>
      <c r="H303" s="380">
        <f>'Concept-Level Data'!I38</f>
        <v>1</v>
      </c>
      <c r="I303" s="381">
        <f>'Concept-Level Data'!J38</f>
        <v>3</v>
      </c>
    </row>
    <row r="304" spans="2:9" hidden="1" x14ac:dyDescent="0.25">
      <c r="B304" s="227" t="str">
        <f>'Concept-Level Data'!A39</f>
        <v>Respondent 3</v>
      </c>
      <c r="C304" s="793" t="str">
        <f>'Concept-Level Data'!B39</f>
        <v>Groundwater</v>
      </c>
      <c r="D304" s="794"/>
      <c r="E304" s="378">
        <f>'Concept-Level Data'!F39</f>
        <v>5</v>
      </c>
      <c r="F304" s="379">
        <f>'Concept-Level Data'!G39</f>
        <v>4</v>
      </c>
      <c r="G304" s="379">
        <f>'Concept-Level Data'!H39</f>
        <v>3</v>
      </c>
      <c r="H304" s="380">
        <f>'Concept-Level Data'!I39</f>
        <v>3</v>
      </c>
      <c r="I304" s="381">
        <f>'Concept-Level Data'!J39</f>
        <v>4</v>
      </c>
    </row>
    <row r="305" spans="2:9" hidden="1" x14ac:dyDescent="0.25">
      <c r="B305" s="227" t="str">
        <f>'Concept-Level Data'!A40</f>
        <v>Respondent 3</v>
      </c>
      <c r="C305" s="793" t="str">
        <f>'Concept-Level Data'!B40</f>
        <v>Imported Water Purchases</v>
      </c>
      <c r="D305" s="794"/>
      <c r="E305" s="378">
        <f>'Concept-Level Data'!F40</f>
        <v>5</v>
      </c>
      <c r="F305" s="379">
        <f>'Concept-Level Data'!G40</f>
        <v>3</v>
      </c>
      <c r="G305" s="379">
        <f>'Concept-Level Data'!H40</f>
        <v>3</v>
      </c>
      <c r="H305" s="380">
        <f>'Concept-Level Data'!I40</f>
        <v>3</v>
      </c>
      <c r="I305" s="381">
        <f>'Concept-Level Data'!J40</f>
        <v>5</v>
      </c>
    </row>
    <row r="306" spans="2:9" hidden="1" x14ac:dyDescent="0.25">
      <c r="B306" s="227" t="str">
        <f>'Concept-Level Data'!A41</f>
        <v>Respondent 3</v>
      </c>
      <c r="C306" s="793" t="str">
        <f>'Concept-Level Data'!B41</f>
        <v>Local Surface Water Reservoirs</v>
      </c>
      <c r="D306" s="794"/>
      <c r="E306" s="378">
        <f>'Concept-Level Data'!F41</f>
        <v>5</v>
      </c>
      <c r="F306" s="379">
        <f>'Concept-Level Data'!G41</f>
        <v>4</v>
      </c>
      <c r="G306" s="379">
        <f>'Concept-Level Data'!H41</f>
        <v>3</v>
      </c>
      <c r="H306" s="380">
        <f>'Concept-Level Data'!I41</f>
        <v>3</v>
      </c>
      <c r="I306" s="381">
        <f>'Concept-Level Data'!J41</f>
        <v>5</v>
      </c>
    </row>
    <row r="307" spans="2:9" hidden="1" x14ac:dyDescent="0.25">
      <c r="B307" s="227" t="str">
        <f>'Concept-Level Data'!A42</f>
        <v>Respondent 3</v>
      </c>
      <c r="C307" s="793" t="str">
        <f>'Concept-Level Data'!B42</f>
        <v>Potable Reuse</v>
      </c>
      <c r="D307" s="794"/>
      <c r="E307" s="378">
        <f>'Concept-Level Data'!F42</f>
        <v>5</v>
      </c>
      <c r="F307" s="379">
        <f>'Concept-Level Data'!G42</f>
        <v>4</v>
      </c>
      <c r="G307" s="379">
        <f>'Concept-Level Data'!H42</f>
        <v>3</v>
      </c>
      <c r="H307" s="380">
        <f>'Concept-Level Data'!I42</f>
        <v>3</v>
      </c>
      <c r="I307" s="381">
        <f>'Concept-Level Data'!J42</f>
        <v>4</v>
      </c>
    </row>
    <row r="308" spans="2:9" hidden="1" x14ac:dyDescent="0.25">
      <c r="B308" s="227" t="str">
        <f>'Concept-Level Data'!A43</f>
        <v>Respondent 3</v>
      </c>
      <c r="C308" s="793" t="str">
        <f>'Concept-Level Data'!B43</f>
        <v>Recycled Water</v>
      </c>
      <c r="D308" s="794"/>
      <c r="E308" s="378">
        <f>'Concept-Level Data'!F43</f>
        <v>5</v>
      </c>
      <c r="F308" s="379">
        <f>'Concept-Level Data'!G43</f>
        <v>3</v>
      </c>
      <c r="G308" s="379">
        <f>'Concept-Level Data'!H43</f>
        <v>3</v>
      </c>
      <c r="H308" s="380">
        <f>'Concept-Level Data'!I43</f>
        <v>3</v>
      </c>
      <c r="I308" s="381">
        <f>'Concept-Level Data'!J43</f>
        <v>5</v>
      </c>
    </row>
    <row r="309" spans="2:9" hidden="1" x14ac:dyDescent="0.25">
      <c r="B309" s="227" t="str">
        <f>'Concept-Level Data'!A44</f>
        <v>Respondent 3</v>
      </c>
      <c r="C309" s="793" t="str">
        <f>'Concept-Level Data'!B44</f>
        <v>Seawater Desalination</v>
      </c>
      <c r="D309" s="794"/>
      <c r="E309" s="378">
        <f>'Concept-Level Data'!F44</f>
        <v>5</v>
      </c>
      <c r="F309" s="379">
        <f>'Concept-Level Data'!G44</f>
        <v>4</v>
      </c>
      <c r="G309" s="379">
        <f>'Concept-Level Data'!H44</f>
        <v>3</v>
      </c>
      <c r="H309" s="380">
        <f>'Concept-Level Data'!I44</f>
        <v>3</v>
      </c>
      <c r="I309" s="381">
        <f>'Concept-Level Data'!J44</f>
        <v>5</v>
      </c>
    </row>
    <row r="310" spans="2:9" hidden="1" x14ac:dyDescent="0.25">
      <c r="B310" s="227" t="str">
        <f>'Concept-Level Data'!A45</f>
        <v>Respondent 3</v>
      </c>
      <c r="C310" s="793" t="str">
        <f>'Concept-Level Data'!B45</f>
        <v>Stormwater BMPs</v>
      </c>
      <c r="D310" s="794"/>
      <c r="E310" s="378">
        <f>'Concept-Level Data'!F45</f>
        <v>3</v>
      </c>
      <c r="F310" s="379">
        <f>'Concept-Level Data'!G45</f>
        <v>2</v>
      </c>
      <c r="G310" s="379">
        <f>'Concept-Level Data'!H45</f>
        <v>3</v>
      </c>
      <c r="H310" s="380">
        <f>'Concept-Level Data'!I45</f>
        <v>3</v>
      </c>
      <c r="I310" s="381">
        <f>'Concept-Level Data'!J45</f>
        <v>3</v>
      </c>
    </row>
    <row r="311" spans="2:9" hidden="1" x14ac:dyDescent="0.25">
      <c r="B311" s="227" t="str">
        <f>'Concept-Level Data'!A46</f>
        <v>Respondent 3</v>
      </c>
      <c r="C311" s="793" t="str">
        <f>'Concept-Level Data'!B46</f>
        <v>Stormwater Capture</v>
      </c>
      <c r="D311" s="794"/>
      <c r="E311" s="378">
        <f>'Concept-Level Data'!F46</f>
        <v>5</v>
      </c>
      <c r="F311" s="379">
        <f>'Concept-Level Data'!G46</f>
        <v>4</v>
      </c>
      <c r="G311" s="379">
        <f>'Concept-Level Data'!H46</f>
        <v>3</v>
      </c>
      <c r="H311" s="380">
        <f>'Concept-Level Data'!I46</f>
        <v>3</v>
      </c>
      <c r="I311" s="381">
        <f>'Concept-Level Data'!J46</f>
        <v>3</v>
      </c>
    </row>
    <row r="312" spans="2:9" hidden="1" x14ac:dyDescent="0.25">
      <c r="B312" s="227" t="str">
        <f>'Concept-Level Data'!A47</f>
        <v>Respondent 3</v>
      </c>
      <c r="C312" s="793" t="str">
        <f>'Concept-Level Data'!B47</f>
        <v>Urban and Agricultural Water Use Efficiency</v>
      </c>
      <c r="D312" s="794"/>
      <c r="E312" s="378">
        <f>'Concept-Level Data'!F47</f>
        <v>3</v>
      </c>
      <c r="F312" s="379">
        <f>'Concept-Level Data'!G47</f>
        <v>3</v>
      </c>
      <c r="G312" s="379">
        <f>'Concept-Level Data'!H47</f>
        <v>3</v>
      </c>
      <c r="H312" s="380">
        <f>'Concept-Level Data'!I47</f>
        <v>2</v>
      </c>
      <c r="I312" s="381">
        <f>'Concept-Level Data'!J47</f>
        <v>4</v>
      </c>
    </row>
    <row r="313" spans="2:9" hidden="1" x14ac:dyDescent="0.25">
      <c r="B313" s="227" t="str">
        <f>'Concept-Level Data'!A48</f>
        <v>Respondent 3</v>
      </c>
      <c r="C313" s="793" t="str">
        <f>'Concept-Level Data'!B48</f>
        <v>Watershed and Ecosystem Management</v>
      </c>
      <c r="D313" s="794"/>
      <c r="E313" s="378">
        <f>'Concept-Level Data'!F48</f>
        <v>3</v>
      </c>
      <c r="F313" s="379">
        <f>'Concept-Level Data'!G48</f>
        <v>3</v>
      </c>
      <c r="G313" s="379">
        <f>'Concept-Level Data'!H48</f>
        <v>3</v>
      </c>
      <c r="H313" s="380">
        <f>'Concept-Level Data'!I48</f>
        <v>3</v>
      </c>
      <c r="I313" s="381">
        <f>'Concept-Level Data'!J48</f>
        <v>3</v>
      </c>
    </row>
    <row r="314" spans="2:9" hidden="1" x14ac:dyDescent="0.25">
      <c r="B314" s="227" t="str">
        <f>'Concept-Level Data'!A49</f>
        <v>Respondent 4</v>
      </c>
      <c r="C314" s="793" t="str">
        <f>'Concept-Level Data'!B49</f>
        <v>Conveyance Improvement</v>
      </c>
      <c r="D314" s="794"/>
      <c r="E314" s="378">
        <f>'Concept-Level Data'!F49</f>
        <v>4</v>
      </c>
      <c r="F314" s="379">
        <f>'Concept-Level Data'!G49</f>
        <v>5</v>
      </c>
      <c r="G314" s="379">
        <f>'Concept-Level Data'!H49</f>
        <v>5</v>
      </c>
      <c r="H314" s="380">
        <f>'Concept-Level Data'!I49</f>
        <v>4</v>
      </c>
      <c r="I314" s="381">
        <f>'Concept-Level Data'!J49</f>
        <v>4</v>
      </c>
    </row>
    <row r="315" spans="2:9" hidden="1" x14ac:dyDescent="0.25">
      <c r="B315" s="227" t="str">
        <f>'Concept-Level Data'!A50</f>
        <v>Respondent 4</v>
      </c>
      <c r="C315" s="793" t="str">
        <f>'Concept-Level Data'!B50</f>
        <v>Drought Restriction/Allocation</v>
      </c>
      <c r="D315" s="794"/>
      <c r="E315" s="378">
        <f>'Concept-Level Data'!F50</f>
        <v>1</v>
      </c>
      <c r="F315" s="379">
        <f>'Concept-Level Data'!G50</f>
        <v>1</v>
      </c>
      <c r="G315" s="379">
        <f>'Concept-Level Data'!H50</f>
        <v>3</v>
      </c>
      <c r="H315" s="380">
        <f>'Concept-Level Data'!I50</f>
        <v>2</v>
      </c>
      <c r="I315" s="381">
        <f>'Concept-Level Data'!J50</f>
        <v>4</v>
      </c>
    </row>
    <row r="316" spans="2:9" hidden="1" x14ac:dyDescent="0.25">
      <c r="B316" s="227" t="str">
        <f>'Concept-Level Data'!A51</f>
        <v>Respondent 4</v>
      </c>
      <c r="C316" s="793" t="str">
        <f>'Concept-Level Data'!B51</f>
        <v>Firm Water Supply Agreements</v>
      </c>
      <c r="D316" s="794"/>
      <c r="E316" s="378">
        <f>'Concept-Level Data'!F51</f>
        <v>4</v>
      </c>
      <c r="F316" s="379">
        <f>'Concept-Level Data'!G51</f>
        <v>4</v>
      </c>
      <c r="G316" s="379">
        <f>'Concept-Level Data'!H51</f>
        <v>3</v>
      </c>
      <c r="H316" s="380">
        <f>'Concept-Level Data'!I51</f>
        <v>3</v>
      </c>
      <c r="I316" s="381">
        <f>'Concept-Level Data'!J51</f>
        <v>5</v>
      </c>
    </row>
    <row r="317" spans="2:9" hidden="1" x14ac:dyDescent="0.25">
      <c r="B317" s="227" t="str">
        <f>'Concept-Level Data'!A52</f>
        <v>Respondent 4</v>
      </c>
      <c r="C317" s="793" t="str">
        <f>'Concept-Level Data'!B52</f>
        <v>Gray Water Use</v>
      </c>
      <c r="D317" s="794"/>
      <c r="E317" s="378">
        <f>'Concept-Level Data'!F52</f>
        <v>5</v>
      </c>
      <c r="F317" s="379">
        <f>'Concept-Level Data'!G52</f>
        <v>5</v>
      </c>
      <c r="G317" s="379">
        <f>'Concept-Level Data'!H52</f>
        <v>3</v>
      </c>
      <c r="H317" s="380">
        <f>'Concept-Level Data'!I52</f>
        <v>2</v>
      </c>
      <c r="I317" s="381">
        <f>'Concept-Level Data'!J52</f>
        <v>2</v>
      </c>
    </row>
    <row r="318" spans="2:9" hidden="1" x14ac:dyDescent="0.25">
      <c r="B318" s="227" t="str">
        <f>'Concept-Level Data'!A53</f>
        <v>Respondent 4</v>
      </c>
      <c r="C318" s="793" t="str">
        <f>'Concept-Level Data'!B53</f>
        <v>Groundwater</v>
      </c>
      <c r="D318" s="794"/>
      <c r="E318" s="378">
        <f>'Concept-Level Data'!F53</f>
        <v>5</v>
      </c>
      <c r="F318" s="379">
        <f>'Concept-Level Data'!G53</f>
        <v>4</v>
      </c>
      <c r="G318" s="379">
        <f>'Concept-Level Data'!H53</f>
        <v>4</v>
      </c>
      <c r="H318" s="380">
        <f>'Concept-Level Data'!I53</f>
        <v>4</v>
      </c>
      <c r="I318" s="381">
        <f>'Concept-Level Data'!J53</f>
        <v>5</v>
      </c>
    </row>
    <row r="319" spans="2:9" hidden="1" x14ac:dyDescent="0.25">
      <c r="B319" s="227" t="str">
        <f>'Concept-Level Data'!A54</f>
        <v>Respondent 4</v>
      </c>
      <c r="C319" s="793" t="str">
        <f>'Concept-Level Data'!B54</f>
        <v>Imported Water Purchases</v>
      </c>
      <c r="D319" s="794"/>
      <c r="E319" s="378">
        <f>'Concept-Level Data'!F54</f>
        <v>1</v>
      </c>
      <c r="F319" s="379">
        <f>'Concept-Level Data'!G54</f>
        <v>1</v>
      </c>
      <c r="G319" s="379">
        <f>'Concept-Level Data'!H54</f>
        <v>3</v>
      </c>
      <c r="H319" s="380">
        <f>'Concept-Level Data'!I54</f>
        <v>4</v>
      </c>
      <c r="I319" s="381">
        <f>'Concept-Level Data'!J54</f>
        <v>5</v>
      </c>
    </row>
    <row r="320" spans="2:9" hidden="1" x14ac:dyDescent="0.25">
      <c r="B320" s="227" t="str">
        <f>'Concept-Level Data'!A55</f>
        <v>Respondent 4</v>
      </c>
      <c r="C320" s="793" t="str">
        <f>'Concept-Level Data'!B55</f>
        <v>Local Surface Water Reservoirs</v>
      </c>
      <c r="D320" s="794"/>
      <c r="E320" s="378">
        <f>'Concept-Level Data'!F55</f>
        <v>1</v>
      </c>
      <c r="F320" s="379" t="str">
        <f>'Concept-Level Data'!G55</f>
        <v>MISSING</v>
      </c>
      <c r="G320" s="379">
        <f>'Concept-Level Data'!H55</f>
        <v>3</v>
      </c>
      <c r="H320" s="380">
        <f>'Concept-Level Data'!I55</f>
        <v>4</v>
      </c>
      <c r="I320" s="381">
        <f>'Concept-Level Data'!J55</f>
        <v>5</v>
      </c>
    </row>
    <row r="321" spans="2:9" hidden="1" x14ac:dyDescent="0.25">
      <c r="B321" s="227" t="str">
        <f>'Concept-Level Data'!A56</f>
        <v>Respondent 4</v>
      </c>
      <c r="C321" s="793" t="str">
        <f>'Concept-Level Data'!B56</f>
        <v>Potable Reuse</v>
      </c>
      <c r="D321" s="794"/>
      <c r="E321" s="378">
        <f>'Concept-Level Data'!F56</f>
        <v>5</v>
      </c>
      <c r="F321" s="379">
        <f>'Concept-Level Data'!G56</f>
        <v>4</v>
      </c>
      <c r="G321" s="379">
        <f>'Concept-Level Data'!H56</f>
        <v>4</v>
      </c>
      <c r="H321" s="380">
        <f>'Concept-Level Data'!I56</f>
        <v>3</v>
      </c>
      <c r="I321" s="381">
        <f>'Concept-Level Data'!J56</f>
        <v>5</v>
      </c>
    </row>
    <row r="322" spans="2:9" hidden="1" x14ac:dyDescent="0.25">
      <c r="B322" s="227" t="str">
        <f>'Concept-Level Data'!A57</f>
        <v>Respondent 4</v>
      </c>
      <c r="C322" s="793" t="str">
        <f>'Concept-Level Data'!B57</f>
        <v>Recycled Water</v>
      </c>
      <c r="D322" s="794"/>
      <c r="E322" s="378">
        <f>'Concept-Level Data'!F57</f>
        <v>5</v>
      </c>
      <c r="F322" s="379">
        <f>'Concept-Level Data'!G57</f>
        <v>4</v>
      </c>
      <c r="G322" s="379">
        <f>'Concept-Level Data'!H57</f>
        <v>4</v>
      </c>
      <c r="H322" s="380">
        <f>'Concept-Level Data'!I57</f>
        <v>4</v>
      </c>
      <c r="I322" s="381">
        <f>'Concept-Level Data'!J57</f>
        <v>3</v>
      </c>
    </row>
    <row r="323" spans="2:9" hidden="1" x14ac:dyDescent="0.25">
      <c r="B323" s="227" t="str">
        <f>'Concept-Level Data'!A58</f>
        <v>Respondent 4</v>
      </c>
      <c r="C323" s="793" t="str">
        <f>'Concept-Level Data'!B58</f>
        <v>Seawater Desalination</v>
      </c>
      <c r="D323" s="794"/>
      <c r="E323" s="378">
        <f>'Concept-Level Data'!F58</f>
        <v>5</v>
      </c>
      <c r="F323" s="379">
        <f>'Concept-Level Data'!G58</f>
        <v>5</v>
      </c>
      <c r="G323" s="379">
        <f>'Concept-Level Data'!H58</f>
        <v>5</v>
      </c>
      <c r="H323" s="380">
        <f>'Concept-Level Data'!I58</f>
        <v>4</v>
      </c>
      <c r="I323" s="381">
        <f>'Concept-Level Data'!J58</f>
        <v>3</v>
      </c>
    </row>
    <row r="324" spans="2:9" hidden="1" x14ac:dyDescent="0.25">
      <c r="B324" s="227" t="str">
        <f>'Concept-Level Data'!A59</f>
        <v>Respondent 4</v>
      </c>
      <c r="C324" s="793" t="str">
        <f>'Concept-Level Data'!B59</f>
        <v>Stormwater BMPs</v>
      </c>
      <c r="D324" s="794"/>
      <c r="E324" s="378">
        <f>'Concept-Level Data'!F59</f>
        <v>1</v>
      </c>
      <c r="F324" s="379">
        <f>'Concept-Level Data'!G59</f>
        <v>1</v>
      </c>
      <c r="G324" s="379">
        <f>'Concept-Level Data'!H59</f>
        <v>3</v>
      </c>
      <c r="H324" s="380">
        <f>'Concept-Level Data'!I59</f>
        <v>3</v>
      </c>
      <c r="I324" s="381">
        <f>'Concept-Level Data'!J59</f>
        <v>3</v>
      </c>
    </row>
    <row r="325" spans="2:9" hidden="1" x14ac:dyDescent="0.25">
      <c r="B325" s="227" t="str">
        <f>'Concept-Level Data'!A60</f>
        <v>Respondent 4</v>
      </c>
      <c r="C325" s="793" t="str">
        <f>'Concept-Level Data'!B60</f>
        <v>Stormwater Capture</v>
      </c>
      <c r="D325" s="794"/>
      <c r="E325" s="378">
        <f>'Concept-Level Data'!F60</f>
        <v>1</v>
      </c>
      <c r="F325" s="379">
        <f>'Concept-Level Data'!G60</f>
        <v>5</v>
      </c>
      <c r="G325" s="379">
        <f>'Concept-Level Data'!H60</f>
        <v>3</v>
      </c>
      <c r="H325" s="380">
        <f>'Concept-Level Data'!I60</f>
        <v>4</v>
      </c>
      <c r="I325" s="381">
        <f>'Concept-Level Data'!J60</f>
        <v>5</v>
      </c>
    </row>
    <row r="326" spans="2:9" hidden="1" x14ac:dyDescent="0.25">
      <c r="B326" s="227" t="str">
        <f>'Concept-Level Data'!A61</f>
        <v>Respondent 4</v>
      </c>
      <c r="C326" s="793" t="str">
        <f>'Concept-Level Data'!B61</f>
        <v>Urban and Agricultural Water Use Efficiency</v>
      </c>
      <c r="D326" s="794"/>
      <c r="E326" s="378">
        <f>'Concept-Level Data'!F61</f>
        <v>4</v>
      </c>
      <c r="F326" s="379">
        <f>'Concept-Level Data'!G61</f>
        <v>1</v>
      </c>
      <c r="G326" s="379">
        <f>'Concept-Level Data'!H61</f>
        <v>4</v>
      </c>
      <c r="H326" s="380">
        <f>'Concept-Level Data'!I61</f>
        <v>2</v>
      </c>
      <c r="I326" s="381">
        <f>'Concept-Level Data'!J61</f>
        <v>3</v>
      </c>
    </row>
    <row r="327" spans="2:9" hidden="1" x14ac:dyDescent="0.25">
      <c r="B327" s="227" t="str">
        <f>'Concept-Level Data'!A62</f>
        <v>Respondent 4</v>
      </c>
      <c r="C327" s="793" t="str">
        <f>'Concept-Level Data'!B62</f>
        <v>Watershed and Ecosystem Management</v>
      </c>
      <c r="D327" s="794"/>
      <c r="E327" s="378">
        <f>'Concept-Level Data'!F62</f>
        <v>1</v>
      </c>
      <c r="F327" s="379">
        <f>'Concept-Level Data'!G62</f>
        <v>1</v>
      </c>
      <c r="G327" s="379">
        <f>'Concept-Level Data'!H62</f>
        <v>3</v>
      </c>
      <c r="H327" s="380">
        <f>'Concept-Level Data'!I62</f>
        <v>3</v>
      </c>
      <c r="I327" s="381">
        <f>'Concept-Level Data'!J62</f>
        <v>2</v>
      </c>
    </row>
    <row r="328" spans="2:9" hidden="1" x14ac:dyDescent="0.25">
      <c r="B328" s="227" t="str">
        <f>'Concept-Level Data'!A63</f>
        <v>Respondent 5</v>
      </c>
      <c r="C328" s="793" t="str">
        <f>'Concept-Level Data'!B63</f>
        <v>Conveyance Improvement</v>
      </c>
      <c r="D328" s="794"/>
      <c r="E328" s="378">
        <f>'Concept-Level Data'!F63</f>
        <v>3</v>
      </c>
      <c r="F328" s="379">
        <f>'Concept-Level Data'!G63</f>
        <v>5</v>
      </c>
      <c r="G328" s="379">
        <f>'Concept-Level Data'!H63</f>
        <v>5</v>
      </c>
      <c r="H328" s="380">
        <f>'Concept-Level Data'!I63</f>
        <v>5</v>
      </c>
      <c r="I328" s="381">
        <f>'Concept-Level Data'!J63</f>
        <v>3</v>
      </c>
    </row>
    <row r="329" spans="2:9" hidden="1" x14ac:dyDescent="0.25">
      <c r="B329" s="227" t="str">
        <f>'Concept-Level Data'!A64</f>
        <v>Respondent 5</v>
      </c>
      <c r="C329" s="793" t="str">
        <f>'Concept-Level Data'!B64</f>
        <v>Drought Restriction/Allocation</v>
      </c>
      <c r="D329" s="794"/>
      <c r="E329" s="378">
        <f>'Concept-Level Data'!F64</f>
        <v>3</v>
      </c>
      <c r="F329" s="379">
        <f>'Concept-Level Data'!G64</f>
        <v>4</v>
      </c>
      <c r="G329" s="379">
        <f>'Concept-Level Data'!H64</f>
        <v>3</v>
      </c>
      <c r="H329" s="380">
        <f>'Concept-Level Data'!I64</f>
        <v>3</v>
      </c>
      <c r="I329" s="381">
        <f>'Concept-Level Data'!J64</f>
        <v>3</v>
      </c>
    </row>
    <row r="330" spans="2:9" hidden="1" x14ac:dyDescent="0.25">
      <c r="B330" s="227" t="str">
        <f>'Concept-Level Data'!A65</f>
        <v>Respondent 5</v>
      </c>
      <c r="C330" s="793" t="str">
        <f>'Concept-Level Data'!B65</f>
        <v>Firm Water Supply Agreements</v>
      </c>
      <c r="D330" s="794"/>
      <c r="E330" s="378">
        <f>'Concept-Level Data'!F65</f>
        <v>5</v>
      </c>
      <c r="F330" s="379">
        <f>'Concept-Level Data'!G65</f>
        <v>4</v>
      </c>
      <c r="G330" s="379">
        <f>'Concept-Level Data'!H65</f>
        <v>3</v>
      </c>
      <c r="H330" s="380">
        <f>'Concept-Level Data'!I65</f>
        <v>3</v>
      </c>
      <c r="I330" s="381">
        <f>'Concept-Level Data'!J65</f>
        <v>3</v>
      </c>
    </row>
    <row r="331" spans="2:9" hidden="1" x14ac:dyDescent="0.25">
      <c r="B331" s="227" t="str">
        <f>'Concept-Level Data'!A66</f>
        <v>Respondent 5</v>
      </c>
      <c r="C331" s="793" t="str">
        <f>'Concept-Level Data'!B66</f>
        <v>Gray Water Use</v>
      </c>
      <c r="D331" s="794"/>
      <c r="E331" s="378">
        <f>'Concept-Level Data'!F66</f>
        <v>5</v>
      </c>
      <c r="F331" s="379">
        <f>'Concept-Level Data'!G66</f>
        <v>4</v>
      </c>
      <c r="G331" s="379">
        <f>'Concept-Level Data'!H66</f>
        <v>3</v>
      </c>
      <c r="H331" s="380">
        <f>'Concept-Level Data'!I66</f>
        <v>3</v>
      </c>
      <c r="I331" s="381">
        <f>'Concept-Level Data'!J66</f>
        <v>3</v>
      </c>
    </row>
    <row r="332" spans="2:9" hidden="1" x14ac:dyDescent="0.25">
      <c r="B332" s="227" t="str">
        <f>'Concept-Level Data'!A67</f>
        <v>Respondent 5</v>
      </c>
      <c r="C332" s="793" t="str">
        <f>'Concept-Level Data'!B67</f>
        <v>Groundwater</v>
      </c>
      <c r="D332" s="794"/>
      <c r="E332" s="378">
        <f>'Concept-Level Data'!F67</f>
        <v>5</v>
      </c>
      <c r="F332" s="379">
        <f>'Concept-Level Data'!G67</f>
        <v>4</v>
      </c>
      <c r="G332" s="379">
        <f>'Concept-Level Data'!H67</f>
        <v>3</v>
      </c>
      <c r="H332" s="380">
        <f>'Concept-Level Data'!I67</f>
        <v>3</v>
      </c>
      <c r="I332" s="381">
        <f>'Concept-Level Data'!J67</f>
        <v>3</v>
      </c>
    </row>
    <row r="333" spans="2:9" hidden="1" x14ac:dyDescent="0.25">
      <c r="B333" s="227" t="str">
        <f>'Concept-Level Data'!A68</f>
        <v>Respondent 5</v>
      </c>
      <c r="C333" s="793" t="str">
        <f>'Concept-Level Data'!B68</f>
        <v>Imported Water Purchases</v>
      </c>
      <c r="D333" s="794"/>
      <c r="E333" s="378">
        <f>'Concept-Level Data'!F68</f>
        <v>1</v>
      </c>
      <c r="F333" s="379">
        <f>'Concept-Level Data'!G68</f>
        <v>4</v>
      </c>
      <c r="G333" s="379">
        <f>'Concept-Level Data'!H68</f>
        <v>3</v>
      </c>
      <c r="H333" s="380">
        <f>'Concept-Level Data'!I68</f>
        <v>3</v>
      </c>
      <c r="I333" s="381">
        <f>'Concept-Level Data'!J68</f>
        <v>3</v>
      </c>
    </row>
    <row r="334" spans="2:9" hidden="1" x14ac:dyDescent="0.25">
      <c r="B334" s="227" t="str">
        <f>'Concept-Level Data'!A69</f>
        <v>Respondent 5</v>
      </c>
      <c r="C334" s="793" t="str">
        <f>'Concept-Level Data'!B69</f>
        <v>Local Surface Water Reservoirs</v>
      </c>
      <c r="D334" s="794"/>
      <c r="E334" s="378">
        <f>'Concept-Level Data'!F69</f>
        <v>5</v>
      </c>
      <c r="F334" s="379">
        <f>'Concept-Level Data'!G69</f>
        <v>4</v>
      </c>
      <c r="G334" s="379">
        <f>'Concept-Level Data'!H69</f>
        <v>3</v>
      </c>
      <c r="H334" s="380">
        <f>'Concept-Level Data'!I69</f>
        <v>3</v>
      </c>
      <c r="I334" s="381">
        <f>'Concept-Level Data'!J69</f>
        <v>5</v>
      </c>
    </row>
    <row r="335" spans="2:9" hidden="1" x14ac:dyDescent="0.25">
      <c r="B335" s="227" t="str">
        <f>'Concept-Level Data'!A70</f>
        <v>Respondent 5</v>
      </c>
      <c r="C335" s="793" t="str">
        <f>'Concept-Level Data'!B70</f>
        <v>Potable Reuse</v>
      </c>
      <c r="D335" s="794"/>
      <c r="E335" s="378">
        <f>'Concept-Level Data'!F70</f>
        <v>5</v>
      </c>
      <c r="F335" s="379">
        <f>'Concept-Level Data'!G70</f>
        <v>4</v>
      </c>
      <c r="G335" s="379">
        <f>'Concept-Level Data'!H70</f>
        <v>3</v>
      </c>
      <c r="H335" s="380">
        <f>'Concept-Level Data'!I70</f>
        <v>4</v>
      </c>
      <c r="I335" s="381">
        <f>'Concept-Level Data'!J70</f>
        <v>3</v>
      </c>
    </row>
    <row r="336" spans="2:9" hidden="1" x14ac:dyDescent="0.25">
      <c r="B336" s="227" t="str">
        <f>'Concept-Level Data'!A71</f>
        <v>Respondent 5</v>
      </c>
      <c r="C336" s="793" t="str">
        <f>'Concept-Level Data'!B71</f>
        <v>Recycled Water</v>
      </c>
      <c r="D336" s="794"/>
      <c r="E336" s="378">
        <f>'Concept-Level Data'!F71</f>
        <v>5</v>
      </c>
      <c r="F336" s="379">
        <f>'Concept-Level Data'!G71</f>
        <v>4</v>
      </c>
      <c r="G336" s="379">
        <f>'Concept-Level Data'!H71</f>
        <v>3</v>
      </c>
      <c r="H336" s="380">
        <f>'Concept-Level Data'!I71</f>
        <v>4</v>
      </c>
      <c r="I336" s="381">
        <f>'Concept-Level Data'!J71</f>
        <v>3</v>
      </c>
    </row>
    <row r="337" spans="2:9" hidden="1" x14ac:dyDescent="0.25">
      <c r="B337" s="227" t="str">
        <f>'Concept-Level Data'!A72</f>
        <v>Respondent 5</v>
      </c>
      <c r="C337" s="793" t="str">
        <f>'Concept-Level Data'!B72</f>
        <v>Seawater Desalination</v>
      </c>
      <c r="D337" s="794"/>
      <c r="E337" s="378">
        <f>'Concept-Level Data'!F72</f>
        <v>5</v>
      </c>
      <c r="F337" s="379">
        <f>'Concept-Level Data'!G72</f>
        <v>4</v>
      </c>
      <c r="G337" s="379">
        <f>'Concept-Level Data'!H72</f>
        <v>3</v>
      </c>
      <c r="H337" s="380">
        <f>'Concept-Level Data'!I72</f>
        <v>3</v>
      </c>
      <c r="I337" s="381">
        <f>'Concept-Level Data'!J72</f>
        <v>3</v>
      </c>
    </row>
    <row r="338" spans="2:9" hidden="1" x14ac:dyDescent="0.25">
      <c r="B338" s="227" t="str">
        <f>'Concept-Level Data'!A73</f>
        <v>Respondent 5</v>
      </c>
      <c r="C338" s="793" t="str">
        <f>'Concept-Level Data'!B73</f>
        <v>Stormwater BMPs</v>
      </c>
      <c r="D338" s="794"/>
      <c r="E338" s="378">
        <f>'Concept-Level Data'!F73</f>
        <v>4</v>
      </c>
      <c r="F338" s="379">
        <f>'Concept-Level Data'!G73</f>
        <v>4</v>
      </c>
      <c r="G338" s="379">
        <f>'Concept-Level Data'!H73</f>
        <v>3</v>
      </c>
      <c r="H338" s="380">
        <f>'Concept-Level Data'!I73</f>
        <v>4</v>
      </c>
      <c r="I338" s="381">
        <f>'Concept-Level Data'!J73</f>
        <v>5</v>
      </c>
    </row>
    <row r="339" spans="2:9" hidden="1" x14ac:dyDescent="0.25">
      <c r="B339" s="227" t="str">
        <f>'Concept-Level Data'!A74</f>
        <v>Respondent 5</v>
      </c>
      <c r="C339" s="793" t="str">
        <f>'Concept-Level Data'!B74</f>
        <v>Stormwater Capture</v>
      </c>
      <c r="D339" s="794"/>
      <c r="E339" s="378">
        <f>'Concept-Level Data'!F74</f>
        <v>5</v>
      </c>
      <c r="F339" s="379">
        <f>'Concept-Level Data'!G74</f>
        <v>4</v>
      </c>
      <c r="G339" s="379">
        <f>'Concept-Level Data'!H74</f>
        <v>3</v>
      </c>
      <c r="H339" s="380">
        <f>'Concept-Level Data'!I74</f>
        <v>4</v>
      </c>
      <c r="I339" s="381">
        <f>'Concept-Level Data'!J74</f>
        <v>5</v>
      </c>
    </row>
    <row r="340" spans="2:9" hidden="1" x14ac:dyDescent="0.25">
      <c r="B340" s="227" t="str">
        <f>'Concept-Level Data'!A75</f>
        <v>Respondent 5</v>
      </c>
      <c r="C340" s="793" t="str">
        <f>'Concept-Level Data'!B75</f>
        <v>Urban and Agricultural Water Use Efficiency</v>
      </c>
      <c r="D340" s="794"/>
      <c r="E340" s="378">
        <f>'Concept-Level Data'!F75</f>
        <v>4</v>
      </c>
      <c r="F340" s="379">
        <f>'Concept-Level Data'!G75</f>
        <v>4</v>
      </c>
      <c r="G340" s="379">
        <f>'Concept-Level Data'!H75</f>
        <v>3</v>
      </c>
      <c r="H340" s="380">
        <f>'Concept-Level Data'!I75</f>
        <v>3</v>
      </c>
      <c r="I340" s="381">
        <f>'Concept-Level Data'!J75</f>
        <v>3</v>
      </c>
    </row>
    <row r="341" spans="2:9" hidden="1" x14ac:dyDescent="0.25">
      <c r="B341" s="227" t="str">
        <f>'Concept-Level Data'!A76</f>
        <v>Respondent 5</v>
      </c>
      <c r="C341" s="793" t="str">
        <f>'Concept-Level Data'!B76</f>
        <v>Watershed and Ecosystem Management</v>
      </c>
      <c r="D341" s="794"/>
      <c r="E341" s="378">
        <f>'Concept-Level Data'!F76</f>
        <v>4</v>
      </c>
      <c r="F341" s="379">
        <f>'Concept-Level Data'!G76</f>
        <v>4</v>
      </c>
      <c r="G341" s="379">
        <f>'Concept-Level Data'!H76</f>
        <v>3</v>
      </c>
      <c r="H341" s="380">
        <f>'Concept-Level Data'!I76</f>
        <v>4</v>
      </c>
      <c r="I341" s="381">
        <f>'Concept-Level Data'!J76</f>
        <v>5</v>
      </c>
    </row>
    <row r="342" spans="2:9" hidden="1" x14ac:dyDescent="0.25">
      <c r="B342" s="227" t="str">
        <f>'Concept-Level Data'!A77</f>
        <v>Respondent 6</v>
      </c>
      <c r="C342" s="793" t="str">
        <f>'Concept-Level Data'!B77</f>
        <v>Conveyance Improvement</v>
      </c>
      <c r="D342" s="794"/>
      <c r="E342" s="378">
        <f>'Concept-Level Data'!F77</f>
        <v>4</v>
      </c>
      <c r="F342" s="379">
        <f>'Concept-Level Data'!G77</f>
        <v>4</v>
      </c>
      <c r="G342" s="379">
        <f>'Concept-Level Data'!H77</f>
        <v>5</v>
      </c>
      <c r="H342" s="380">
        <f>'Concept-Level Data'!I77</f>
        <v>4</v>
      </c>
      <c r="I342" s="381">
        <f>'Concept-Level Data'!J77</f>
        <v>3</v>
      </c>
    </row>
    <row r="343" spans="2:9" hidden="1" x14ac:dyDescent="0.25">
      <c r="B343" s="227" t="str">
        <f>'Concept-Level Data'!A78</f>
        <v>Respondent 6</v>
      </c>
      <c r="C343" s="793" t="str">
        <f>'Concept-Level Data'!B78</f>
        <v>Drought Restriction/Allocation</v>
      </c>
      <c r="D343" s="794"/>
      <c r="E343" s="378">
        <f>'Concept-Level Data'!F78</f>
        <v>1</v>
      </c>
      <c r="F343" s="379">
        <f>'Concept-Level Data'!G78</f>
        <v>2</v>
      </c>
      <c r="G343" s="379">
        <f>'Concept-Level Data'!H78</f>
        <v>3</v>
      </c>
      <c r="H343" s="380">
        <f>'Concept-Level Data'!I78</f>
        <v>1</v>
      </c>
      <c r="I343" s="381">
        <f>'Concept-Level Data'!J78</f>
        <v>2</v>
      </c>
    </row>
    <row r="344" spans="2:9" hidden="1" x14ac:dyDescent="0.25">
      <c r="B344" s="227" t="str">
        <f>'Concept-Level Data'!A79</f>
        <v>Respondent 6</v>
      </c>
      <c r="C344" s="793" t="str">
        <f>'Concept-Level Data'!B79</f>
        <v>Firm Water Supply Agreements</v>
      </c>
      <c r="D344" s="794"/>
      <c r="E344" s="378">
        <f>'Concept-Level Data'!F79</f>
        <v>5</v>
      </c>
      <c r="F344" s="379">
        <f>'Concept-Level Data'!G79</f>
        <v>2</v>
      </c>
      <c r="G344" s="379">
        <f>'Concept-Level Data'!H79</f>
        <v>3</v>
      </c>
      <c r="H344" s="380">
        <f>'Concept-Level Data'!I79</f>
        <v>3</v>
      </c>
      <c r="I344" s="381">
        <f>'Concept-Level Data'!J79</f>
        <v>3</v>
      </c>
    </row>
    <row r="345" spans="2:9" hidden="1" x14ac:dyDescent="0.25">
      <c r="B345" s="227" t="str">
        <f>'Concept-Level Data'!A80</f>
        <v>Respondent 6</v>
      </c>
      <c r="C345" s="793" t="str">
        <f>'Concept-Level Data'!B80</f>
        <v>Gray Water Use</v>
      </c>
      <c r="D345" s="794"/>
      <c r="E345" s="378">
        <f>'Concept-Level Data'!F80</f>
        <v>5</v>
      </c>
      <c r="F345" s="379">
        <f>'Concept-Level Data'!G80</f>
        <v>4</v>
      </c>
      <c r="G345" s="379">
        <f>'Concept-Level Data'!H80</f>
        <v>4</v>
      </c>
      <c r="H345" s="380">
        <f>'Concept-Level Data'!I80</f>
        <v>3</v>
      </c>
      <c r="I345" s="381">
        <f>'Concept-Level Data'!J80</f>
        <v>3</v>
      </c>
    </row>
    <row r="346" spans="2:9" hidden="1" x14ac:dyDescent="0.25">
      <c r="B346" s="227" t="str">
        <f>'Concept-Level Data'!A81</f>
        <v>Respondent 6</v>
      </c>
      <c r="C346" s="793" t="str">
        <f>'Concept-Level Data'!B81</f>
        <v>Groundwater</v>
      </c>
      <c r="D346" s="794"/>
      <c r="E346" s="378">
        <f>'Concept-Level Data'!F81</f>
        <v>5</v>
      </c>
      <c r="F346" s="379">
        <f>'Concept-Level Data'!G81</f>
        <v>2</v>
      </c>
      <c r="G346" s="379">
        <f>'Concept-Level Data'!H81</f>
        <v>3</v>
      </c>
      <c r="H346" s="380">
        <f>'Concept-Level Data'!I81</f>
        <v>3</v>
      </c>
      <c r="I346" s="381">
        <f>'Concept-Level Data'!J81</f>
        <v>4</v>
      </c>
    </row>
    <row r="347" spans="2:9" hidden="1" x14ac:dyDescent="0.25">
      <c r="B347" s="227" t="str">
        <f>'Concept-Level Data'!A82</f>
        <v>Respondent 6</v>
      </c>
      <c r="C347" s="793" t="str">
        <f>'Concept-Level Data'!B82</f>
        <v>Imported Water Purchases</v>
      </c>
      <c r="D347" s="794"/>
      <c r="E347" s="378">
        <f>'Concept-Level Data'!F82</f>
        <v>5</v>
      </c>
      <c r="F347" s="379">
        <f>'Concept-Level Data'!G82</f>
        <v>2</v>
      </c>
      <c r="G347" s="379">
        <f>'Concept-Level Data'!H82</f>
        <v>3</v>
      </c>
      <c r="H347" s="380">
        <f>'Concept-Level Data'!I82</f>
        <v>4</v>
      </c>
      <c r="I347" s="381">
        <f>'Concept-Level Data'!J82</f>
        <v>3</v>
      </c>
    </row>
    <row r="348" spans="2:9" hidden="1" x14ac:dyDescent="0.25">
      <c r="B348" s="227" t="str">
        <f>'Concept-Level Data'!A83</f>
        <v>Respondent 6</v>
      </c>
      <c r="C348" s="793" t="str">
        <f>'Concept-Level Data'!B83</f>
        <v>Local Surface Water Reservoirs</v>
      </c>
      <c r="D348" s="794"/>
      <c r="E348" s="378">
        <f>'Concept-Level Data'!F83</f>
        <v>5</v>
      </c>
      <c r="F348" s="379">
        <f>'Concept-Level Data'!G83</f>
        <v>5</v>
      </c>
      <c r="G348" s="379">
        <f>'Concept-Level Data'!H83</f>
        <v>3</v>
      </c>
      <c r="H348" s="380">
        <f>'Concept-Level Data'!I83</f>
        <v>3</v>
      </c>
      <c r="I348" s="381">
        <f>'Concept-Level Data'!J83</f>
        <v>5</v>
      </c>
    </row>
    <row r="349" spans="2:9" hidden="1" x14ac:dyDescent="0.25">
      <c r="B349" s="227" t="str">
        <f>'Concept-Level Data'!A84</f>
        <v>Respondent 6</v>
      </c>
      <c r="C349" s="793" t="str">
        <f>'Concept-Level Data'!B84</f>
        <v>Potable Reuse</v>
      </c>
      <c r="D349" s="794"/>
      <c r="E349" s="378">
        <f>'Concept-Level Data'!F84</f>
        <v>5</v>
      </c>
      <c r="F349" s="379">
        <f>'Concept-Level Data'!G84</f>
        <v>4</v>
      </c>
      <c r="G349" s="379">
        <f>'Concept-Level Data'!H84</f>
        <v>3</v>
      </c>
      <c r="H349" s="380">
        <f>'Concept-Level Data'!I84</f>
        <v>2</v>
      </c>
      <c r="I349" s="381">
        <f>'Concept-Level Data'!J84</f>
        <v>5</v>
      </c>
    </row>
    <row r="350" spans="2:9" hidden="1" x14ac:dyDescent="0.25">
      <c r="B350" s="227" t="str">
        <f>'Concept-Level Data'!A85</f>
        <v>Respondent 6</v>
      </c>
      <c r="C350" s="793" t="str">
        <f>'Concept-Level Data'!B85</f>
        <v>Recycled Water</v>
      </c>
      <c r="D350" s="794"/>
      <c r="E350" s="378">
        <f>'Concept-Level Data'!F85</f>
        <v>5</v>
      </c>
      <c r="F350" s="379">
        <f>'Concept-Level Data'!G85</f>
        <v>3</v>
      </c>
      <c r="G350" s="379">
        <f>'Concept-Level Data'!H85</f>
        <v>3</v>
      </c>
      <c r="H350" s="380">
        <f>'Concept-Level Data'!I85</f>
        <v>3</v>
      </c>
      <c r="I350" s="381">
        <f>'Concept-Level Data'!J85</f>
        <v>5</v>
      </c>
    </row>
    <row r="351" spans="2:9" hidden="1" x14ac:dyDescent="0.25">
      <c r="B351" s="227" t="str">
        <f>'Concept-Level Data'!A86</f>
        <v>Respondent 6</v>
      </c>
      <c r="C351" s="793" t="str">
        <f>'Concept-Level Data'!B86</f>
        <v>Seawater Desalination</v>
      </c>
      <c r="D351" s="794"/>
      <c r="E351" s="378">
        <f>'Concept-Level Data'!F86</f>
        <v>5</v>
      </c>
      <c r="F351" s="379">
        <f>'Concept-Level Data'!G86</f>
        <v>1</v>
      </c>
      <c r="G351" s="379">
        <f>'Concept-Level Data'!H86</f>
        <v>1</v>
      </c>
      <c r="H351" s="380">
        <f>'Concept-Level Data'!I86</f>
        <v>3</v>
      </c>
      <c r="I351" s="381">
        <f>'Concept-Level Data'!J86</f>
        <v>5</v>
      </c>
    </row>
    <row r="352" spans="2:9" hidden="1" x14ac:dyDescent="0.25">
      <c r="B352" s="227" t="str">
        <f>'Concept-Level Data'!A87</f>
        <v>Respondent 6</v>
      </c>
      <c r="C352" s="793" t="str">
        <f>'Concept-Level Data'!B87</f>
        <v>Stormwater BMPs</v>
      </c>
      <c r="D352" s="794"/>
      <c r="E352" s="378">
        <f>'Concept-Level Data'!F87</f>
        <v>2</v>
      </c>
      <c r="F352" s="379">
        <f>'Concept-Level Data'!G87</f>
        <v>5</v>
      </c>
      <c r="G352" s="379">
        <f>'Concept-Level Data'!H87</f>
        <v>3</v>
      </c>
      <c r="H352" s="380">
        <f>'Concept-Level Data'!I87</f>
        <v>3</v>
      </c>
      <c r="I352" s="381">
        <f>'Concept-Level Data'!J87</f>
        <v>5</v>
      </c>
    </row>
    <row r="353" spans="2:9" hidden="1" x14ac:dyDescent="0.25">
      <c r="B353" s="227" t="str">
        <f>'Concept-Level Data'!A88</f>
        <v>Respondent 6</v>
      </c>
      <c r="C353" s="793" t="str">
        <f>'Concept-Level Data'!B88</f>
        <v>Stormwater Capture</v>
      </c>
      <c r="D353" s="794"/>
      <c r="E353" s="378">
        <f>'Concept-Level Data'!F88</f>
        <v>5</v>
      </c>
      <c r="F353" s="379">
        <f>'Concept-Level Data'!G88</f>
        <v>3</v>
      </c>
      <c r="G353" s="379">
        <f>'Concept-Level Data'!H88</f>
        <v>3</v>
      </c>
      <c r="H353" s="380">
        <f>'Concept-Level Data'!I88</f>
        <v>3</v>
      </c>
      <c r="I353" s="381">
        <f>'Concept-Level Data'!J88</f>
        <v>5</v>
      </c>
    </row>
    <row r="354" spans="2:9" hidden="1" x14ac:dyDescent="0.25">
      <c r="B354" s="227" t="str">
        <f>'Concept-Level Data'!A89</f>
        <v>Respondent 6</v>
      </c>
      <c r="C354" s="793" t="str">
        <f>'Concept-Level Data'!B89</f>
        <v>Urban and Agricultural Water Use Efficiency</v>
      </c>
      <c r="D354" s="794"/>
      <c r="E354" s="378">
        <f>'Concept-Level Data'!F89</f>
        <v>4</v>
      </c>
      <c r="F354" s="379">
        <f>'Concept-Level Data'!G89</f>
        <v>2</v>
      </c>
      <c r="G354" s="379">
        <f>'Concept-Level Data'!H89</f>
        <v>3</v>
      </c>
      <c r="H354" s="380">
        <f>'Concept-Level Data'!I89</f>
        <v>3</v>
      </c>
      <c r="I354" s="381">
        <f>'Concept-Level Data'!J89</f>
        <v>5</v>
      </c>
    </row>
    <row r="355" spans="2:9" hidden="1" x14ac:dyDescent="0.25">
      <c r="B355" s="227" t="str">
        <f>'Concept-Level Data'!A90</f>
        <v>Respondent 6</v>
      </c>
      <c r="C355" s="793" t="str">
        <f>'Concept-Level Data'!B90</f>
        <v>Watershed and Ecosystem Management</v>
      </c>
      <c r="D355" s="794"/>
      <c r="E355" s="378">
        <f>'Concept-Level Data'!F90</f>
        <v>5</v>
      </c>
      <c r="F355" s="379">
        <f>'Concept-Level Data'!G90</f>
        <v>2</v>
      </c>
      <c r="G355" s="379">
        <f>'Concept-Level Data'!H90</f>
        <v>3</v>
      </c>
      <c r="H355" s="380">
        <f>'Concept-Level Data'!I90</f>
        <v>3</v>
      </c>
      <c r="I355" s="381">
        <f>'Concept-Level Data'!J90</f>
        <v>5</v>
      </c>
    </row>
    <row r="356" spans="2:9" hidden="1" x14ac:dyDescent="0.25">
      <c r="B356" s="227" t="str">
        <f>'Concept-Level Data'!A91</f>
        <v>Respondent 7</v>
      </c>
      <c r="C356" s="793" t="str">
        <f>'Concept-Level Data'!B91</f>
        <v>Conveyance Improvement</v>
      </c>
      <c r="D356" s="794"/>
      <c r="E356" s="378">
        <f>'Concept-Level Data'!F91</f>
        <v>4</v>
      </c>
      <c r="F356" s="379">
        <f>'Concept-Level Data'!G91</f>
        <v>5</v>
      </c>
      <c r="G356" s="379">
        <f>'Concept-Level Data'!H91</f>
        <v>5</v>
      </c>
      <c r="H356" s="380">
        <f>'Concept-Level Data'!I91</f>
        <v>4</v>
      </c>
      <c r="I356" s="381">
        <f>'Concept-Level Data'!J91</f>
        <v>5</v>
      </c>
    </row>
    <row r="357" spans="2:9" hidden="1" x14ac:dyDescent="0.25">
      <c r="B357" s="227" t="str">
        <f>'Concept-Level Data'!A92</f>
        <v>Respondent 7</v>
      </c>
      <c r="C357" s="793" t="str">
        <f>'Concept-Level Data'!B92</f>
        <v>Drought Restriction/Allocation</v>
      </c>
      <c r="D357" s="794"/>
      <c r="E357" s="378">
        <f>'Concept-Level Data'!F92</f>
        <v>4</v>
      </c>
      <c r="F357" s="379">
        <f>'Concept-Level Data'!G92</f>
        <v>3</v>
      </c>
      <c r="G357" s="379">
        <f>'Concept-Level Data'!H92</f>
        <v>3</v>
      </c>
      <c r="H357" s="380">
        <f>'Concept-Level Data'!I92</f>
        <v>3</v>
      </c>
      <c r="I357" s="381">
        <f>'Concept-Level Data'!J92</f>
        <v>5</v>
      </c>
    </row>
    <row r="358" spans="2:9" hidden="1" x14ac:dyDescent="0.25">
      <c r="B358" s="227" t="str">
        <f>'Concept-Level Data'!A93</f>
        <v>Respondent 7</v>
      </c>
      <c r="C358" s="793" t="str">
        <f>'Concept-Level Data'!B93</f>
        <v>Firm Water Supply Agreements</v>
      </c>
      <c r="D358" s="794"/>
      <c r="E358" s="378">
        <f>'Concept-Level Data'!F93</f>
        <v>1</v>
      </c>
      <c r="F358" s="379">
        <f>'Concept-Level Data'!G93</f>
        <v>3</v>
      </c>
      <c r="G358" s="379">
        <f>'Concept-Level Data'!H93</f>
        <v>3</v>
      </c>
      <c r="H358" s="380">
        <f>'Concept-Level Data'!I93</f>
        <v>3</v>
      </c>
      <c r="I358" s="381">
        <f>'Concept-Level Data'!J93</f>
        <v>3</v>
      </c>
    </row>
    <row r="359" spans="2:9" hidden="1" x14ac:dyDescent="0.25">
      <c r="B359" s="227" t="str">
        <f>'Concept-Level Data'!A94</f>
        <v>Respondent 7</v>
      </c>
      <c r="C359" s="793" t="str">
        <f>'Concept-Level Data'!B94</f>
        <v>Gray Water Use</v>
      </c>
      <c r="D359" s="794"/>
      <c r="E359" s="378">
        <f>'Concept-Level Data'!F94</f>
        <v>5</v>
      </c>
      <c r="F359" s="379">
        <f>'Concept-Level Data'!G94</f>
        <v>3</v>
      </c>
      <c r="G359" s="379">
        <f>'Concept-Level Data'!H94</f>
        <v>3</v>
      </c>
      <c r="H359" s="380">
        <f>'Concept-Level Data'!I94</f>
        <v>2</v>
      </c>
      <c r="I359" s="381">
        <f>'Concept-Level Data'!J94</f>
        <v>5</v>
      </c>
    </row>
    <row r="360" spans="2:9" hidden="1" x14ac:dyDescent="0.25">
      <c r="B360" s="227" t="str">
        <f>'Concept-Level Data'!A95</f>
        <v>Respondent 7</v>
      </c>
      <c r="C360" s="793" t="str">
        <f>'Concept-Level Data'!B95</f>
        <v>Groundwater</v>
      </c>
      <c r="D360" s="794"/>
      <c r="E360" s="378">
        <f>'Concept-Level Data'!F95</f>
        <v>3</v>
      </c>
      <c r="F360" s="379">
        <f>'Concept-Level Data'!G95</f>
        <v>3</v>
      </c>
      <c r="G360" s="379">
        <f>'Concept-Level Data'!H95</f>
        <v>3</v>
      </c>
      <c r="H360" s="380">
        <f>'Concept-Level Data'!I95</f>
        <v>3</v>
      </c>
      <c r="I360" s="381">
        <f>'Concept-Level Data'!J95</f>
        <v>3</v>
      </c>
    </row>
    <row r="361" spans="2:9" hidden="1" x14ac:dyDescent="0.25">
      <c r="B361" s="227" t="str">
        <f>'Concept-Level Data'!A96</f>
        <v>Respondent 7</v>
      </c>
      <c r="C361" s="793" t="str">
        <f>'Concept-Level Data'!B96</f>
        <v>Imported Water Purchases</v>
      </c>
      <c r="D361" s="794"/>
      <c r="E361" s="378">
        <f>'Concept-Level Data'!F96</f>
        <v>1</v>
      </c>
      <c r="F361" s="379">
        <f>'Concept-Level Data'!G96</f>
        <v>3</v>
      </c>
      <c r="G361" s="379">
        <f>'Concept-Level Data'!H96</f>
        <v>3</v>
      </c>
      <c r="H361" s="380">
        <f>'Concept-Level Data'!I96</f>
        <v>3</v>
      </c>
      <c r="I361" s="381">
        <f>'Concept-Level Data'!J96</f>
        <v>3</v>
      </c>
    </row>
    <row r="362" spans="2:9" hidden="1" x14ac:dyDescent="0.25">
      <c r="B362" s="227" t="str">
        <f>'Concept-Level Data'!A97</f>
        <v>Respondent 7</v>
      </c>
      <c r="C362" s="793" t="str">
        <f>'Concept-Level Data'!B97</f>
        <v>Local Surface Water Reservoirs</v>
      </c>
      <c r="D362" s="794"/>
      <c r="E362" s="378">
        <f>'Concept-Level Data'!F97</f>
        <v>5</v>
      </c>
      <c r="F362" s="379">
        <f>'Concept-Level Data'!G97</f>
        <v>3</v>
      </c>
      <c r="G362" s="379">
        <f>'Concept-Level Data'!H97</f>
        <v>3</v>
      </c>
      <c r="H362" s="380">
        <f>'Concept-Level Data'!I97</f>
        <v>3</v>
      </c>
      <c r="I362" s="381">
        <f>'Concept-Level Data'!J97</f>
        <v>5</v>
      </c>
    </row>
    <row r="363" spans="2:9" hidden="1" x14ac:dyDescent="0.25">
      <c r="B363" s="227" t="str">
        <f>'Concept-Level Data'!A98</f>
        <v>Respondent 7</v>
      </c>
      <c r="C363" s="793" t="str">
        <f>'Concept-Level Data'!B98</f>
        <v>Potable Reuse</v>
      </c>
      <c r="D363" s="794"/>
      <c r="E363" s="378">
        <f>'Concept-Level Data'!F98</f>
        <v>5</v>
      </c>
      <c r="F363" s="379">
        <f>'Concept-Level Data'!G98</f>
        <v>3</v>
      </c>
      <c r="G363" s="379">
        <f>'Concept-Level Data'!H98</f>
        <v>3</v>
      </c>
      <c r="H363" s="380">
        <f>'Concept-Level Data'!I98</f>
        <v>3</v>
      </c>
      <c r="I363" s="381">
        <f>'Concept-Level Data'!J98</f>
        <v>5</v>
      </c>
    </row>
    <row r="364" spans="2:9" hidden="1" x14ac:dyDescent="0.25">
      <c r="B364" s="227" t="str">
        <f>'Concept-Level Data'!A99</f>
        <v>Respondent 7</v>
      </c>
      <c r="C364" s="793" t="str">
        <f>'Concept-Level Data'!B99</f>
        <v>Recycled Water</v>
      </c>
      <c r="D364" s="794"/>
      <c r="E364" s="378">
        <f>'Concept-Level Data'!F99</f>
        <v>5</v>
      </c>
      <c r="F364" s="379">
        <f>'Concept-Level Data'!G99</f>
        <v>3</v>
      </c>
      <c r="G364" s="379">
        <f>'Concept-Level Data'!H99</f>
        <v>3</v>
      </c>
      <c r="H364" s="380">
        <f>'Concept-Level Data'!I99</f>
        <v>3</v>
      </c>
      <c r="I364" s="381">
        <f>'Concept-Level Data'!J99</f>
        <v>5</v>
      </c>
    </row>
    <row r="365" spans="2:9" hidden="1" x14ac:dyDescent="0.25">
      <c r="B365" s="227" t="str">
        <f>'Concept-Level Data'!A100</f>
        <v>Respondent 7</v>
      </c>
      <c r="C365" s="793" t="str">
        <f>'Concept-Level Data'!B100</f>
        <v>Seawater Desalination</v>
      </c>
      <c r="D365" s="794"/>
      <c r="E365" s="378">
        <f>'Concept-Level Data'!F100</f>
        <v>5</v>
      </c>
      <c r="F365" s="379">
        <f>'Concept-Level Data'!G100</f>
        <v>3</v>
      </c>
      <c r="G365" s="379">
        <f>'Concept-Level Data'!H100</f>
        <v>3</v>
      </c>
      <c r="H365" s="380">
        <f>'Concept-Level Data'!I100</f>
        <v>3</v>
      </c>
      <c r="I365" s="381">
        <f>'Concept-Level Data'!J100</f>
        <v>3</v>
      </c>
    </row>
    <row r="366" spans="2:9" hidden="1" x14ac:dyDescent="0.25">
      <c r="B366" s="227" t="str">
        <f>'Concept-Level Data'!A101</f>
        <v>Respondent 7</v>
      </c>
      <c r="C366" s="793" t="str">
        <f>'Concept-Level Data'!B101</f>
        <v>Stormwater BMPs</v>
      </c>
      <c r="D366" s="794"/>
      <c r="E366" s="378">
        <f>'Concept-Level Data'!F101</f>
        <v>3</v>
      </c>
      <c r="F366" s="379">
        <f>'Concept-Level Data'!G101</f>
        <v>3</v>
      </c>
      <c r="G366" s="379">
        <f>'Concept-Level Data'!H101</f>
        <v>3</v>
      </c>
      <c r="H366" s="380">
        <f>'Concept-Level Data'!I101</f>
        <v>3</v>
      </c>
      <c r="I366" s="381">
        <f>'Concept-Level Data'!J101</f>
        <v>3</v>
      </c>
    </row>
    <row r="367" spans="2:9" hidden="1" x14ac:dyDescent="0.25">
      <c r="B367" s="227" t="str">
        <f>'Concept-Level Data'!A102</f>
        <v>Respondent 7</v>
      </c>
      <c r="C367" s="793" t="str">
        <f>'Concept-Level Data'!B102</f>
        <v>Stormwater Capture</v>
      </c>
      <c r="D367" s="794"/>
      <c r="E367" s="378">
        <f>'Concept-Level Data'!F102</f>
        <v>5</v>
      </c>
      <c r="F367" s="379">
        <f>'Concept-Level Data'!G102</f>
        <v>3</v>
      </c>
      <c r="G367" s="379">
        <f>'Concept-Level Data'!H102</f>
        <v>3</v>
      </c>
      <c r="H367" s="380">
        <f>'Concept-Level Data'!I102</f>
        <v>3</v>
      </c>
      <c r="I367" s="381">
        <f>'Concept-Level Data'!J102</f>
        <v>5</v>
      </c>
    </row>
    <row r="368" spans="2:9" hidden="1" x14ac:dyDescent="0.25">
      <c r="B368" s="227" t="str">
        <f>'Concept-Level Data'!A103</f>
        <v>Respondent 7</v>
      </c>
      <c r="C368" s="793" t="str">
        <f>'Concept-Level Data'!B103</f>
        <v>Urban and Agricultural Water Use Efficiency</v>
      </c>
      <c r="D368" s="794"/>
      <c r="E368" s="378">
        <f>'Concept-Level Data'!F103</f>
        <v>4</v>
      </c>
      <c r="F368" s="379">
        <f>'Concept-Level Data'!G103</f>
        <v>3</v>
      </c>
      <c r="G368" s="379">
        <f>'Concept-Level Data'!H103</f>
        <v>3</v>
      </c>
      <c r="H368" s="380">
        <f>'Concept-Level Data'!I103</f>
        <v>3</v>
      </c>
      <c r="I368" s="381">
        <f>'Concept-Level Data'!J103</f>
        <v>5</v>
      </c>
    </row>
    <row r="369" spans="2:9" hidden="1" x14ac:dyDescent="0.25">
      <c r="B369" s="227" t="str">
        <f>'Concept-Level Data'!A104</f>
        <v>Respondent 7</v>
      </c>
      <c r="C369" s="793" t="str">
        <f>'Concept-Level Data'!B104</f>
        <v>Watershed and Ecosystem Management</v>
      </c>
      <c r="D369" s="794"/>
      <c r="E369" s="378">
        <f>'Concept-Level Data'!F104</f>
        <v>3</v>
      </c>
      <c r="F369" s="379">
        <f>'Concept-Level Data'!G104</f>
        <v>3</v>
      </c>
      <c r="G369" s="379">
        <f>'Concept-Level Data'!H104</f>
        <v>3</v>
      </c>
      <c r="H369" s="380">
        <f>'Concept-Level Data'!I104</f>
        <v>3</v>
      </c>
      <c r="I369" s="381">
        <f>'Concept-Level Data'!J104</f>
        <v>5</v>
      </c>
    </row>
    <row r="370" spans="2:9" hidden="1" x14ac:dyDescent="0.25">
      <c r="B370" s="227" t="str">
        <f>'Concept-Level Data'!A105</f>
        <v>Respondent 8</v>
      </c>
      <c r="C370" s="793" t="str">
        <f>'Concept-Level Data'!B105</f>
        <v>Conveyance Improvement</v>
      </c>
      <c r="D370" s="794"/>
      <c r="E370" s="378">
        <f>'Concept-Level Data'!F105</f>
        <v>5</v>
      </c>
      <c r="F370" s="379">
        <f>'Concept-Level Data'!G105</f>
        <v>5</v>
      </c>
      <c r="G370" s="379">
        <f>'Concept-Level Data'!H105</f>
        <v>4</v>
      </c>
      <c r="H370" s="380">
        <f>'Concept-Level Data'!I105</f>
        <v>5</v>
      </c>
      <c r="I370" s="381">
        <f>'Concept-Level Data'!J105</f>
        <v>5</v>
      </c>
    </row>
    <row r="371" spans="2:9" hidden="1" x14ac:dyDescent="0.25">
      <c r="B371" s="227" t="str">
        <f>'Concept-Level Data'!A106</f>
        <v>Respondent 8</v>
      </c>
      <c r="C371" s="793" t="str">
        <f>'Concept-Level Data'!B106</f>
        <v>Drought Restriction/Allocation</v>
      </c>
      <c r="D371" s="794"/>
      <c r="E371" s="378">
        <f>'Concept-Level Data'!F106</f>
        <v>4</v>
      </c>
      <c r="F371" s="379">
        <f>'Concept-Level Data'!G106</f>
        <v>5</v>
      </c>
      <c r="G371" s="379">
        <f>'Concept-Level Data'!H106</f>
        <v>2</v>
      </c>
      <c r="H371" s="380">
        <f>'Concept-Level Data'!I106</f>
        <v>2</v>
      </c>
      <c r="I371" s="381">
        <f>'Concept-Level Data'!J106</f>
        <v>3</v>
      </c>
    </row>
    <row r="372" spans="2:9" hidden="1" x14ac:dyDescent="0.25">
      <c r="B372" s="227" t="str">
        <f>'Concept-Level Data'!A107</f>
        <v>Respondent 8</v>
      </c>
      <c r="C372" s="793" t="str">
        <f>'Concept-Level Data'!B107</f>
        <v>Firm Water Supply Agreements</v>
      </c>
      <c r="D372" s="794"/>
      <c r="E372" s="378">
        <f>'Concept-Level Data'!F107</f>
        <v>5</v>
      </c>
      <c r="F372" s="379">
        <f>'Concept-Level Data'!G107</f>
        <v>5</v>
      </c>
      <c r="G372" s="379">
        <f>'Concept-Level Data'!H107</f>
        <v>3</v>
      </c>
      <c r="H372" s="380">
        <f>'Concept-Level Data'!I107</f>
        <v>4</v>
      </c>
      <c r="I372" s="381">
        <f>'Concept-Level Data'!J107</f>
        <v>5</v>
      </c>
    </row>
    <row r="373" spans="2:9" hidden="1" x14ac:dyDescent="0.25">
      <c r="B373" s="227" t="str">
        <f>'Concept-Level Data'!A108</f>
        <v>Respondent 8</v>
      </c>
      <c r="C373" s="793" t="str">
        <f>'Concept-Level Data'!B108</f>
        <v>Gray Water Use</v>
      </c>
      <c r="D373" s="794"/>
      <c r="E373" s="378">
        <f>'Concept-Level Data'!F108</f>
        <v>5</v>
      </c>
      <c r="F373" s="379">
        <f>'Concept-Level Data'!G108</f>
        <v>5</v>
      </c>
      <c r="G373" s="379">
        <f>'Concept-Level Data'!H108</f>
        <v>3</v>
      </c>
      <c r="H373" s="380">
        <f>'Concept-Level Data'!I108</f>
        <v>3</v>
      </c>
      <c r="I373" s="381">
        <f>'Concept-Level Data'!J108</f>
        <v>3</v>
      </c>
    </row>
    <row r="374" spans="2:9" hidden="1" x14ac:dyDescent="0.25">
      <c r="B374" s="227" t="str">
        <f>'Concept-Level Data'!A109</f>
        <v>Respondent 8</v>
      </c>
      <c r="C374" s="793" t="str">
        <f>'Concept-Level Data'!B109</f>
        <v>Groundwater</v>
      </c>
      <c r="D374" s="794"/>
      <c r="E374" s="378">
        <f>'Concept-Level Data'!F109</f>
        <v>5</v>
      </c>
      <c r="F374" s="379">
        <f>'Concept-Level Data'!G109</f>
        <v>5</v>
      </c>
      <c r="G374" s="379">
        <f>'Concept-Level Data'!H109</f>
        <v>3</v>
      </c>
      <c r="H374" s="380">
        <f>'Concept-Level Data'!I109</f>
        <v>4</v>
      </c>
      <c r="I374" s="381">
        <f>'Concept-Level Data'!J109</f>
        <v>4</v>
      </c>
    </row>
    <row r="375" spans="2:9" hidden="1" x14ac:dyDescent="0.25">
      <c r="B375" s="227" t="str">
        <f>'Concept-Level Data'!A110</f>
        <v>Respondent 8</v>
      </c>
      <c r="C375" s="793" t="str">
        <f>'Concept-Level Data'!B110</f>
        <v>Imported Water Purchases</v>
      </c>
      <c r="D375" s="794"/>
      <c r="E375" s="378">
        <f>'Concept-Level Data'!F110</f>
        <v>5</v>
      </c>
      <c r="F375" s="379">
        <f>'Concept-Level Data'!G110</f>
        <v>5</v>
      </c>
      <c r="G375" s="379">
        <f>'Concept-Level Data'!H110</f>
        <v>3</v>
      </c>
      <c r="H375" s="380">
        <f>'Concept-Level Data'!I110</f>
        <v>4</v>
      </c>
      <c r="I375" s="381">
        <f>'Concept-Level Data'!J110</f>
        <v>4</v>
      </c>
    </row>
    <row r="376" spans="2:9" hidden="1" x14ac:dyDescent="0.25">
      <c r="B376" s="227" t="str">
        <f>'Concept-Level Data'!A111</f>
        <v>Respondent 8</v>
      </c>
      <c r="C376" s="793" t="str">
        <f>'Concept-Level Data'!B111</f>
        <v>Local Surface Water Reservoirs</v>
      </c>
      <c r="D376" s="794"/>
      <c r="E376" s="378">
        <f>'Concept-Level Data'!F111</f>
        <v>5</v>
      </c>
      <c r="F376" s="379">
        <f>'Concept-Level Data'!G111</f>
        <v>5</v>
      </c>
      <c r="G376" s="379">
        <f>'Concept-Level Data'!H111</f>
        <v>3</v>
      </c>
      <c r="H376" s="380">
        <f>'Concept-Level Data'!I111</f>
        <v>4</v>
      </c>
      <c r="I376" s="381">
        <f>'Concept-Level Data'!J111</f>
        <v>5</v>
      </c>
    </row>
    <row r="377" spans="2:9" hidden="1" x14ac:dyDescent="0.25">
      <c r="B377" s="227" t="str">
        <f>'Concept-Level Data'!A112</f>
        <v>Respondent 8</v>
      </c>
      <c r="C377" s="793" t="str">
        <f>'Concept-Level Data'!B112</f>
        <v>Potable Reuse</v>
      </c>
      <c r="D377" s="794"/>
      <c r="E377" s="378">
        <f>'Concept-Level Data'!F112</f>
        <v>5</v>
      </c>
      <c r="F377" s="379">
        <f>'Concept-Level Data'!G112</f>
        <v>5</v>
      </c>
      <c r="G377" s="379">
        <f>'Concept-Level Data'!H112</f>
        <v>3</v>
      </c>
      <c r="H377" s="380">
        <f>'Concept-Level Data'!I112</f>
        <v>4</v>
      </c>
      <c r="I377" s="381">
        <f>'Concept-Level Data'!J112</f>
        <v>5</v>
      </c>
    </row>
    <row r="378" spans="2:9" hidden="1" x14ac:dyDescent="0.25">
      <c r="B378" s="227" t="str">
        <f>'Concept-Level Data'!A113</f>
        <v>Respondent 8</v>
      </c>
      <c r="C378" s="793" t="str">
        <f>'Concept-Level Data'!B113</f>
        <v>Recycled Water</v>
      </c>
      <c r="D378" s="794"/>
      <c r="E378" s="378">
        <f>'Concept-Level Data'!F113</f>
        <v>5</v>
      </c>
      <c r="F378" s="379">
        <f>'Concept-Level Data'!G113</f>
        <v>5</v>
      </c>
      <c r="G378" s="379">
        <f>'Concept-Level Data'!H113</f>
        <v>4</v>
      </c>
      <c r="H378" s="380">
        <f>'Concept-Level Data'!I113</f>
        <v>4</v>
      </c>
      <c r="I378" s="381">
        <f>'Concept-Level Data'!J113</f>
        <v>2</v>
      </c>
    </row>
    <row r="379" spans="2:9" hidden="1" x14ac:dyDescent="0.25">
      <c r="B379" s="227" t="str">
        <f>'Concept-Level Data'!A114</f>
        <v>Respondent 8</v>
      </c>
      <c r="C379" s="793" t="str">
        <f>'Concept-Level Data'!B114</f>
        <v>Seawater Desalination</v>
      </c>
      <c r="D379" s="794"/>
      <c r="E379" s="378">
        <f>'Concept-Level Data'!F114</f>
        <v>5</v>
      </c>
      <c r="F379" s="379">
        <f>'Concept-Level Data'!G114</f>
        <v>5</v>
      </c>
      <c r="G379" s="379">
        <f>'Concept-Level Data'!H114</f>
        <v>3</v>
      </c>
      <c r="H379" s="380">
        <f>'Concept-Level Data'!I114</f>
        <v>4</v>
      </c>
      <c r="I379" s="381">
        <f>'Concept-Level Data'!J114</f>
        <v>5</v>
      </c>
    </row>
    <row r="380" spans="2:9" hidden="1" x14ac:dyDescent="0.25">
      <c r="B380" s="227" t="str">
        <f>'Concept-Level Data'!A115</f>
        <v>Respondent 8</v>
      </c>
      <c r="C380" s="793" t="str">
        <f>'Concept-Level Data'!B115</f>
        <v>Stormwater BMPs</v>
      </c>
      <c r="D380" s="794"/>
      <c r="E380" s="378">
        <f>'Concept-Level Data'!F115</f>
        <v>4</v>
      </c>
      <c r="F380" s="379">
        <f>'Concept-Level Data'!G115</f>
        <v>4</v>
      </c>
      <c r="G380" s="379">
        <f>'Concept-Level Data'!H115</f>
        <v>3</v>
      </c>
      <c r="H380" s="380">
        <f>'Concept-Level Data'!I115</f>
        <v>3</v>
      </c>
      <c r="I380" s="381">
        <f>'Concept-Level Data'!J115</f>
        <v>3</v>
      </c>
    </row>
    <row r="381" spans="2:9" hidden="1" x14ac:dyDescent="0.25">
      <c r="B381" s="227" t="str">
        <f>'Concept-Level Data'!A116</f>
        <v>Respondent 8</v>
      </c>
      <c r="C381" s="793" t="str">
        <f>'Concept-Level Data'!B116</f>
        <v>Stormwater Capture</v>
      </c>
      <c r="D381" s="794"/>
      <c r="E381" s="378">
        <f>'Concept-Level Data'!F116</f>
        <v>5</v>
      </c>
      <c r="F381" s="379">
        <f>'Concept-Level Data'!G116</f>
        <v>5</v>
      </c>
      <c r="G381" s="379">
        <f>'Concept-Level Data'!H116</f>
        <v>3</v>
      </c>
      <c r="H381" s="380">
        <f>'Concept-Level Data'!I116</f>
        <v>4</v>
      </c>
      <c r="I381" s="381">
        <f>'Concept-Level Data'!J116</f>
        <v>4</v>
      </c>
    </row>
    <row r="382" spans="2:9" hidden="1" x14ac:dyDescent="0.25">
      <c r="B382" s="227" t="str">
        <f>'Concept-Level Data'!A117</f>
        <v>Respondent 8</v>
      </c>
      <c r="C382" s="793" t="str">
        <f>'Concept-Level Data'!B117</f>
        <v>Urban and Agricultural Water Use Efficiency</v>
      </c>
      <c r="D382" s="794"/>
      <c r="E382" s="378">
        <f>'Concept-Level Data'!F117</f>
        <v>4</v>
      </c>
      <c r="F382" s="379">
        <f>'Concept-Level Data'!G117</f>
        <v>5</v>
      </c>
      <c r="G382" s="379">
        <f>'Concept-Level Data'!H117</f>
        <v>4</v>
      </c>
      <c r="H382" s="380">
        <f>'Concept-Level Data'!I117</f>
        <v>2</v>
      </c>
      <c r="I382" s="381">
        <f>'Concept-Level Data'!J117</f>
        <v>4</v>
      </c>
    </row>
    <row r="383" spans="2:9" hidden="1" x14ac:dyDescent="0.25">
      <c r="B383" s="227" t="str">
        <f>'Concept-Level Data'!A118</f>
        <v>Respondent 8</v>
      </c>
      <c r="C383" s="793" t="str">
        <f>'Concept-Level Data'!B118</f>
        <v>Watershed and Ecosystem Management</v>
      </c>
      <c r="D383" s="794"/>
      <c r="E383" s="378">
        <f>'Concept-Level Data'!F118</f>
        <v>4</v>
      </c>
      <c r="F383" s="379">
        <f>'Concept-Level Data'!G118</f>
        <v>5</v>
      </c>
      <c r="G383" s="379">
        <f>'Concept-Level Data'!H118</f>
        <v>3</v>
      </c>
      <c r="H383" s="380">
        <f>'Concept-Level Data'!I118</f>
        <v>3</v>
      </c>
      <c r="I383" s="381">
        <f>'Concept-Level Data'!J118</f>
        <v>5</v>
      </c>
    </row>
    <row r="384" spans="2:9" hidden="1" x14ac:dyDescent="0.25">
      <c r="B384" s="227" t="str">
        <f>'Concept-Level Data'!A119</f>
        <v>Respondent 9</v>
      </c>
      <c r="C384" s="793" t="str">
        <f>'Concept-Level Data'!B119</f>
        <v>Conveyance Improvement</v>
      </c>
      <c r="D384" s="794"/>
      <c r="E384" s="378">
        <f>'Concept-Level Data'!F119</f>
        <v>4</v>
      </c>
      <c r="F384" s="379">
        <f>'Concept-Level Data'!G119</f>
        <v>5</v>
      </c>
      <c r="G384" s="379">
        <f>'Concept-Level Data'!H119</f>
        <v>5</v>
      </c>
      <c r="H384" s="380">
        <f>'Concept-Level Data'!I119</f>
        <v>3</v>
      </c>
      <c r="I384" s="381">
        <f>'Concept-Level Data'!J119</f>
        <v>5</v>
      </c>
    </row>
    <row r="385" spans="2:9" hidden="1" x14ac:dyDescent="0.25">
      <c r="B385" s="227" t="str">
        <f>'Concept-Level Data'!A120</f>
        <v>Respondent 9</v>
      </c>
      <c r="C385" s="793" t="str">
        <f>'Concept-Level Data'!B120</f>
        <v>Drought Restriction/Allocation</v>
      </c>
      <c r="D385" s="794"/>
      <c r="E385" s="378">
        <f>'Concept-Level Data'!F120</f>
        <v>3</v>
      </c>
      <c r="F385" s="379">
        <f>'Concept-Level Data'!G120</f>
        <v>3</v>
      </c>
      <c r="G385" s="379">
        <f>'Concept-Level Data'!H120</f>
        <v>3</v>
      </c>
      <c r="H385" s="380">
        <f>'Concept-Level Data'!I120</f>
        <v>2</v>
      </c>
      <c r="I385" s="381">
        <f>'Concept-Level Data'!J120</f>
        <v>3</v>
      </c>
    </row>
    <row r="386" spans="2:9" hidden="1" x14ac:dyDescent="0.25">
      <c r="B386" s="227" t="str">
        <f>'Concept-Level Data'!A121</f>
        <v>Respondent 9</v>
      </c>
      <c r="C386" s="793" t="str">
        <f>'Concept-Level Data'!B121</f>
        <v>Firm Water Supply Agreements</v>
      </c>
      <c r="D386" s="794"/>
      <c r="E386" s="378">
        <f>'Concept-Level Data'!F121</f>
        <v>1</v>
      </c>
      <c r="F386" s="379">
        <f>'Concept-Level Data'!G121</f>
        <v>2</v>
      </c>
      <c r="G386" s="379">
        <f>'Concept-Level Data'!H121</f>
        <v>3</v>
      </c>
      <c r="H386" s="380">
        <f>'Concept-Level Data'!I121</f>
        <v>4</v>
      </c>
      <c r="I386" s="381">
        <f>'Concept-Level Data'!J121</f>
        <v>3</v>
      </c>
    </row>
    <row r="387" spans="2:9" hidden="1" x14ac:dyDescent="0.25">
      <c r="B387" s="227" t="str">
        <f>'Concept-Level Data'!A122</f>
        <v>Respondent 9</v>
      </c>
      <c r="C387" s="793" t="str">
        <f>'Concept-Level Data'!B122</f>
        <v>Gray Water Use</v>
      </c>
      <c r="D387" s="794"/>
      <c r="E387" s="378">
        <f>'Concept-Level Data'!F122</f>
        <v>5</v>
      </c>
      <c r="F387" s="379">
        <f>'Concept-Level Data'!G122</f>
        <v>2</v>
      </c>
      <c r="G387" s="379">
        <f>'Concept-Level Data'!H122</f>
        <v>4</v>
      </c>
      <c r="H387" s="380">
        <f>'Concept-Level Data'!I122</f>
        <v>3</v>
      </c>
      <c r="I387" s="381">
        <f>'Concept-Level Data'!J122</f>
        <v>3</v>
      </c>
    </row>
    <row r="388" spans="2:9" hidden="1" x14ac:dyDescent="0.25">
      <c r="B388" s="227" t="str">
        <f>'Concept-Level Data'!A123</f>
        <v>Respondent 9</v>
      </c>
      <c r="C388" s="793" t="str">
        <f>'Concept-Level Data'!B123</f>
        <v>Groundwater</v>
      </c>
      <c r="D388" s="794"/>
      <c r="E388" s="378">
        <f>'Concept-Level Data'!F123</f>
        <v>5</v>
      </c>
      <c r="F388" s="379">
        <f>'Concept-Level Data'!G123</f>
        <v>2</v>
      </c>
      <c r="G388" s="379">
        <f>'Concept-Level Data'!H123</f>
        <v>3</v>
      </c>
      <c r="H388" s="380">
        <f>'Concept-Level Data'!I123</f>
        <v>4</v>
      </c>
      <c r="I388" s="381">
        <f>'Concept-Level Data'!J123</f>
        <v>3</v>
      </c>
    </row>
    <row r="389" spans="2:9" hidden="1" x14ac:dyDescent="0.25">
      <c r="B389" s="227" t="str">
        <f>'Concept-Level Data'!A124</f>
        <v>Respondent 9</v>
      </c>
      <c r="C389" s="793" t="str">
        <f>'Concept-Level Data'!B124</f>
        <v>Imported Water Purchases</v>
      </c>
      <c r="D389" s="794"/>
      <c r="E389" s="378">
        <f>'Concept-Level Data'!F124</f>
        <v>1</v>
      </c>
      <c r="F389" s="379">
        <f>'Concept-Level Data'!G124</f>
        <v>1</v>
      </c>
      <c r="G389" s="379">
        <f>'Concept-Level Data'!H124</f>
        <v>2</v>
      </c>
      <c r="H389" s="380">
        <f>'Concept-Level Data'!I124</f>
        <v>4</v>
      </c>
      <c r="I389" s="381">
        <f>'Concept-Level Data'!J124</f>
        <v>3</v>
      </c>
    </row>
    <row r="390" spans="2:9" hidden="1" x14ac:dyDescent="0.25">
      <c r="B390" s="227" t="str">
        <f>'Concept-Level Data'!A125</f>
        <v>Respondent 9</v>
      </c>
      <c r="C390" s="793" t="str">
        <f>'Concept-Level Data'!B125</f>
        <v>Local Surface Water Reservoirs</v>
      </c>
      <c r="D390" s="794"/>
      <c r="E390" s="378">
        <f>'Concept-Level Data'!F125</f>
        <v>5</v>
      </c>
      <c r="F390" s="379">
        <f>'Concept-Level Data'!G125</f>
        <v>3</v>
      </c>
      <c r="G390" s="379">
        <f>'Concept-Level Data'!H125</f>
        <v>3</v>
      </c>
      <c r="H390" s="380">
        <f>'Concept-Level Data'!I125</f>
        <v>4</v>
      </c>
      <c r="I390" s="381">
        <f>'Concept-Level Data'!J125</f>
        <v>5</v>
      </c>
    </row>
    <row r="391" spans="2:9" hidden="1" x14ac:dyDescent="0.25">
      <c r="B391" s="227" t="str">
        <f>'Concept-Level Data'!A126</f>
        <v>Respondent 9</v>
      </c>
      <c r="C391" s="793" t="str">
        <f>'Concept-Level Data'!B126</f>
        <v>Potable Reuse</v>
      </c>
      <c r="D391" s="794"/>
      <c r="E391" s="378">
        <f>'Concept-Level Data'!F126</f>
        <v>5</v>
      </c>
      <c r="F391" s="379">
        <f>'Concept-Level Data'!G126</f>
        <v>3</v>
      </c>
      <c r="G391" s="379">
        <f>'Concept-Level Data'!H126</f>
        <v>3</v>
      </c>
      <c r="H391" s="380">
        <f>'Concept-Level Data'!I126</f>
        <v>2</v>
      </c>
      <c r="I391" s="381">
        <f>'Concept-Level Data'!J126</f>
        <v>5</v>
      </c>
    </row>
    <row r="392" spans="2:9" hidden="1" x14ac:dyDescent="0.25">
      <c r="B392" s="227" t="str">
        <f>'Concept-Level Data'!A127</f>
        <v>Respondent 9</v>
      </c>
      <c r="C392" s="793" t="str">
        <f>'Concept-Level Data'!B127</f>
        <v>Recycled Water</v>
      </c>
      <c r="D392" s="794"/>
      <c r="E392" s="378">
        <f>'Concept-Level Data'!F127</f>
        <v>5</v>
      </c>
      <c r="F392" s="379">
        <f>'Concept-Level Data'!G127</f>
        <v>3</v>
      </c>
      <c r="G392" s="379">
        <f>'Concept-Level Data'!H127</f>
        <v>5</v>
      </c>
      <c r="H392" s="380">
        <f>'Concept-Level Data'!I127</f>
        <v>3</v>
      </c>
      <c r="I392" s="381">
        <f>'Concept-Level Data'!J127</f>
        <v>3</v>
      </c>
    </row>
    <row r="393" spans="2:9" hidden="1" x14ac:dyDescent="0.25">
      <c r="B393" s="227" t="str">
        <f>'Concept-Level Data'!A128</f>
        <v>Respondent 9</v>
      </c>
      <c r="C393" s="793" t="str">
        <f>'Concept-Level Data'!B128</f>
        <v>Seawater Desalination</v>
      </c>
      <c r="D393" s="794"/>
      <c r="E393" s="378">
        <f>'Concept-Level Data'!F128</f>
        <v>5</v>
      </c>
      <c r="F393" s="379">
        <f>'Concept-Level Data'!G128</f>
        <v>3</v>
      </c>
      <c r="G393" s="379">
        <f>'Concept-Level Data'!H128</f>
        <v>3</v>
      </c>
      <c r="H393" s="380">
        <f>'Concept-Level Data'!I128</f>
        <v>4</v>
      </c>
      <c r="I393" s="381">
        <f>'Concept-Level Data'!J128</f>
        <v>3</v>
      </c>
    </row>
    <row r="394" spans="2:9" hidden="1" x14ac:dyDescent="0.25">
      <c r="B394" s="227" t="str">
        <f>'Concept-Level Data'!A129</f>
        <v>Respondent 9</v>
      </c>
      <c r="C394" s="793" t="str">
        <f>'Concept-Level Data'!B129</f>
        <v>Stormwater BMPs</v>
      </c>
      <c r="D394" s="794"/>
      <c r="E394" s="378">
        <f>'Concept-Level Data'!F129</f>
        <v>2</v>
      </c>
      <c r="F394" s="379">
        <f>'Concept-Level Data'!G129</f>
        <v>2</v>
      </c>
      <c r="G394" s="379">
        <f>'Concept-Level Data'!H129</f>
        <v>5</v>
      </c>
      <c r="H394" s="380">
        <f>'Concept-Level Data'!I129</f>
        <v>3</v>
      </c>
      <c r="I394" s="381">
        <f>'Concept-Level Data'!J129</f>
        <v>5</v>
      </c>
    </row>
    <row r="395" spans="2:9" hidden="1" x14ac:dyDescent="0.25">
      <c r="B395" s="227" t="str">
        <f>'Concept-Level Data'!A130</f>
        <v>Respondent 9</v>
      </c>
      <c r="C395" s="793" t="str">
        <f>'Concept-Level Data'!B130</f>
        <v>Stormwater Capture</v>
      </c>
      <c r="D395" s="794"/>
      <c r="E395" s="378">
        <f>'Concept-Level Data'!F130</f>
        <v>5</v>
      </c>
      <c r="F395" s="379">
        <f>'Concept-Level Data'!G130</f>
        <v>2</v>
      </c>
      <c r="G395" s="379">
        <f>'Concept-Level Data'!H130</f>
        <v>4</v>
      </c>
      <c r="H395" s="380">
        <f>'Concept-Level Data'!I130</f>
        <v>4</v>
      </c>
      <c r="I395" s="381">
        <f>'Concept-Level Data'!J130</f>
        <v>5</v>
      </c>
    </row>
    <row r="396" spans="2:9" hidden="1" x14ac:dyDescent="0.25">
      <c r="B396" s="227" t="str">
        <f>'Concept-Level Data'!A131</f>
        <v>Respondent 9</v>
      </c>
      <c r="C396" s="793" t="str">
        <f>'Concept-Level Data'!B131</f>
        <v>Urban and Agricultural Water Use Efficiency</v>
      </c>
      <c r="D396" s="794"/>
      <c r="E396" s="378">
        <f>'Concept-Level Data'!F131</f>
        <v>4</v>
      </c>
      <c r="F396" s="379">
        <f>'Concept-Level Data'!G131</f>
        <v>4</v>
      </c>
      <c r="G396" s="379">
        <f>'Concept-Level Data'!H131</f>
        <v>4</v>
      </c>
      <c r="H396" s="380">
        <f>'Concept-Level Data'!I131</f>
        <v>2</v>
      </c>
      <c r="I396" s="381">
        <f>'Concept-Level Data'!J131</f>
        <v>3</v>
      </c>
    </row>
    <row r="397" spans="2:9" hidden="1" x14ac:dyDescent="0.25">
      <c r="B397" s="227" t="str">
        <f>'Concept-Level Data'!A132</f>
        <v>Respondent 9</v>
      </c>
      <c r="C397" s="793" t="str">
        <f>'Concept-Level Data'!B132</f>
        <v>Watershed and Ecosystem Management</v>
      </c>
      <c r="D397" s="794"/>
      <c r="E397" s="378">
        <f>'Concept-Level Data'!F132</f>
        <v>2</v>
      </c>
      <c r="F397" s="379">
        <f>'Concept-Level Data'!G132</f>
        <v>2</v>
      </c>
      <c r="G397" s="379">
        <f>'Concept-Level Data'!H132</f>
        <v>3</v>
      </c>
      <c r="H397" s="380">
        <f>'Concept-Level Data'!I132</f>
        <v>3</v>
      </c>
      <c r="I397" s="381">
        <f>'Concept-Level Data'!J132</f>
        <v>5</v>
      </c>
    </row>
    <row r="398" spans="2:9" hidden="1" x14ac:dyDescent="0.25">
      <c r="B398" s="251" t="str">
        <f>'Concept-Level Data'!A133</f>
        <v>Respondent 10</v>
      </c>
      <c r="C398" s="793" t="str">
        <f>'Concept-Level Data'!B133</f>
        <v>Conveyance Improvement</v>
      </c>
      <c r="D398" s="794"/>
      <c r="E398" s="378">
        <f>'Concept-Level Data'!F133</f>
        <v>4</v>
      </c>
      <c r="F398" s="379">
        <f>'Concept-Level Data'!G133</f>
        <v>5</v>
      </c>
      <c r="G398" s="379">
        <f>'Concept-Level Data'!H133</f>
        <v>5</v>
      </c>
      <c r="H398" s="380">
        <f>'Concept-Level Data'!I133</f>
        <v>4</v>
      </c>
      <c r="I398" s="381">
        <f>'Concept-Level Data'!J133</f>
        <v>5</v>
      </c>
    </row>
    <row r="399" spans="2:9" hidden="1" x14ac:dyDescent="0.25">
      <c r="B399" s="251" t="str">
        <f>'Concept-Level Data'!A134</f>
        <v>Respondent 10</v>
      </c>
      <c r="C399" s="793" t="str">
        <f>'Concept-Level Data'!B134</f>
        <v>Drought Restriction/Allocation</v>
      </c>
      <c r="D399" s="794"/>
      <c r="E399" s="378">
        <f>'Concept-Level Data'!F134</f>
        <v>3</v>
      </c>
      <c r="F399" s="379">
        <f>'Concept-Level Data'!G134</f>
        <v>5</v>
      </c>
      <c r="G399" s="379">
        <f>'Concept-Level Data'!H134</f>
        <v>3</v>
      </c>
      <c r="H399" s="380">
        <f>'Concept-Level Data'!I134</f>
        <v>2</v>
      </c>
      <c r="I399" s="381">
        <f>'Concept-Level Data'!J134</f>
        <v>4</v>
      </c>
    </row>
    <row r="400" spans="2:9" hidden="1" x14ac:dyDescent="0.25">
      <c r="B400" s="251" t="str">
        <f>'Concept-Level Data'!A135</f>
        <v>Respondent 10</v>
      </c>
      <c r="C400" s="793" t="str">
        <f>'Concept-Level Data'!B135</f>
        <v>Firm Water Supply Agreements</v>
      </c>
      <c r="D400" s="794"/>
      <c r="E400" s="378">
        <f>'Concept-Level Data'!F135</f>
        <v>5</v>
      </c>
      <c r="F400" s="379">
        <f>'Concept-Level Data'!G135</f>
        <v>3</v>
      </c>
      <c r="G400" s="379">
        <f>'Concept-Level Data'!H135</f>
        <v>3</v>
      </c>
      <c r="H400" s="380">
        <f>'Concept-Level Data'!I135</f>
        <v>4</v>
      </c>
      <c r="I400" s="381">
        <f>'Concept-Level Data'!J135</f>
        <v>5</v>
      </c>
    </row>
    <row r="401" spans="2:9" hidden="1" x14ac:dyDescent="0.25">
      <c r="B401" s="251" t="str">
        <f>'Concept-Level Data'!A136</f>
        <v>Respondent 10</v>
      </c>
      <c r="C401" s="793" t="str">
        <f>'Concept-Level Data'!B136</f>
        <v>Gray Water Use</v>
      </c>
      <c r="D401" s="794"/>
      <c r="E401" s="378">
        <f>'Concept-Level Data'!F136</f>
        <v>5</v>
      </c>
      <c r="F401" s="379">
        <f>'Concept-Level Data'!G136</f>
        <v>3</v>
      </c>
      <c r="G401" s="379">
        <f>'Concept-Level Data'!H136</f>
        <v>3</v>
      </c>
      <c r="H401" s="380">
        <f>'Concept-Level Data'!I136</f>
        <v>2</v>
      </c>
      <c r="I401" s="381">
        <f>'Concept-Level Data'!J136</f>
        <v>4</v>
      </c>
    </row>
    <row r="402" spans="2:9" hidden="1" x14ac:dyDescent="0.25">
      <c r="B402" s="251" t="str">
        <f>'Concept-Level Data'!A137</f>
        <v>Respondent 10</v>
      </c>
      <c r="C402" s="793" t="str">
        <f>'Concept-Level Data'!B137</f>
        <v>Groundwater</v>
      </c>
      <c r="D402" s="794"/>
      <c r="E402" s="378">
        <f>'Concept-Level Data'!F137</f>
        <v>5</v>
      </c>
      <c r="F402" s="379">
        <f>'Concept-Level Data'!G137</f>
        <v>5</v>
      </c>
      <c r="G402" s="379">
        <f>'Concept-Level Data'!H137</f>
        <v>3</v>
      </c>
      <c r="H402" s="380">
        <f>'Concept-Level Data'!I137</f>
        <v>4</v>
      </c>
      <c r="I402" s="381">
        <f>'Concept-Level Data'!J137</f>
        <v>5</v>
      </c>
    </row>
    <row r="403" spans="2:9" hidden="1" x14ac:dyDescent="0.25">
      <c r="B403" s="251" t="str">
        <f>'Concept-Level Data'!A138</f>
        <v>Respondent 10</v>
      </c>
      <c r="C403" s="793" t="str">
        <f>'Concept-Level Data'!B138</f>
        <v>Imported Water Purchases</v>
      </c>
      <c r="D403" s="794"/>
      <c r="E403" s="378">
        <f>'Concept-Level Data'!F138</f>
        <v>5</v>
      </c>
      <c r="F403" s="379">
        <f>'Concept-Level Data'!G138</f>
        <v>4</v>
      </c>
      <c r="G403" s="379">
        <f>'Concept-Level Data'!H138</f>
        <v>3</v>
      </c>
      <c r="H403" s="380">
        <f>'Concept-Level Data'!I138</f>
        <v>4</v>
      </c>
      <c r="I403" s="381">
        <f>'Concept-Level Data'!J138</f>
        <v>5</v>
      </c>
    </row>
    <row r="404" spans="2:9" hidden="1" x14ac:dyDescent="0.25">
      <c r="B404" s="251" t="str">
        <f>'Concept-Level Data'!A139</f>
        <v>Respondent 10</v>
      </c>
      <c r="C404" s="793" t="str">
        <f>'Concept-Level Data'!B139</f>
        <v>Local Surface Water Reservoirs</v>
      </c>
      <c r="D404" s="794"/>
      <c r="E404" s="378">
        <f>'Concept-Level Data'!F139</f>
        <v>5</v>
      </c>
      <c r="F404" s="379">
        <f>'Concept-Level Data'!G139</f>
        <v>5</v>
      </c>
      <c r="G404" s="379">
        <f>'Concept-Level Data'!H139</f>
        <v>3</v>
      </c>
      <c r="H404" s="380">
        <f>'Concept-Level Data'!I139</f>
        <v>4</v>
      </c>
      <c r="I404" s="381">
        <f>'Concept-Level Data'!J139</f>
        <v>5</v>
      </c>
    </row>
    <row r="405" spans="2:9" hidden="1" x14ac:dyDescent="0.25">
      <c r="B405" s="251" t="str">
        <f>'Concept-Level Data'!A140</f>
        <v>Respondent 10</v>
      </c>
      <c r="C405" s="793" t="str">
        <f>'Concept-Level Data'!B140</f>
        <v>Potable Reuse</v>
      </c>
      <c r="D405" s="794"/>
      <c r="E405" s="378">
        <f>'Concept-Level Data'!F140</f>
        <v>5</v>
      </c>
      <c r="F405" s="379">
        <f>'Concept-Level Data'!G140</f>
        <v>5</v>
      </c>
      <c r="G405" s="379">
        <f>'Concept-Level Data'!H140</f>
        <v>3</v>
      </c>
      <c r="H405" s="380">
        <f>'Concept-Level Data'!I140</f>
        <v>4</v>
      </c>
      <c r="I405" s="381">
        <f>'Concept-Level Data'!J140</f>
        <v>5</v>
      </c>
    </row>
    <row r="406" spans="2:9" hidden="1" x14ac:dyDescent="0.25">
      <c r="B406" s="251" t="str">
        <f>'Concept-Level Data'!A141</f>
        <v>Respondent 10</v>
      </c>
      <c r="C406" s="793" t="str">
        <f>'Concept-Level Data'!B141</f>
        <v>Recycled Water</v>
      </c>
      <c r="D406" s="794"/>
      <c r="E406" s="378">
        <f>'Concept-Level Data'!F141</f>
        <v>5</v>
      </c>
      <c r="F406" s="379">
        <f>'Concept-Level Data'!G141</f>
        <v>5</v>
      </c>
      <c r="G406" s="379">
        <f>'Concept-Level Data'!H141</f>
        <v>3</v>
      </c>
      <c r="H406" s="380">
        <f>'Concept-Level Data'!I141</f>
        <v>4</v>
      </c>
      <c r="I406" s="381">
        <f>'Concept-Level Data'!J141</f>
        <v>5</v>
      </c>
    </row>
    <row r="407" spans="2:9" hidden="1" x14ac:dyDescent="0.25">
      <c r="B407" s="251" t="str">
        <f>'Concept-Level Data'!A142</f>
        <v>Respondent 10</v>
      </c>
      <c r="C407" s="793" t="str">
        <f>'Concept-Level Data'!B142</f>
        <v>Seawater Desalination</v>
      </c>
      <c r="D407" s="794"/>
      <c r="E407" s="378">
        <f>'Concept-Level Data'!F142</f>
        <v>5</v>
      </c>
      <c r="F407" s="379">
        <f>'Concept-Level Data'!G142</f>
        <v>5</v>
      </c>
      <c r="G407" s="379">
        <f>'Concept-Level Data'!H142</f>
        <v>3</v>
      </c>
      <c r="H407" s="380">
        <f>'Concept-Level Data'!I142</f>
        <v>4</v>
      </c>
      <c r="I407" s="381">
        <f>'Concept-Level Data'!J142</f>
        <v>5</v>
      </c>
    </row>
    <row r="408" spans="2:9" hidden="1" x14ac:dyDescent="0.25">
      <c r="B408" s="251" t="str">
        <f>'Concept-Level Data'!A143</f>
        <v>Respondent 10</v>
      </c>
      <c r="C408" s="793" t="str">
        <f>'Concept-Level Data'!B143</f>
        <v>Stormwater BMPs</v>
      </c>
      <c r="D408" s="794"/>
      <c r="E408" s="378">
        <f>'Concept-Level Data'!F143</f>
        <v>4</v>
      </c>
      <c r="F408" s="379">
        <f>'Concept-Level Data'!G143</f>
        <v>3</v>
      </c>
      <c r="G408" s="379">
        <f>'Concept-Level Data'!H143</f>
        <v>3</v>
      </c>
      <c r="H408" s="380">
        <f>'Concept-Level Data'!I143</f>
        <v>3</v>
      </c>
      <c r="I408" s="381">
        <f>'Concept-Level Data'!J143</f>
        <v>5</v>
      </c>
    </row>
    <row r="409" spans="2:9" hidden="1" x14ac:dyDescent="0.25">
      <c r="B409" s="251" t="str">
        <f>'Concept-Level Data'!A144</f>
        <v>Respondent 10</v>
      </c>
      <c r="C409" s="793" t="str">
        <f>'Concept-Level Data'!B144</f>
        <v>Stormwater Capture</v>
      </c>
      <c r="D409" s="794"/>
      <c r="E409" s="378">
        <f>'Concept-Level Data'!F144</f>
        <v>5</v>
      </c>
      <c r="F409" s="379">
        <f>'Concept-Level Data'!G144</f>
        <v>5</v>
      </c>
      <c r="G409" s="379">
        <f>'Concept-Level Data'!H144</f>
        <v>3</v>
      </c>
      <c r="H409" s="380">
        <f>'Concept-Level Data'!I144</f>
        <v>4</v>
      </c>
      <c r="I409" s="381">
        <f>'Concept-Level Data'!J144</f>
        <v>5</v>
      </c>
    </row>
    <row r="410" spans="2:9" hidden="1" x14ac:dyDescent="0.25">
      <c r="B410" s="251" t="str">
        <f>'Concept-Level Data'!A145</f>
        <v>Respondent 10</v>
      </c>
      <c r="C410" s="793" t="str">
        <f>'Concept-Level Data'!B145</f>
        <v>Urban and Agricultural Water Use Efficiency</v>
      </c>
      <c r="D410" s="794"/>
      <c r="E410" s="378">
        <f>'Concept-Level Data'!F145</f>
        <v>5</v>
      </c>
      <c r="F410" s="379">
        <f>'Concept-Level Data'!G145</f>
        <v>3</v>
      </c>
      <c r="G410" s="379">
        <f>'Concept-Level Data'!H145</f>
        <v>4</v>
      </c>
      <c r="H410" s="380">
        <f>'Concept-Level Data'!I145</f>
        <v>2</v>
      </c>
      <c r="I410" s="381">
        <f>'Concept-Level Data'!J145</f>
        <v>5</v>
      </c>
    </row>
    <row r="411" spans="2:9" hidden="1" x14ac:dyDescent="0.25">
      <c r="B411" s="251" t="str">
        <f>'Concept-Level Data'!A146</f>
        <v>Respondent 10</v>
      </c>
      <c r="C411" s="793" t="str">
        <f>'Concept-Level Data'!B146</f>
        <v>Watershed and Ecosystem Management</v>
      </c>
      <c r="D411" s="794"/>
      <c r="E411" s="378">
        <f>'Concept-Level Data'!F146</f>
        <v>4</v>
      </c>
      <c r="F411" s="379">
        <f>'Concept-Level Data'!G146</f>
        <v>3</v>
      </c>
      <c r="G411" s="379">
        <f>'Concept-Level Data'!H146</f>
        <v>3</v>
      </c>
      <c r="H411" s="380">
        <f>'Concept-Level Data'!I146</f>
        <v>3</v>
      </c>
      <c r="I411" s="381">
        <f>'Concept-Level Data'!J146</f>
        <v>5</v>
      </c>
    </row>
    <row r="412" spans="2:9" hidden="1" x14ac:dyDescent="0.25">
      <c r="B412" s="251" t="str">
        <f>'Concept-Level Data'!A147</f>
        <v>Respondent 11</v>
      </c>
      <c r="C412" s="793" t="str">
        <f>'Concept-Level Data'!B147</f>
        <v>Conveyance Improvement</v>
      </c>
      <c r="D412" s="794"/>
      <c r="E412" s="378">
        <f>'Concept-Level Data'!F147</f>
        <v>4</v>
      </c>
      <c r="F412" s="379">
        <f>'Concept-Level Data'!G147</f>
        <v>5</v>
      </c>
      <c r="G412" s="379">
        <f>'Concept-Level Data'!H147</f>
        <v>4</v>
      </c>
      <c r="H412" s="380">
        <f>'Concept-Level Data'!I147</f>
        <v>3</v>
      </c>
      <c r="I412" s="381">
        <f>'Concept-Level Data'!J147</f>
        <v>3</v>
      </c>
    </row>
    <row r="413" spans="2:9" hidden="1" x14ac:dyDescent="0.25">
      <c r="B413" s="251" t="str">
        <f>'Concept-Level Data'!A148</f>
        <v>Respondent 11</v>
      </c>
      <c r="C413" s="793" t="str">
        <f>'Concept-Level Data'!B148</f>
        <v>Drought Restriction/Allocation</v>
      </c>
      <c r="D413" s="794"/>
      <c r="E413" s="378">
        <f>'Concept-Level Data'!F148</f>
        <v>3</v>
      </c>
      <c r="F413" s="379">
        <f>'Concept-Level Data'!G148</f>
        <v>3</v>
      </c>
      <c r="G413" s="379">
        <f>'Concept-Level Data'!H148</f>
        <v>3</v>
      </c>
      <c r="H413" s="380">
        <f>'Concept-Level Data'!I148</f>
        <v>3</v>
      </c>
      <c r="I413" s="381" t="str">
        <f>'Concept-Level Data'!J148</f>
        <v>MISSING</v>
      </c>
    </row>
    <row r="414" spans="2:9" hidden="1" x14ac:dyDescent="0.25">
      <c r="B414" s="251" t="str">
        <f>'Concept-Level Data'!A149</f>
        <v>Respondent 11</v>
      </c>
      <c r="C414" s="793" t="str">
        <f>'Concept-Level Data'!B149</f>
        <v>Firm Water Supply Agreements</v>
      </c>
      <c r="D414" s="794"/>
      <c r="E414" s="378">
        <f>'Concept-Level Data'!F149</f>
        <v>3</v>
      </c>
      <c r="F414" s="379">
        <f>'Concept-Level Data'!G149</f>
        <v>2</v>
      </c>
      <c r="G414" s="379">
        <f>'Concept-Level Data'!H149</f>
        <v>3</v>
      </c>
      <c r="H414" s="380">
        <f>'Concept-Level Data'!I149</f>
        <v>3</v>
      </c>
      <c r="I414" s="381">
        <f>'Concept-Level Data'!J149</f>
        <v>3</v>
      </c>
    </row>
    <row r="415" spans="2:9" hidden="1" x14ac:dyDescent="0.25">
      <c r="B415" s="251" t="str">
        <f>'Concept-Level Data'!A150</f>
        <v>Respondent 11</v>
      </c>
      <c r="C415" s="793" t="str">
        <f>'Concept-Level Data'!B150</f>
        <v>Gray Water Use</v>
      </c>
      <c r="D415" s="794"/>
      <c r="E415" s="378">
        <f>'Concept-Level Data'!F150</f>
        <v>5</v>
      </c>
      <c r="F415" s="379">
        <f>'Concept-Level Data'!G150</f>
        <v>3</v>
      </c>
      <c r="G415" s="379">
        <f>'Concept-Level Data'!H150</f>
        <v>3</v>
      </c>
      <c r="H415" s="380">
        <f>'Concept-Level Data'!I150</f>
        <v>2</v>
      </c>
      <c r="I415" s="381">
        <f>'Concept-Level Data'!J150</f>
        <v>3</v>
      </c>
    </row>
    <row r="416" spans="2:9" hidden="1" x14ac:dyDescent="0.25">
      <c r="B416" s="251" t="str">
        <f>'Concept-Level Data'!A151</f>
        <v>Respondent 11</v>
      </c>
      <c r="C416" s="793" t="str">
        <f>'Concept-Level Data'!B151</f>
        <v>Groundwater</v>
      </c>
      <c r="D416" s="794"/>
      <c r="E416" s="378">
        <f>'Concept-Level Data'!F151</f>
        <v>5</v>
      </c>
      <c r="F416" s="379">
        <f>'Concept-Level Data'!G151</f>
        <v>3</v>
      </c>
      <c r="G416" s="379">
        <f>'Concept-Level Data'!H151</f>
        <v>3</v>
      </c>
      <c r="H416" s="380">
        <f>'Concept-Level Data'!I151</f>
        <v>3</v>
      </c>
      <c r="I416" s="381">
        <f>'Concept-Level Data'!J151</f>
        <v>4</v>
      </c>
    </row>
    <row r="417" spans="2:9" hidden="1" x14ac:dyDescent="0.25">
      <c r="B417" s="251" t="str">
        <f>'Concept-Level Data'!A152</f>
        <v>Respondent 11</v>
      </c>
      <c r="C417" s="793" t="str">
        <f>'Concept-Level Data'!B152</f>
        <v>Imported Water Purchases</v>
      </c>
      <c r="D417" s="794"/>
      <c r="E417" s="378">
        <f>'Concept-Level Data'!F152</f>
        <v>5</v>
      </c>
      <c r="F417" s="379">
        <f>'Concept-Level Data'!G152</f>
        <v>3</v>
      </c>
      <c r="G417" s="379">
        <f>'Concept-Level Data'!H152</f>
        <v>3</v>
      </c>
      <c r="H417" s="380">
        <f>'Concept-Level Data'!I152</f>
        <v>3</v>
      </c>
      <c r="I417" s="381">
        <f>'Concept-Level Data'!J152</f>
        <v>3</v>
      </c>
    </row>
    <row r="418" spans="2:9" hidden="1" x14ac:dyDescent="0.25">
      <c r="B418" s="251" t="str">
        <f>'Concept-Level Data'!A153</f>
        <v>Respondent 11</v>
      </c>
      <c r="C418" s="793" t="str">
        <f>'Concept-Level Data'!B153</f>
        <v>Local Surface Water Reservoirs</v>
      </c>
      <c r="D418" s="794"/>
      <c r="E418" s="378">
        <f>'Concept-Level Data'!F153</f>
        <v>4</v>
      </c>
      <c r="F418" s="379">
        <f>'Concept-Level Data'!G153</f>
        <v>3</v>
      </c>
      <c r="G418" s="379">
        <f>'Concept-Level Data'!H153</f>
        <v>3</v>
      </c>
      <c r="H418" s="380">
        <f>'Concept-Level Data'!I153</f>
        <v>3</v>
      </c>
      <c r="I418" s="381">
        <f>'Concept-Level Data'!J153</f>
        <v>3</v>
      </c>
    </row>
    <row r="419" spans="2:9" hidden="1" x14ac:dyDescent="0.25">
      <c r="B419" s="251" t="str">
        <f>'Concept-Level Data'!A154</f>
        <v>Respondent 11</v>
      </c>
      <c r="C419" s="793" t="str">
        <f>'Concept-Level Data'!B154</f>
        <v>Potable Reuse</v>
      </c>
      <c r="D419" s="794"/>
      <c r="E419" s="378">
        <f>'Concept-Level Data'!F154</f>
        <v>5</v>
      </c>
      <c r="F419" s="379">
        <f>'Concept-Level Data'!G154</f>
        <v>3</v>
      </c>
      <c r="G419" s="379">
        <f>'Concept-Level Data'!H154</f>
        <v>3</v>
      </c>
      <c r="H419" s="380">
        <f>'Concept-Level Data'!I154</f>
        <v>4</v>
      </c>
      <c r="I419" s="381">
        <f>'Concept-Level Data'!J154</f>
        <v>3</v>
      </c>
    </row>
    <row r="420" spans="2:9" hidden="1" x14ac:dyDescent="0.25">
      <c r="B420" s="251" t="str">
        <f>'Concept-Level Data'!A155</f>
        <v>Respondent 11</v>
      </c>
      <c r="C420" s="793" t="str">
        <f>'Concept-Level Data'!B155</f>
        <v>Recycled Water</v>
      </c>
      <c r="D420" s="794"/>
      <c r="E420" s="378">
        <f>'Concept-Level Data'!F155</f>
        <v>5</v>
      </c>
      <c r="F420" s="379">
        <f>'Concept-Level Data'!G155</f>
        <v>3</v>
      </c>
      <c r="G420" s="379">
        <f>'Concept-Level Data'!H155</f>
        <v>3</v>
      </c>
      <c r="H420" s="380">
        <f>'Concept-Level Data'!I155</f>
        <v>4</v>
      </c>
      <c r="I420" s="381">
        <f>'Concept-Level Data'!J155</f>
        <v>3</v>
      </c>
    </row>
    <row r="421" spans="2:9" hidden="1" x14ac:dyDescent="0.25">
      <c r="B421" s="251" t="str">
        <f>'Concept-Level Data'!A156</f>
        <v>Respondent 11</v>
      </c>
      <c r="C421" s="793" t="str">
        <f>'Concept-Level Data'!B156</f>
        <v>Seawater Desalination</v>
      </c>
      <c r="D421" s="794"/>
      <c r="E421" s="378">
        <f>'Concept-Level Data'!F156</f>
        <v>5</v>
      </c>
      <c r="F421" s="379">
        <f>'Concept-Level Data'!G156</f>
        <v>3</v>
      </c>
      <c r="G421" s="379">
        <f>'Concept-Level Data'!H156</f>
        <v>3</v>
      </c>
      <c r="H421" s="380">
        <f>'Concept-Level Data'!I156</f>
        <v>4</v>
      </c>
      <c r="I421" s="381">
        <f>'Concept-Level Data'!J156</f>
        <v>3</v>
      </c>
    </row>
    <row r="422" spans="2:9" hidden="1" x14ac:dyDescent="0.25">
      <c r="B422" s="251" t="str">
        <f>'Concept-Level Data'!A157</f>
        <v>Respondent 11</v>
      </c>
      <c r="C422" s="793" t="str">
        <f>'Concept-Level Data'!B157</f>
        <v>Stormwater BMPs</v>
      </c>
      <c r="D422" s="794"/>
      <c r="E422" s="378">
        <f>'Concept-Level Data'!F157</f>
        <v>4</v>
      </c>
      <c r="F422" s="379">
        <f>'Concept-Level Data'!G157</f>
        <v>3</v>
      </c>
      <c r="G422" s="379">
        <f>'Concept-Level Data'!H157</f>
        <v>3</v>
      </c>
      <c r="H422" s="380">
        <f>'Concept-Level Data'!I157</f>
        <v>3</v>
      </c>
      <c r="I422" s="381">
        <f>'Concept-Level Data'!J157</f>
        <v>3</v>
      </c>
    </row>
    <row r="423" spans="2:9" hidden="1" x14ac:dyDescent="0.25">
      <c r="B423" s="251" t="str">
        <f>'Concept-Level Data'!A158</f>
        <v>Respondent 11</v>
      </c>
      <c r="C423" s="793" t="str">
        <f>'Concept-Level Data'!B158</f>
        <v>Stormwater Capture</v>
      </c>
      <c r="D423" s="794"/>
      <c r="E423" s="378">
        <f>'Concept-Level Data'!F158</f>
        <v>5</v>
      </c>
      <c r="F423" s="379">
        <f>'Concept-Level Data'!G158</f>
        <v>3</v>
      </c>
      <c r="G423" s="379">
        <f>'Concept-Level Data'!H158</f>
        <v>2</v>
      </c>
      <c r="H423" s="380">
        <f>'Concept-Level Data'!I158</f>
        <v>3</v>
      </c>
      <c r="I423" s="381">
        <f>'Concept-Level Data'!J158</f>
        <v>3</v>
      </c>
    </row>
    <row r="424" spans="2:9" hidden="1" x14ac:dyDescent="0.25">
      <c r="B424" s="251" t="str">
        <f>'Concept-Level Data'!A159</f>
        <v>Respondent 11</v>
      </c>
      <c r="C424" s="793" t="str">
        <f>'Concept-Level Data'!B159</f>
        <v>Urban and Agricultural Water Use Efficiency</v>
      </c>
      <c r="D424" s="794"/>
      <c r="E424" s="378">
        <f>'Concept-Level Data'!F159</f>
        <v>4</v>
      </c>
      <c r="F424" s="379">
        <f>'Concept-Level Data'!G159</f>
        <v>3</v>
      </c>
      <c r="G424" s="379">
        <f>'Concept-Level Data'!H159</f>
        <v>3</v>
      </c>
      <c r="H424" s="380">
        <f>'Concept-Level Data'!I159</f>
        <v>3</v>
      </c>
      <c r="I424" s="381">
        <f>'Concept-Level Data'!J159</f>
        <v>3</v>
      </c>
    </row>
    <row r="425" spans="2:9" hidden="1" x14ac:dyDescent="0.25">
      <c r="B425" s="251" t="str">
        <f>'Concept-Level Data'!A160</f>
        <v>Respondent 11</v>
      </c>
      <c r="C425" s="793" t="str">
        <f>'Concept-Level Data'!B160</f>
        <v>Watershed and Ecosystem Management</v>
      </c>
      <c r="D425" s="794"/>
      <c r="E425" s="378">
        <f>'Concept-Level Data'!F160</f>
        <v>3</v>
      </c>
      <c r="F425" s="379">
        <f>'Concept-Level Data'!G160</f>
        <v>3</v>
      </c>
      <c r="G425" s="379">
        <f>'Concept-Level Data'!H160</f>
        <v>3</v>
      </c>
      <c r="H425" s="380">
        <f>'Concept-Level Data'!I160</f>
        <v>3</v>
      </c>
      <c r="I425" s="381">
        <f>'Concept-Level Data'!J160</f>
        <v>2</v>
      </c>
    </row>
    <row r="426" spans="2:9" hidden="1" x14ac:dyDescent="0.25">
      <c r="B426" s="251" t="str">
        <f>'Concept-Level Data'!A161</f>
        <v>Respondent 12</v>
      </c>
      <c r="C426" s="793" t="str">
        <f>'Concept-Level Data'!B161</f>
        <v>Conveyance Improvement</v>
      </c>
      <c r="D426" s="794"/>
      <c r="E426" s="378">
        <f>'Concept-Level Data'!F161</f>
        <v>5</v>
      </c>
      <c r="F426" s="379">
        <f>'Concept-Level Data'!G161</f>
        <v>5</v>
      </c>
      <c r="G426" s="379">
        <f>'Concept-Level Data'!H161</f>
        <v>4</v>
      </c>
      <c r="H426" s="380">
        <f>'Concept-Level Data'!I161</f>
        <v>3</v>
      </c>
      <c r="I426" s="381">
        <f>'Concept-Level Data'!J161</f>
        <v>5</v>
      </c>
    </row>
    <row r="427" spans="2:9" hidden="1" x14ac:dyDescent="0.25">
      <c r="B427" s="251" t="str">
        <f>'Concept-Level Data'!A162</f>
        <v>Respondent 12</v>
      </c>
      <c r="C427" s="793" t="str">
        <f>'Concept-Level Data'!B162</f>
        <v>Drought Restriction/Allocation</v>
      </c>
      <c r="D427" s="794"/>
      <c r="E427" s="378">
        <f>'Concept-Level Data'!F162</f>
        <v>3</v>
      </c>
      <c r="F427" s="379">
        <f>'Concept-Level Data'!G162</f>
        <v>2</v>
      </c>
      <c r="G427" s="379">
        <f>'Concept-Level Data'!H162</f>
        <v>3</v>
      </c>
      <c r="H427" s="380">
        <f>'Concept-Level Data'!I162</f>
        <v>2</v>
      </c>
      <c r="I427" s="381">
        <f>'Concept-Level Data'!J162</f>
        <v>3</v>
      </c>
    </row>
    <row r="428" spans="2:9" hidden="1" x14ac:dyDescent="0.25">
      <c r="B428" s="251" t="str">
        <f>'Concept-Level Data'!A163</f>
        <v>Respondent 12</v>
      </c>
      <c r="C428" s="793" t="str">
        <f>'Concept-Level Data'!B163</f>
        <v>Firm Water Supply Agreements</v>
      </c>
      <c r="D428" s="794"/>
      <c r="E428" s="378">
        <f>'Concept-Level Data'!F163</f>
        <v>1</v>
      </c>
      <c r="F428" s="379">
        <f>'Concept-Level Data'!G163</f>
        <v>3</v>
      </c>
      <c r="G428" s="379">
        <f>'Concept-Level Data'!H163</f>
        <v>3</v>
      </c>
      <c r="H428" s="380">
        <f>'Concept-Level Data'!I163</f>
        <v>3</v>
      </c>
      <c r="I428" s="381">
        <f>'Concept-Level Data'!J163</f>
        <v>2</v>
      </c>
    </row>
    <row r="429" spans="2:9" hidden="1" x14ac:dyDescent="0.25">
      <c r="B429" s="251" t="str">
        <f>'Concept-Level Data'!A164</f>
        <v>Respondent 12</v>
      </c>
      <c r="C429" s="793" t="str">
        <f>'Concept-Level Data'!B164</f>
        <v>Gray Water Use</v>
      </c>
      <c r="D429" s="794"/>
      <c r="E429" s="378">
        <f>'Concept-Level Data'!F164</f>
        <v>5</v>
      </c>
      <c r="F429" s="379">
        <f>'Concept-Level Data'!G164</f>
        <v>3</v>
      </c>
      <c r="G429" s="379">
        <f>'Concept-Level Data'!H164</f>
        <v>3</v>
      </c>
      <c r="H429" s="380">
        <f>'Concept-Level Data'!I164</f>
        <v>2</v>
      </c>
      <c r="I429" s="381">
        <f>'Concept-Level Data'!J164</f>
        <v>3</v>
      </c>
    </row>
    <row r="430" spans="2:9" hidden="1" x14ac:dyDescent="0.25">
      <c r="B430" s="251" t="str">
        <f>'Concept-Level Data'!A165</f>
        <v>Respondent 12</v>
      </c>
      <c r="C430" s="793" t="str">
        <f>'Concept-Level Data'!B165</f>
        <v>Groundwater</v>
      </c>
      <c r="D430" s="794"/>
      <c r="E430" s="378">
        <f>'Concept-Level Data'!F165</f>
        <v>5</v>
      </c>
      <c r="F430" s="379">
        <f>'Concept-Level Data'!G165</f>
        <v>3</v>
      </c>
      <c r="G430" s="379">
        <f>'Concept-Level Data'!H165</f>
        <v>3</v>
      </c>
      <c r="H430" s="380">
        <f>'Concept-Level Data'!I165</f>
        <v>3</v>
      </c>
      <c r="I430" s="381">
        <f>'Concept-Level Data'!J165</f>
        <v>3</v>
      </c>
    </row>
    <row r="431" spans="2:9" hidden="1" x14ac:dyDescent="0.25">
      <c r="B431" s="251" t="str">
        <f>'Concept-Level Data'!A166</f>
        <v>Respondent 12</v>
      </c>
      <c r="C431" s="793" t="str">
        <f>'Concept-Level Data'!B166</f>
        <v>Imported Water Purchases</v>
      </c>
      <c r="D431" s="794"/>
      <c r="E431" s="378">
        <f>'Concept-Level Data'!F166</f>
        <v>1</v>
      </c>
      <c r="F431" s="379">
        <f>'Concept-Level Data'!G166</f>
        <v>1</v>
      </c>
      <c r="G431" s="379">
        <f>'Concept-Level Data'!H166</f>
        <v>2</v>
      </c>
      <c r="H431" s="380">
        <f>'Concept-Level Data'!I166</f>
        <v>4</v>
      </c>
      <c r="I431" s="381">
        <f>'Concept-Level Data'!J166</f>
        <v>2</v>
      </c>
    </row>
    <row r="432" spans="2:9" hidden="1" x14ac:dyDescent="0.25">
      <c r="B432" s="251" t="str">
        <f>'Concept-Level Data'!A167</f>
        <v>Respondent 12</v>
      </c>
      <c r="C432" s="793" t="str">
        <f>'Concept-Level Data'!B167</f>
        <v>Local Surface Water Reservoirs</v>
      </c>
      <c r="D432" s="794"/>
      <c r="E432" s="378">
        <f>'Concept-Level Data'!F167</f>
        <v>3</v>
      </c>
      <c r="F432" s="379">
        <f>'Concept-Level Data'!G167</f>
        <v>1</v>
      </c>
      <c r="G432" s="379">
        <f>'Concept-Level Data'!H167</f>
        <v>2</v>
      </c>
      <c r="H432" s="380">
        <f>'Concept-Level Data'!I167</f>
        <v>4</v>
      </c>
      <c r="I432" s="381">
        <f>'Concept-Level Data'!J167</f>
        <v>4</v>
      </c>
    </row>
    <row r="433" spans="2:9" hidden="1" x14ac:dyDescent="0.25">
      <c r="B433" s="251" t="str">
        <f>'Concept-Level Data'!A168</f>
        <v>Respondent 12</v>
      </c>
      <c r="C433" s="793" t="str">
        <f>'Concept-Level Data'!B168</f>
        <v>Potable Reuse</v>
      </c>
      <c r="D433" s="794"/>
      <c r="E433" s="378">
        <f>'Concept-Level Data'!F168</f>
        <v>5</v>
      </c>
      <c r="F433" s="379">
        <f>'Concept-Level Data'!G168</f>
        <v>1</v>
      </c>
      <c r="G433" s="379">
        <f>'Concept-Level Data'!H168</f>
        <v>2</v>
      </c>
      <c r="H433" s="380">
        <f>'Concept-Level Data'!I168</f>
        <v>2</v>
      </c>
      <c r="I433" s="381">
        <f>'Concept-Level Data'!J168</f>
        <v>5</v>
      </c>
    </row>
    <row r="434" spans="2:9" hidden="1" x14ac:dyDescent="0.25">
      <c r="B434" s="251" t="str">
        <f>'Concept-Level Data'!A169</f>
        <v>Respondent 12</v>
      </c>
      <c r="C434" s="793" t="str">
        <f>'Concept-Level Data'!B169</f>
        <v>Recycled Water</v>
      </c>
      <c r="D434" s="794"/>
      <c r="E434" s="378">
        <f>'Concept-Level Data'!F169</f>
        <v>5</v>
      </c>
      <c r="F434" s="379">
        <f>'Concept-Level Data'!G169</f>
        <v>1</v>
      </c>
      <c r="G434" s="379">
        <f>'Concept-Level Data'!H169</f>
        <v>2</v>
      </c>
      <c r="H434" s="380">
        <f>'Concept-Level Data'!I169</f>
        <v>2</v>
      </c>
      <c r="I434" s="381">
        <f>'Concept-Level Data'!J169</f>
        <v>4</v>
      </c>
    </row>
    <row r="435" spans="2:9" hidden="1" x14ac:dyDescent="0.25">
      <c r="B435" s="251" t="str">
        <f>'Concept-Level Data'!A170</f>
        <v>Respondent 12</v>
      </c>
      <c r="C435" s="793" t="str">
        <f>'Concept-Level Data'!B170</f>
        <v>Seawater Desalination</v>
      </c>
      <c r="D435" s="794"/>
      <c r="E435" s="378">
        <f>'Concept-Level Data'!F170</f>
        <v>5</v>
      </c>
      <c r="F435" s="379">
        <f>'Concept-Level Data'!G170</f>
        <v>1</v>
      </c>
      <c r="G435" s="379">
        <f>'Concept-Level Data'!H170</f>
        <v>2</v>
      </c>
      <c r="H435" s="380">
        <f>'Concept-Level Data'!I170</f>
        <v>4</v>
      </c>
      <c r="I435" s="381">
        <f>'Concept-Level Data'!J170</f>
        <v>4</v>
      </c>
    </row>
    <row r="436" spans="2:9" hidden="1" x14ac:dyDescent="0.25">
      <c r="B436" s="251" t="str">
        <f>'Concept-Level Data'!A171</f>
        <v>Respondent 12</v>
      </c>
      <c r="C436" s="793" t="str">
        <f>'Concept-Level Data'!B171</f>
        <v>Stormwater BMPs</v>
      </c>
      <c r="D436" s="794"/>
      <c r="E436" s="378">
        <f>'Concept-Level Data'!F171</f>
        <v>3</v>
      </c>
      <c r="F436" s="379">
        <f>'Concept-Level Data'!G171</f>
        <v>3</v>
      </c>
      <c r="G436" s="379">
        <f>'Concept-Level Data'!H171</f>
        <v>3</v>
      </c>
      <c r="H436" s="380">
        <f>'Concept-Level Data'!I171</f>
        <v>3</v>
      </c>
      <c r="I436" s="381">
        <f>'Concept-Level Data'!J171</f>
        <v>3</v>
      </c>
    </row>
    <row r="437" spans="2:9" hidden="1" x14ac:dyDescent="0.25">
      <c r="B437" s="251" t="str">
        <f>'Concept-Level Data'!A172</f>
        <v>Respondent 12</v>
      </c>
      <c r="C437" s="793" t="str">
        <f>'Concept-Level Data'!B172</f>
        <v>Stormwater Capture</v>
      </c>
      <c r="D437" s="794"/>
      <c r="E437" s="378">
        <f>'Concept-Level Data'!F172</f>
        <v>5</v>
      </c>
      <c r="F437" s="379">
        <f>'Concept-Level Data'!G172</f>
        <v>1</v>
      </c>
      <c r="G437" s="379">
        <f>'Concept-Level Data'!H172</f>
        <v>3</v>
      </c>
      <c r="H437" s="380">
        <f>'Concept-Level Data'!I172</f>
        <v>4</v>
      </c>
      <c r="I437" s="381">
        <f>'Concept-Level Data'!J172</f>
        <v>4</v>
      </c>
    </row>
    <row r="438" spans="2:9" hidden="1" x14ac:dyDescent="0.25">
      <c r="B438" s="251" t="str">
        <f>'Concept-Level Data'!A173</f>
        <v>Respondent 12</v>
      </c>
      <c r="C438" s="793" t="str">
        <f>'Concept-Level Data'!B173</f>
        <v>Urban and Agricultural Water Use Efficiency</v>
      </c>
      <c r="D438" s="794"/>
      <c r="E438" s="378">
        <f>'Concept-Level Data'!F173</f>
        <v>3</v>
      </c>
      <c r="F438" s="379">
        <f>'Concept-Level Data'!G173</f>
        <v>5</v>
      </c>
      <c r="G438" s="379">
        <f>'Concept-Level Data'!H173</f>
        <v>5</v>
      </c>
      <c r="H438" s="380">
        <f>'Concept-Level Data'!I173</f>
        <v>1</v>
      </c>
      <c r="I438" s="381">
        <f>'Concept-Level Data'!J173</f>
        <v>2</v>
      </c>
    </row>
    <row r="439" spans="2:9" hidden="1" x14ac:dyDescent="0.25">
      <c r="B439" s="251" t="str">
        <f>'Concept-Level Data'!A174</f>
        <v>Respondent 12</v>
      </c>
      <c r="C439" s="793" t="str">
        <f>'Concept-Level Data'!B174</f>
        <v>Watershed and Ecosystem Management</v>
      </c>
      <c r="D439" s="794"/>
      <c r="E439" s="378">
        <f>'Concept-Level Data'!F174</f>
        <v>3</v>
      </c>
      <c r="F439" s="379">
        <f>'Concept-Level Data'!G174</f>
        <v>3</v>
      </c>
      <c r="G439" s="379">
        <f>'Concept-Level Data'!H174</f>
        <v>3</v>
      </c>
      <c r="H439" s="380">
        <f>'Concept-Level Data'!I174</f>
        <v>3</v>
      </c>
      <c r="I439" s="381">
        <f>'Concept-Level Data'!J174</f>
        <v>3</v>
      </c>
    </row>
    <row r="440" spans="2:9" hidden="1" x14ac:dyDescent="0.25">
      <c r="B440" s="251" t="str">
        <f>'Concept-Level Data'!A175</f>
        <v>Respondent 13</v>
      </c>
      <c r="C440" s="793" t="str">
        <f>'Concept-Level Data'!B175</f>
        <v>Conveyance Improvement</v>
      </c>
      <c r="D440" s="794"/>
      <c r="E440" s="378">
        <f>'Concept-Level Data'!F175</f>
        <v>5</v>
      </c>
      <c r="F440" s="379">
        <f>'Concept-Level Data'!G175</f>
        <v>5</v>
      </c>
      <c r="G440" s="379">
        <f>'Concept-Level Data'!H175</f>
        <v>5</v>
      </c>
      <c r="H440" s="380">
        <f>'Concept-Level Data'!I175</f>
        <v>5</v>
      </c>
      <c r="I440" s="381">
        <f>'Concept-Level Data'!J175</f>
        <v>5</v>
      </c>
    </row>
    <row r="441" spans="2:9" hidden="1" x14ac:dyDescent="0.25">
      <c r="B441" s="251" t="str">
        <f>'Concept-Level Data'!A176</f>
        <v>Respondent 13</v>
      </c>
      <c r="C441" s="793" t="str">
        <f>'Concept-Level Data'!B176</f>
        <v>Drought Restriction/Allocation</v>
      </c>
      <c r="D441" s="794"/>
      <c r="E441" s="378">
        <f>'Concept-Level Data'!F176</f>
        <v>3</v>
      </c>
      <c r="F441" s="379">
        <f>'Concept-Level Data'!G176</f>
        <v>3</v>
      </c>
      <c r="G441" s="379">
        <f>'Concept-Level Data'!H176</f>
        <v>3</v>
      </c>
      <c r="H441" s="380">
        <f>'Concept-Level Data'!I176</f>
        <v>2</v>
      </c>
      <c r="I441" s="381">
        <f>'Concept-Level Data'!J176</f>
        <v>4</v>
      </c>
    </row>
    <row r="442" spans="2:9" hidden="1" x14ac:dyDescent="0.25">
      <c r="B442" s="251" t="str">
        <f>'Concept-Level Data'!A177</f>
        <v>Respondent 13</v>
      </c>
      <c r="C442" s="793" t="str">
        <f>'Concept-Level Data'!B177</f>
        <v>Firm Water Supply Agreements</v>
      </c>
      <c r="D442" s="794"/>
      <c r="E442" s="378">
        <f>'Concept-Level Data'!F177</f>
        <v>4</v>
      </c>
      <c r="F442" s="379">
        <f>'Concept-Level Data'!G177</f>
        <v>3</v>
      </c>
      <c r="G442" s="379">
        <f>'Concept-Level Data'!H177</f>
        <v>3</v>
      </c>
      <c r="H442" s="380">
        <f>'Concept-Level Data'!I177</f>
        <v>3</v>
      </c>
      <c r="I442" s="381">
        <f>'Concept-Level Data'!J177</f>
        <v>4</v>
      </c>
    </row>
    <row r="443" spans="2:9" hidden="1" x14ac:dyDescent="0.25">
      <c r="B443" s="251" t="str">
        <f>'Concept-Level Data'!A178</f>
        <v>Respondent 13</v>
      </c>
      <c r="C443" s="793" t="str">
        <f>'Concept-Level Data'!B178</f>
        <v>Gray Water Use</v>
      </c>
      <c r="D443" s="794"/>
      <c r="E443" s="378">
        <f>'Concept-Level Data'!F178</f>
        <v>4</v>
      </c>
      <c r="F443" s="379">
        <f>'Concept-Level Data'!G178</f>
        <v>3</v>
      </c>
      <c r="G443" s="379">
        <f>'Concept-Level Data'!H178</f>
        <v>3</v>
      </c>
      <c r="H443" s="380">
        <f>'Concept-Level Data'!I178</f>
        <v>2</v>
      </c>
      <c r="I443" s="381">
        <f>'Concept-Level Data'!J178</f>
        <v>3</v>
      </c>
    </row>
    <row r="444" spans="2:9" hidden="1" x14ac:dyDescent="0.25">
      <c r="B444" s="251" t="str">
        <f>'Concept-Level Data'!A179</f>
        <v>Respondent 13</v>
      </c>
      <c r="C444" s="793" t="str">
        <f>'Concept-Level Data'!B179</f>
        <v>Groundwater</v>
      </c>
      <c r="D444" s="794"/>
      <c r="E444" s="378">
        <f>'Concept-Level Data'!F179</f>
        <v>4</v>
      </c>
      <c r="F444" s="379">
        <f>'Concept-Level Data'!G179</f>
        <v>4</v>
      </c>
      <c r="G444" s="379">
        <f>'Concept-Level Data'!H179</f>
        <v>3</v>
      </c>
      <c r="H444" s="380">
        <f>'Concept-Level Data'!I179</f>
        <v>3</v>
      </c>
      <c r="I444" s="381">
        <f>'Concept-Level Data'!J179</f>
        <v>4</v>
      </c>
    </row>
    <row r="445" spans="2:9" hidden="1" x14ac:dyDescent="0.25">
      <c r="B445" s="251" t="str">
        <f>'Concept-Level Data'!A180</f>
        <v>Respondent 13</v>
      </c>
      <c r="C445" s="793" t="str">
        <f>'Concept-Level Data'!B180</f>
        <v>Imported Water Purchases</v>
      </c>
      <c r="D445" s="794"/>
      <c r="E445" s="378">
        <f>'Concept-Level Data'!F180</f>
        <v>1</v>
      </c>
      <c r="F445" s="379">
        <f>'Concept-Level Data'!G180</f>
        <v>3</v>
      </c>
      <c r="G445" s="379">
        <f>'Concept-Level Data'!H180</f>
        <v>2</v>
      </c>
      <c r="H445" s="380">
        <f>'Concept-Level Data'!I180</f>
        <v>3</v>
      </c>
      <c r="I445" s="381">
        <f>'Concept-Level Data'!J180</f>
        <v>4</v>
      </c>
    </row>
    <row r="446" spans="2:9" hidden="1" x14ac:dyDescent="0.25">
      <c r="B446" s="251" t="str">
        <f>'Concept-Level Data'!A181</f>
        <v>Respondent 13</v>
      </c>
      <c r="C446" s="793" t="str">
        <f>'Concept-Level Data'!B181</f>
        <v>Local Surface Water Reservoirs</v>
      </c>
      <c r="D446" s="794"/>
      <c r="E446" s="378">
        <f>'Concept-Level Data'!F181</f>
        <v>4</v>
      </c>
      <c r="F446" s="379">
        <f>'Concept-Level Data'!G181</f>
        <v>4</v>
      </c>
      <c r="G446" s="379">
        <f>'Concept-Level Data'!H181</f>
        <v>3</v>
      </c>
      <c r="H446" s="380">
        <f>'Concept-Level Data'!I181</f>
        <v>3</v>
      </c>
      <c r="I446" s="381">
        <f>'Concept-Level Data'!J181</f>
        <v>5</v>
      </c>
    </row>
    <row r="447" spans="2:9" hidden="1" x14ac:dyDescent="0.25">
      <c r="B447" s="251" t="str">
        <f>'Concept-Level Data'!A182</f>
        <v>Respondent 13</v>
      </c>
      <c r="C447" s="793" t="str">
        <f>'Concept-Level Data'!B182</f>
        <v>Potable Reuse</v>
      </c>
      <c r="D447" s="794"/>
      <c r="E447" s="378">
        <f>'Concept-Level Data'!F182</f>
        <v>5</v>
      </c>
      <c r="F447" s="379">
        <f>'Concept-Level Data'!G182</f>
        <v>5</v>
      </c>
      <c r="G447" s="379">
        <f>'Concept-Level Data'!H182</f>
        <v>3</v>
      </c>
      <c r="H447" s="380">
        <f>'Concept-Level Data'!I182</f>
        <v>4</v>
      </c>
      <c r="I447" s="381">
        <f>'Concept-Level Data'!J182</f>
        <v>4</v>
      </c>
    </row>
    <row r="448" spans="2:9" hidden="1" x14ac:dyDescent="0.25">
      <c r="B448" s="251" t="str">
        <f>'Concept-Level Data'!A183</f>
        <v>Respondent 13</v>
      </c>
      <c r="C448" s="793" t="str">
        <f>'Concept-Level Data'!B183</f>
        <v>Recycled Water</v>
      </c>
      <c r="D448" s="794"/>
      <c r="E448" s="378">
        <f>'Concept-Level Data'!F183</f>
        <v>5</v>
      </c>
      <c r="F448" s="379">
        <f>'Concept-Level Data'!G183</f>
        <v>4</v>
      </c>
      <c r="G448" s="379">
        <f>'Concept-Level Data'!H183</f>
        <v>3</v>
      </c>
      <c r="H448" s="380">
        <f>'Concept-Level Data'!I183</f>
        <v>2</v>
      </c>
      <c r="I448" s="381">
        <f>'Concept-Level Data'!J183</f>
        <v>4</v>
      </c>
    </row>
    <row r="449" spans="2:9" hidden="1" x14ac:dyDescent="0.25">
      <c r="B449" s="251" t="str">
        <f>'Concept-Level Data'!A184</f>
        <v>Respondent 13</v>
      </c>
      <c r="C449" s="793" t="str">
        <f>'Concept-Level Data'!B184</f>
        <v>Seawater Desalination</v>
      </c>
      <c r="D449" s="794"/>
      <c r="E449" s="378">
        <f>'Concept-Level Data'!F184</f>
        <v>5</v>
      </c>
      <c r="F449" s="379">
        <f>'Concept-Level Data'!G184</f>
        <v>5</v>
      </c>
      <c r="G449" s="379">
        <f>'Concept-Level Data'!H184</f>
        <v>3</v>
      </c>
      <c r="H449" s="380">
        <f>'Concept-Level Data'!I184</f>
        <v>3</v>
      </c>
      <c r="I449" s="381">
        <f>'Concept-Level Data'!J184</f>
        <v>3</v>
      </c>
    </row>
    <row r="450" spans="2:9" hidden="1" x14ac:dyDescent="0.25">
      <c r="B450" s="251" t="str">
        <f>'Concept-Level Data'!A185</f>
        <v>Respondent 13</v>
      </c>
      <c r="C450" s="793" t="str">
        <f>'Concept-Level Data'!B185</f>
        <v>Stormwater BMPs</v>
      </c>
      <c r="D450" s="794"/>
      <c r="E450" s="378">
        <f>'Concept-Level Data'!F185</f>
        <v>4</v>
      </c>
      <c r="F450" s="379">
        <f>'Concept-Level Data'!G185</f>
        <v>3</v>
      </c>
      <c r="G450" s="379">
        <f>'Concept-Level Data'!H185</f>
        <v>4</v>
      </c>
      <c r="H450" s="380">
        <f>'Concept-Level Data'!I185</f>
        <v>4</v>
      </c>
      <c r="I450" s="381">
        <f>'Concept-Level Data'!J185</f>
        <v>4</v>
      </c>
    </row>
    <row r="451" spans="2:9" hidden="1" x14ac:dyDescent="0.25">
      <c r="B451" s="251" t="str">
        <f>'Concept-Level Data'!A186</f>
        <v>Respondent 13</v>
      </c>
      <c r="C451" s="793" t="str">
        <f>'Concept-Level Data'!B186</f>
        <v>Stormwater Capture</v>
      </c>
      <c r="D451" s="794"/>
      <c r="E451" s="378">
        <f>'Concept-Level Data'!F186</f>
        <v>5</v>
      </c>
      <c r="F451" s="379">
        <f>'Concept-Level Data'!G186</f>
        <v>5</v>
      </c>
      <c r="G451" s="379">
        <f>'Concept-Level Data'!H186</f>
        <v>2</v>
      </c>
      <c r="H451" s="380">
        <f>'Concept-Level Data'!I186</f>
        <v>4</v>
      </c>
      <c r="I451" s="381">
        <f>'Concept-Level Data'!J186</f>
        <v>5</v>
      </c>
    </row>
    <row r="452" spans="2:9" hidden="1" x14ac:dyDescent="0.25">
      <c r="B452" s="251" t="str">
        <f>'Concept-Level Data'!A187</f>
        <v>Respondent 13</v>
      </c>
      <c r="C452" s="793" t="str">
        <f>'Concept-Level Data'!B187</f>
        <v>Urban and Agricultural Water Use Efficiency</v>
      </c>
      <c r="D452" s="794"/>
      <c r="E452" s="378">
        <f>'Concept-Level Data'!F187</f>
        <v>3</v>
      </c>
      <c r="F452" s="379">
        <f>'Concept-Level Data'!G187</f>
        <v>3</v>
      </c>
      <c r="G452" s="379">
        <f>'Concept-Level Data'!H187</f>
        <v>3</v>
      </c>
      <c r="H452" s="380">
        <f>'Concept-Level Data'!I187</f>
        <v>3</v>
      </c>
      <c r="I452" s="381">
        <f>'Concept-Level Data'!J187</f>
        <v>3</v>
      </c>
    </row>
    <row r="453" spans="2:9" hidden="1" x14ac:dyDescent="0.25">
      <c r="B453" s="251" t="str">
        <f>'Concept-Level Data'!A188</f>
        <v>Respondent 13</v>
      </c>
      <c r="C453" s="793" t="str">
        <f>'Concept-Level Data'!B188</f>
        <v>Watershed and Ecosystem Management</v>
      </c>
      <c r="D453" s="794"/>
      <c r="E453" s="378">
        <f>'Concept-Level Data'!F188</f>
        <v>4</v>
      </c>
      <c r="F453" s="379">
        <f>'Concept-Level Data'!G188</f>
        <v>3</v>
      </c>
      <c r="G453" s="379">
        <f>'Concept-Level Data'!H188</f>
        <v>3</v>
      </c>
      <c r="H453" s="380">
        <f>'Concept-Level Data'!I188</f>
        <v>3</v>
      </c>
      <c r="I453" s="381">
        <f>'Concept-Level Data'!J188</f>
        <v>3</v>
      </c>
    </row>
    <row r="454" spans="2:9" hidden="1" x14ac:dyDescent="0.25">
      <c r="B454" s="251" t="str">
        <f>'Concept-Level Data'!A189</f>
        <v>Respondent 14</v>
      </c>
      <c r="C454" s="793" t="str">
        <f>'Concept-Level Data'!B189</f>
        <v>Conveyance Improvement</v>
      </c>
      <c r="D454" s="794"/>
      <c r="E454" s="378">
        <f>'Concept-Level Data'!F189</f>
        <v>3</v>
      </c>
      <c r="F454" s="379">
        <f>'Concept-Level Data'!G189</f>
        <v>5</v>
      </c>
      <c r="G454" s="379">
        <f>'Concept-Level Data'!H189</f>
        <v>4</v>
      </c>
      <c r="H454" s="380">
        <f>'Concept-Level Data'!I189</f>
        <v>3</v>
      </c>
      <c r="I454" s="381" t="str">
        <f>'Concept-Level Data'!J189</f>
        <v>MISSING</v>
      </c>
    </row>
    <row r="455" spans="2:9" hidden="1" x14ac:dyDescent="0.25">
      <c r="B455" s="251" t="str">
        <f>'Concept-Level Data'!A190</f>
        <v>Respondent 14</v>
      </c>
      <c r="C455" s="793" t="str">
        <f>'Concept-Level Data'!B190</f>
        <v>Drought Restriction/Allocation</v>
      </c>
      <c r="D455" s="794"/>
      <c r="E455" s="378">
        <f>'Concept-Level Data'!F190</f>
        <v>5</v>
      </c>
      <c r="F455" s="379">
        <f>'Concept-Level Data'!G190</f>
        <v>5</v>
      </c>
      <c r="G455" s="379" t="str">
        <f>'Concept-Level Data'!H190</f>
        <v>MISSING</v>
      </c>
      <c r="H455" s="380">
        <f>'Concept-Level Data'!I190</f>
        <v>2</v>
      </c>
      <c r="I455" s="381">
        <f>'Concept-Level Data'!J190</f>
        <v>5</v>
      </c>
    </row>
    <row r="456" spans="2:9" hidden="1" x14ac:dyDescent="0.25">
      <c r="B456" s="251" t="str">
        <f>'Concept-Level Data'!A191</f>
        <v>Respondent 14</v>
      </c>
      <c r="C456" s="793" t="str">
        <f>'Concept-Level Data'!B191</f>
        <v>Firm Water Supply Agreements</v>
      </c>
      <c r="D456" s="794"/>
      <c r="E456" s="378">
        <f>'Concept-Level Data'!F191</f>
        <v>4</v>
      </c>
      <c r="F456" s="379">
        <f>'Concept-Level Data'!G191</f>
        <v>4</v>
      </c>
      <c r="G456" s="379" t="str">
        <f>'Concept-Level Data'!H191</f>
        <v>MISSING</v>
      </c>
      <c r="H456" s="380">
        <f>'Concept-Level Data'!I191</f>
        <v>3</v>
      </c>
      <c r="I456" s="381">
        <f>'Concept-Level Data'!J191</f>
        <v>1</v>
      </c>
    </row>
    <row r="457" spans="2:9" hidden="1" x14ac:dyDescent="0.25">
      <c r="B457" s="251" t="str">
        <f>'Concept-Level Data'!A192</f>
        <v>Respondent 14</v>
      </c>
      <c r="C457" s="793" t="str">
        <f>'Concept-Level Data'!B192</f>
        <v>Gray Water Use</v>
      </c>
      <c r="D457" s="794"/>
      <c r="E457" s="378">
        <f>'Concept-Level Data'!F192</f>
        <v>5</v>
      </c>
      <c r="F457" s="379">
        <f>'Concept-Level Data'!G192</f>
        <v>2</v>
      </c>
      <c r="G457" s="379">
        <f>'Concept-Level Data'!H192</f>
        <v>4</v>
      </c>
      <c r="H457" s="380">
        <f>'Concept-Level Data'!I192</f>
        <v>2</v>
      </c>
      <c r="I457" s="381">
        <f>'Concept-Level Data'!J192</f>
        <v>2</v>
      </c>
    </row>
    <row r="458" spans="2:9" hidden="1" x14ac:dyDescent="0.25">
      <c r="B458" s="251" t="str">
        <f>'Concept-Level Data'!A193</f>
        <v>Respondent 14</v>
      </c>
      <c r="C458" s="793" t="str">
        <f>'Concept-Level Data'!B193</f>
        <v>Groundwater</v>
      </c>
      <c r="D458" s="794"/>
      <c r="E458" s="378">
        <f>'Concept-Level Data'!F193</f>
        <v>5</v>
      </c>
      <c r="F458" s="379">
        <f>'Concept-Level Data'!G193</f>
        <v>2</v>
      </c>
      <c r="G458" s="379">
        <f>'Concept-Level Data'!H193</f>
        <v>3</v>
      </c>
      <c r="H458" s="380">
        <f>'Concept-Level Data'!I193</f>
        <v>3</v>
      </c>
      <c r="I458" s="381">
        <f>'Concept-Level Data'!J193</f>
        <v>3</v>
      </c>
    </row>
    <row r="459" spans="2:9" hidden="1" x14ac:dyDescent="0.25">
      <c r="B459" s="251" t="str">
        <f>'Concept-Level Data'!A194</f>
        <v>Respondent 14</v>
      </c>
      <c r="C459" s="793" t="str">
        <f>'Concept-Level Data'!B194</f>
        <v>Imported Water Purchases</v>
      </c>
      <c r="D459" s="794"/>
      <c r="E459" s="378">
        <f>'Concept-Level Data'!F194</f>
        <v>3</v>
      </c>
      <c r="F459" s="379">
        <f>'Concept-Level Data'!G194</f>
        <v>1</v>
      </c>
      <c r="G459" s="379">
        <f>'Concept-Level Data'!H194</f>
        <v>2</v>
      </c>
      <c r="H459" s="380">
        <f>'Concept-Level Data'!I194</f>
        <v>4</v>
      </c>
      <c r="I459" s="381">
        <f>'Concept-Level Data'!J194</f>
        <v>2</v>
      </c>
    </row>
    <row r="460" spans="2:9" hidden="1" x14ac:dyDescent="0.25">
      <c r="B460" s="251" t="str">
        <f>'Concept-Level Data'!A195</f>
        <v>Respondent 14</v>
      </c>
      <c r="C460" s="793" t="str">
        <f>'Concept-Level Data'!B195</f>
        <v>Local Surface Water Reservoirs</v>
      </c>
      <c r="D460" s="794"/>
      <c r="E460" s="378">
        <f>'Concept-Level Data'!F195</f>
        <v>5</v>
      </c>
      <c r="F460" s="379">
        <f>'Concept-Level Data'!G195</f>
        <v>3</v>
      </c>
      <c r="G460" s="379">
        <f>'Concept-Level Data'!H195</f>
        <v>2</v>
      </c>
      <c r="H460" s="380">
        <f>'Concept-Level Data'!I195</f>
        <v>3</v>
      </c>
      <c r="I460" s="381">
        <f>'Concept-Level Data'!J195</f>
        <v>2</v>
      </c>
    </row>
    <row r="461" spans="2:9" hidden="1" x14ac:dyDescent="0.25">
      <c r="B461" s="251" t="str">
        <f>'Concept-Level Data'!A196</f>
        <v>Respondent 14</v>
      </c>
      <c r="C461" s="793" t="str">
        <f>'Concept-Level Data'!B196</f>
        <v>Potable Reuse</v>
      </c>
      <c r="D461" s="794"/>
      <c r="E461" s="378">
        <f>'Concept-Level Data'!F196</f>
        <v>5</v>
      </c>
      <c r="F461" s="379">
        <f>'Concept-Level Data'!G196</f>
        <v>1</v>
      </c>
      <c r="G461" s="379">
        <f>'Concept-Level Data'!H196</f>
        <v>2</v>
      </c>
      <c r="H461" s="380">
        <f>'Concept-Level Data'!I196</f>
        <v>3</v>
      </c>
      <c r="I461" s="381">
        <f>'Concept-Level Data'!J196</f>
        <v>2</v>
      </c>
    </row>
    <row r="462" spans="2:9" hidden="1" x14ac:dyDescent="0.25">
      <c r="B462" s="251" t="str">
        <f>'Concept-Level Data'!A197</f>
        <v>Respondent 14</v>
      </c>
      <c r="C462" s="793" t="str">
        <f>'Concept-Level Data'!B197</f>
        <v>Recycled Water</v>
      </c>
      <c r="D462" s="794"/>
      <c r="E462" s="378">
        <f>'Concept-Level Data'!F197</f>
        <v>5</v>
      </c>
      <c r="F462" s="379">
        <f>'Concept-Level Data'!G197</f>
        <v>4</v>
      </c>
      <c r="G462" s="379">
        <f>'Concept-Level Data'!H197</f>
        <v>3</v>
      </c>
      <c r="H462" s="380">
        <f>'Concept-Level Data'!I197</f>
        <v>3</v>
      </c>
      <c r="I462" s="381">
        <f>'Concept-Level Data'!J197</f>
        <v>2</v>
      </c>
    </row>
    <row r="463" spans="2:9" hidden="1" x14ac:dyDescent="0.25">
      <c r="B463" s="251" t="str">
        <f>'Concept-Level Data'!A198</f>
        <v>Respondent 14</v>
      </c>
      <c r="C463" s="793" t="str">
        <f>'Concept-Level Data'!B198</f>
        <v>Seawater Desalination</v>
      </c>
      <c r="D463" s="794"/>
      <c r="E463" s="378">
        <f>'Concept-Level Data'!F198</f>
        <v>5</v>
      </c>
      <c r="F463" s="379">
        <f>'Concept-Level Data'!G198</f>
        <v>4</v>
      </c>
      <c r="G463" s="379" t="str">
        <f>'Concept-Level Data'!H198</f>
        <v>MISSING</v>
      </c>
      <c r="H463" s="380">
        <f>'Concept-Level Data'!I198</f>
        <v>3</v>
      </c>
      <c r="I463" s="381">
        <f>'Concept-Level Data'!J198</f>
        <v>2</v>
      </c>
    </row>
    <row r="464" spans="2:9" hidden="1" x14ac:dyDescent="0.25">
      <c r="B464" s="251" t="str">
        <f>'Concept-Level Data'!A199</f>
        <v>Respondent 14</v>
      </c>
      <c r="C464" s="793" t="str">
        <f>'Concept-Level Data'!B199</f>
        <v>Stormwater BMPs</v>
      </c>
      <c r="D464" s="794"/>
      <c r="E464" s="378">
        <f>'Concept-Level Data'!F199</f>
        <v>4</v>
      </c>
      <c r="F464" s="379">
        <f>'Concept-Level Data'!G199</f>
        <v>5</v>
      </c>
      <c r="G464" s="379">
        <f>'Concept-Level Data'!H199</f>
        <v>5</v>
      </c>
      <c r="H464" s="380">
        <f>'Concept-Level Data'!I199</f>
        <v>2</v>
      </c>
      <c r="I464" s="381">
        <f>'Concept-Level Data'!J199</f>
        <v>3</v>
      </c>
    </row>
    <row r="465" spans="2:9" hidden="1" x14ac:dyDescent="0.25">
      <c r="B465" s="251" t="str">
        <f>'Concept-Level Data'!A200</f>
        <v>Respondent 14</v>
      </c>
      <c r="C465" s="793" t="str">
        <f>'Concept-Level Data'!B200</f>
        <v>Stormwater Capture</v>
      </c>
      <c r="D465" s="794"/>
      <c r="E465" s="378">
        <f>'Concept-Level Data'!F200</f>
        <v>5</v>
      </c>
      <c r="F465" s="379">
        <f>'Concept-Level Data'!G200</f>
        <v>3</v>
      </c>
      <c r="G465" s="379">
        <f>'Concept-Level Data'!H200</f>
        <v>2</v>
      </c>
      <c r="H465" s="380">
        <f>'Concept-Level Data'!I200</f>
        <v>5</v>
      </c>
      <c r="I465" s="381">
        <f>'Concept-Level Data'!J200</f>
        <v>2</v>
      </c>
    </row>
    <row r="466" spans="2:9" hidden="1" x14ac:dyDescent="0.25">
      <c r="B466" s="251" t="str">
        <f>'Concept-Level Data'!A201</f>
        <v>Respondent 14</v>
      </c>
      <c r="C466" s="793" t="str">
        <f>'Concept-Level Data'!B201</f>
        <v>Urban and Agricultural Water Use Efficiency</v>
      </c>
      <c r="D466" s="794"/>
      <c r="E466" s="378">
        <f>'Concept-Level Data'!F201</f>
        <v>4</v>
      </c>
      <c r="F466" s="379">
        <f>'Concept-Level Data'!G201</f>
        <v>4</v>
      </c>
      <c r="G466" s="379">
        <f>'Concept-Level Data'!H201</f>
        <v>4</v>
      </c>
      <c r="H466" s="380">
        <f>'Concept-Level Data'!I201</f>
        <v>3</v>
      </c>
      <c r="I466" s="381">
        <f>'Concept-Level Data'!J201</f>
        <v>4</v>
      </c>
    </row>
    <row r="467" spans="2:9" hidden="1" x14ac:dyDescent="0.25">
      <c r="B467" s="251" t="str">
        <f>'Concept-Level Data'!A202</f>
        <v>Respondent 14</v>
      </c>
      <c r="C467" s="793" t="str">
        <f>'Concept-Level Data'!B202</f>
        <v>Watershed and Ecosystem Management</v>
      </c>
      <c r="D467" s="794"/>
      <c r="E467" s="378">
        <f>'Concept-Level Data'!F202</f>
        <v>4</v>
      </c>
      <c r="F467" s="379">
        <f>'Concept-Level Data'!G202</f>
        <v>4</v>
      </c>
      <c r="G467" s="379">
        <f>'Concept-Level Data'!H202</f>
        <v>3</v>
      </c>
      <c r="H467" s="380">
        <f>'Concept-Level Data'!I202</f>
        <v>3</v>
      </c>
      <c r="I467" s="381">
        <f>'Concept-Level Data'!J202</f>
        <v>3</v>
      </c>
    </row>
    <row r="468" spans="2:9" hidden="1" x14ac:dyDescent="0.25">
      <c r="B468" s="251" t="str">
        <f>'Concept-Level Data'!A203</f>
        <v>Respondent 15</v>
      </c>
      <c r="C468" s="793" t="str">
        <f>'Concept-Level Data'!B203</f>
        <v>Conveyance Improvement</v>
      </c>
      <c r="D468" s="794"/>
      <c r="E468" s="378">
        <f>'Concept-Level Data'!F203</f>
        <v>4</v>
      </c>
      <c r="F468" s="379">
        <f>'Concept-Level Data'!G203</f>
        <v>5</v>
      </c>
      <c r="G468" s="379">
        <f>'Concept-Level Data'!H203</f>
        <v>5</v>
      </c>
      <c r="H468" s="380">
        <f>'Concept-Level Data'!I203</f>
        <v>3</v>
      </c>
      <c r="I468" s="381">
        <f>'Concept-Level Data'!J203</f>
        <v>5</v>
      </c>
    </row>
    <row r="469" spans="2:9" hidden="1" x14ac:dyDescent="0.25">
      <c r="B469" s="251" t="str">
        <f>'Concept-Level Data'!A204</f>
        <v>Respondent 15</v>
      </c>
      <c r="C469" s="793" t="str">
        <f>'Concept-Level Data'!B204</f>
        <v>Drought Restriction/Allocation</v>
      </c>
      <c r="D469" s="794"/>
      <c r="E469" s="378">
        <f>'Concept-Level Data'!F204</f>
        <v>3</v>
      </c>
      <c r="F469" s="379">
        <f>'Concept-Level Data'!G204</f>
        <v>3</v>
      </c>
      <c r="G469" s="379">
        <f>'Concept-Level Data'!H204</f>
        <v>3</v>
      </c>
      <c r="H469" s="380">
        <f>'Concept-Level Data'!I204</f>
        <v>2</v>
      </c>
      <c r="I469" s="381">
        <f>'Concept-Level Data'!J204</f>
        <v>2</v>
      </c>
    </row>
    <row r="470" spans="2:9" hidden="1" x14ac:dyDescent="0.25">
      <c r="B470" s="251" t="str">
        <f>'Concept-Level Data'!A205</f>
        <v>Respondent 15</v>
      </c>
      <c r="C470" s="793" t="str">
        <f>'Concept-Level Data'!B205</f>
        <v>Firm Water Supply Agreements</v>
      </c>
      <c r="D470" s="794"/>
      <c r="E470" s="378">
        <f>'Concept-Level Data'!F205</f>
        <v>5</v>
      </c>
      <c r="F470" s="379">
        <f>'Concept-Level Data'!G205</f>
        <v>3</v>
      </c>
      <c r="G470" s="379">
        <f>'Concept-Level Data'!H205</f>
        <v>3</v>
      </c>
      <c r="H470" s="380">
        <f>'Concept-Level Data'!I205</f>
        <v>3</v>
      </c>
      <c r="I470" s="381">
        <f>'Concept-Level Data'!J205</f>
        <v>3</v>
      </c>
    </row>
    <row r="471" spans="2:9" hidden="1" x14ac:dyDescent="0.25">
      <c r="B471" s="251" t="str">
        <f>'Concept-Level Data'!A206</f>
        <v>Respondent 15</v>
      </c>
      <c r="C471" s="793" t="str">
        <f>'Concept-Level Data'!B206</f>
        <v>Gray Water Use</v>
      </c>
      <c r="D471" s="794"/>
      <c r="E471" s="378">
        <f>'Concept-Level Data'!F206</f>
        <v>5</v>
      </c>
      <c r="F471" s="379">
        <f>'Concept-Level Data'!G206</f>
        <v>3</v>
      </c>
      <c r="G471" s="379">
        <f>'Concept-Level Data'!H206</f>
        <v>3</v>
      </c>
      <c r="H471" s="380">
        <f>'Concept-Level Data'!I206</f>
        <v>1</v>
      </c>
      <c r="I471" s="381">
        <f>'Concept-Level Data'!J206</f>
        <v>2</v>
      </c>
    </row>
    <row r="472" spans="2:9" hidden="1" x14ac:dyDescent="0.25">
      <c r="B472" s="251" t="str">
        <f>'Concept-Level Data'!A207</f>
        <v>Respondent 15</v>
      </c>
      <c r="C472" s="793" t="str">
        <f>'Concept-Level Data'!B207</f>
        <v>Groundwater</v>
      </c>
      <c r="D472" s="794"/>
      <c r="E472" s="378">
        <f>'Concept-Level Data'!F207</f>
        <v>5</v>
      </c>
      <c r="F472" s="379">
        <f>'Concept-Level Data'!G207</f>
        <v>3</v>
      </c>
      <c r="G472" s="379">
        <f>'Concept-Level Data'!H207</f>
        <v>3</v>
      </c>
      <c r="H472" s="380">
        <f>'Concept-Level Data'!I207</f>
        <v>3</v>
      </c>
      <c r="I472" s="381">
        <f>'Concept-Level Data'!J207</f>
        <v>5</v>
      </c>
    </row>
    <row r="473" spans="2:9" hidden="1" x14ac:dyDescent="0.25">
      <c r="B473" s="251" t="str">
        <f>'Concept-Level Data'!A208</f>
        <v>Respondent 15</v>
      </c>
      <c r="C473" s="793" t="str">
        <f>'Concept-Level Data'!B208</f>
        <v>Imported Water Purchases</v>
      </c>
      <c r="D473" s="794"/>
      <c r="E473" s="378">
        <f>'Concept-Level Data'!F208</f>
        <v>1</v>
      </c>
      <c r="F473" s="379">
        <f>'Concept-Level Data'!G208</f>
        <v>3</v>
      </c>
      <c r="G473" s="379">
        <f>'Concept-Level Data'!H208</f>
        <v>3</v>
      </c>
      <c r="H473" s="380">
        <f>'Concept-Level Data'!I208</f>
        <v>3</v>
      </c>
      <c r="I473" s="381">
        <f>'Concept-Level Data'!J208</f>
        <v>3</v>
      </c>
    </row>
    <row r="474" spans="2:9" hidden="1" x14ac:dyDescent="0.25">
      <c r="B474" s="251" t="str">
        <f>'Concept-Level Data'!A209</f>
        <v>Respondent 15</v>
      </c>
      <c r="C474" s="793" t="str">
        <f>'Concept-Level Data'!B209</f>
        <v>Local Surface Water Reservoirs</v>
      </c>
      <c r="D474" s="794"/>
      <c r="E474" s="378">
        <f>'Concept-Level Data'!F209</f>
        <v>1</v>
      </c>
      <c r="F474" s="379">
        <f>'Concept-Level Data'!G209</f>
        <v>3</v>
      </c>
      <c r="G474" s="379">
        <f>'Concept-Level Data'!H209</f>
        <v>3</v>
      </c>
      <c r="H474" s="380">
        <f>'Concept-Level Data'!I209</f>
        <v>3</v>
      </c>
      <c r="I474" s="381">
        <f>'Concept-Level Data'!J209</f>
        <v>3</v>
      </c>
    </row>
    <row r="475" spans="2:9" hidden="1" x14ac:dyDescent="0.25">
      <c r="B475" s="251" t="str">
        <f>'Concept-Level Data'!A210</f>
        <v>Respondent 15</v>
      </c>
      <c r="C475" s="793" t="str">
        <f>'Concept-Level Data'!B210</f>
        <v>Potable Reuse</v>
      </c>
      <c r="D475" s="794"/>
      <c r="E475" s="378">
        <f>'Concept-Level Data'!F210</f>
        <v>5</v>
      </c>
      <c r="F475" s="379">
        <f>'Concept-Level Data'!G210</f>
        <v>3</v>
      </c>
      <c r="G475" s="379">
        <f>'Concept-Level Data'!H210</f>
        <v>3</v>
      </c>
      <c r="H475" s="380">
        <f>'Concept-Level Data'!I210</f>
        <v>3</v>
      </c>
      <c r="I475" s="381">
        <f>'Concept-Level Data'!J210</f>
        <v>5</v>
      </c>
    </row>
    <row r="476" spans="2:9" hidden="1" x14ac:dyDescent="0.25">
      <c r="B476" s="251" t="str">
        <f>'Concept-Level Data'!A211</f>
        <v>Respondent 15</v>
      </c>
      <c r="C476" s="793" t="str">
        <f>'Concept-Level Data'!B211</f>
        <v>Recycled Water</v>
      </c>
      <c r="D476" s="794"/>
      <c r="E476" s="378">
        <f>'Concept-Level Data'!F211</f>
        <v>5</v>
      </c>
      <c r="F476" s="379">
        <f>'Concept-Level Data'!G211</f>
        <v>3</v>
      </c>
      <c r="G476" s="379">
        <f>'Concept-Level Data'!H211</f>
        <v>3</v>
      </c>
      <c r="H476" s="380">
        <f>'Concept-Level Data'!I211</f>
        <v>3</v>
      </c>
      <c r="I476" s="381">
        <f>'Concept-Level Data'!J211</f>
        <v>3</v>
      </c>
    </row>
    <row r="477" spans="2:9" hidden="1" x14ac:dyDescent="0.25">
      <c r="B477" s="251" t="str">
        <f>'Concept-Level Data'!A212</f>
        <v>Respondent 15</v>
      </c>
      <c r="C477" s="793" t="str">
        <f>'Concept-Level Data'!B212</f>
        <v>Seawater Desalination</v>
      </c>
      <c r="D477" s="794"/>
      <c r="E477" s="378">
        <f>'Concept-Level Data'!F212</f>
        <v>5</v>
      </c>
      <c r="F477" s="379">
        <f>'Concept-Level Data'!G212</f>
        <v>3</v>
      </c>
      <c r="G477" s="379">
        <f>'Concept-Level Data'!H212</f>
        <v>3</v>
      </c>
      <c r="H477" s="380">
        <f>'Concept-Level Data'!I212</f>
        <v>3</v>
      </c>
      <c r="I477" s="381">
        <f>'Concept-Level Data'!J212</f>
        <v>3</v>
      </c>
    </row>
    <row r="478" spans="2:9" hidden="1" x14ac:dyDescent="0.25">
      <c r="B478" s="251" t="str">
        <f>'Concept-Level Data'!A213</f>
        <v>Respondent 15</v>
      </c>
      <c r="C478" s="793" t="str">
        <f>'Concept-Level Data'!B213</f>
        <v>Stormwater BMPs</v>
      </c>
      <c r="D478" s="794"/>
      <c r="E478" s="378">
        <f>'Concept-Level Data'!F213</f>
        <v>3</v>
      </c>
      <c r="F478" s="379">
        <f>'Concept-Level Data'!G213</f>
        <v>3</v>
      </c>
      <c r="G478" s="379">
        <f>'Concept-Level Data'!H213</f>
        <v>3</v>
      </c>
      <c r="H478" s="380">
        <f>'Concept-Level Data'!I213</f>
        <v>3</v>
      </c>
      <c r="I478" s="381">
        <f>'Concept-Level Data'!J213</f>
        <v>3</v>
      </c>
    </row>
    <row r="479" spans="2:9" hidden="1" x14ac:dyDescent="0.25">
      <c r="B479" s="251" t="str">
        <f>'Concept-Level Data'!A214</f>
        <v>Respondent 15</v>
      </c>
      <c r="C479" s="793" t="str">
        <f>'Concept-Level Data'!B214</f>
        <v>Stormwater Capture</v>
      </c>
      <c r="D479" s="794"/>
      <c r="E479" s="378">
        <f>'Concept-Level Data'!F214</f>
        <v>5</v>
      </c>
      <c r="F479" s="379">
        <f>'Concept-Level Data'!G214</f>
        <v>3</v>
      </c>
      <c r="G479" s="379">
        <f>'Concept-Level Data'!H214</f>
        <v>3</v>
      </c>
      <c r="H479" s="380">
        <f>'Concept-Level Data'!I214</f>
        <v>5</v>
      </c>
      <c r="I479" s="381">
        <f>'Concept-Level Data'!J214</f>
        <v>3</v>
      </c>
    </row>
    <row r="480" spans="2:9" hidden="1" x14ac:dyDescent="0.25">
      <c r="B480" s="251" t="str">
        <f>'Concept-Level Data'!A215</f>
        <v>Respondent 15</v>
      </c>
      <c r="C480" s="793" t="str">
        <f>'Concept-Level Data'!B215</f>
        <v>Urban and Agricultural Water Use Efficiency</v>
      </c>
      <c r="D480" s="794"/>
      <c r="E480" s="378">
        <f>'Concept-Level Data'!F215</f>
        <v>5</v>
      </c>
      <c r="F480" s="379">
        <f>'Concept-Level Data'!G215</f>
        <v>4</v>
      </c>
      <c r="G480" s="379">
        <f>'Concept-Level Data'!H215</f>
        <v>3</v>
      </c>
      <c r="H480" s="380">
        <f>'Concept-Level Data'!I215</f>
        <v>1</v>
      </c>
      <c r="I480" s="381">
        <f>'Concept-Level Data'!J215</f>
        <v>3</v>
      </c>
    </row>
    <row r="481" spans="2:9" hidden="1" x14ac:dyDescent="0.25">
      <c r="B481" s="251" t="str">
        <f>'Concept-Level Data'!A216</f>
        <v>Respondent 15</v>
      </c>
      <c r="C481" s="793" t="str">
        <f>'Concept-Level Data'!B216</f>
        <v>Watershed and Ecosystem Management</v>
      </c>
      <c r="D481" s="794"/>
      <c r="E481" s="378">
        <f>'Concept-Level Data'!F216</f>
        <v>3</v>
      </c>
      <c r="F481" s="379">
        <f>'Concept-Level Data'!G216</f>
        <v>3</v>
      </c>
      <c r="G481" s="379">
        <f>'Concept-Level Data'!H216</f>
        <v>3</v>
      </c>
      <c r="H481" s="380">
        <f>'Concept-Level Data'!I216</f>
        <v>3</v>
      </c>
      <c r="I481" s="381">
        <f>'Concept-Level Data'!J216</f>
        <v>4</v>
      </c>
    </row>
    <row r="482" spans="2:9" hidden="1" x14ac:dyDescent="0.25">
      <c r="B482" s="251" t="str">
        <f>'Concept-Level Data'!A217</f>
        <v>Respondent 16</v>
      </c>
      <c r="C482" s="793" t="str">
        <f>'Concept-Level Data'!B217</f>
        <v>Conveyance Improvement</v>
      </c>
      <c r="D482" s="794"/>
      <c r="E482" s="378">
        <f>'Concept-Level Data'!F217</f>
        <v>4</v>
      </c>
      <c r="F482" s="379">
        <f>'Concept-Level Data'!G217</f>
        <v>5</v>
      </c>
      <c r="G482" s="379">
        <f>'Concept-Level Data'!H217</f>
        <v>5</v>
      </c>
      <c r="H482" s="380">
        <f>'Concept-Level Data'!I217</f>
        <v>3</v>
      </c>
      <c r="I482" s="381">
        <f>'Concept-Level Data'!J217</f>
        <v>4</v>
      </c>
    </row>
    <row r="483" spans="2:9" hidden="1" x14ac:dyDescent="0.25">
      <c r="B483" s="251" t="str">
        <f>'Concept-Level Data'!A218</f>
        <v>Respondent 16</v>
      </c>
      <c r="C483" s="793" t="str">
        <f>'Concept-Level Data'!B218</f>
        <v>Drought Restriction/Allocation</v>
      </c>
      <c r="D483" s="794"/>
      <c r="E483" s="378">
        <f>'Concept-Level Data'!F218</f>
        <v>3</v>
      </c>
      <c r="F483" s="379">
        <f>'Concept-Level Data'!G218</f>
        <v>5</v>
      </c>
      <c r="G483" s="379">
        <f>'Concept-Level Data'!H218</f>
        <v>4</v>
      </c>
      <c r="H483" s="380">
        <f>'Concept-Level Data'!I218</f>
        <v>2</v>
      </c>
      <c r="I483" s="381">
        <f>'Concept-Level Data'!J218</f>
        <v>3</v>
      </c>
    </row>
    <row r="484" spans="2:9" hidden="1" x14ac:dyDescent="0.25">
      <c r="B484" s="251" t="str">
        <f>'Concept-Level Data'!A219</f>
        <v>Respondent 16</v>
      </c>
      <c r="C484" s="793" t="str">
        <f>'Concept-Level Data'!B219</f>
        <v>Firm Water Supply Agreements</v>
      </c>
      <c r="D484" s="794"/>
      <c r="E484" s="378">
        <f>'Concept-Level Data'!F219</f>
        <v>5</v>
      </c>
      <c r="F484" s="379">
        <f>'Concept-Level Data'!G219</f>
        <v>3</v>
      </c>
      <c r="G484" s="379">
        <f>'Concept-Level Data'!H219</f>
        <v>3</v>
      </c>
      <c r="H484" s="380">
        <f>'Concept-Level Data'!I219</f>
        <v>3</v>
      </c>
      <c r="I484" s="381">
        <f>'Concept-Level Data'!J219</f>
        <v>5</v>
      </c>
    </row>
    <row r="485" spans="2:9" hidden="1" x14ac:dyDescent="0.25">
      <c r="B485" s="251" t="str">
        <f>'Concept-Level Data'!A220</f>
        <v>Respondent 16</v>
      </c>
      <c r="C485" s="793" t="str">
        <f>'Concept-Level Data'!B220</f>
        <v>Gray Water Use</v>
      </c>
      <c r="D485" s="794"/>
      <c r="E485" s="378">
        <f>'Concept-Level Data'!F220</f>
        <v>5</v>
      </c>
      <c r="F485" s="379">
        <f>'Concept-Level Data'!G220</f>
        <v>4</v>
      </c>
      <c r="G485" s="379">
        <f>'Concept-Level Data'!H220</f>
        <v>4</v>
      </c>
      <c r="H485" s="380">
        <f>'Concept-Level Data'!I220</f>
        <v>2</v>
      </c>
      <c r="I485" s="381">
        <f>'Concept-Level Data'!J220</f>
        <v>3</v>
      </c>
    </row>
    <row r="486" spans="2:9" hidden="1" x14ac:dyDescent="0.25">
      <c r="B486" s="251" t="str">
        <f>'Concept-Level Data'!A221</f>
        <v>Respondent 16</v>
      </c>
      <c r="C486" s="793" t="str">
        <f>'Concept-Level Data'!B221</f>
        <v>Groundwater</v>
      </c>
      <c r="D486" s="794"/>
      <c r="E486" s="378">
        <f>'Concept-Level Data'!F221</f>
        <v>5</v>
      </c>
      <c r="F486" s="379">
        <f>'Concept-Level Data'!G221</f>
        <v>4</v>
      </c>
      <c r="G486" s="379">
        <f>'Concept-Level Data'!H221</f>
        <v>4</v>
      </c>
      <c r="H486" s="380">
        <f>'Concept-Level Data'!I221</f>
        <v>3</v>
      </c>
      <c r="I486" s="381">
        <f>'Concept-Level Data'!J221</f>
        <v>3</v>
      </c>
    </row>
    <row r="487" spans="2:9" hidden="1" x14ac:dyDescent="0.25">
      <c r="B487" s="251" t="str">
        <f>'Concept-Level Data'!A222</f>
        <v>Respondent 16</v>
      </c>
      <c r="C487" s="793" t="str">
        <f>'Concept-Level Data'!B222</f>
        <v>Imported Water Purchases</v>
      </c>
      <c r="D487" s="794"/>
      <c r="E487" s="378">
        <f>'Concept-Level Data'!F222</f>
        <v>2</v>
      </c>
      <c r="F487" s="379">
        <f>'Concept-Level Data'!G222</f>
        <v>4</v>
      </c>
      <c r="G487" s="379">
        <f>'Concept-Level Data'!H222</f>
        <v>2</v>
      </c>
      <c r="H487" s="380">
        <f>'Concept-Level Data'!I222</f>
        <v>3</v>
      </c>
      <c r="I487" s="381">
        <f>'Concept-Level Data'!J222</f>
        <v>5</v>
      </c>
    </row>
    <row r="488" spans="2:9" hidden="1" x14ac:dyDescent="0.25">
      <c r="B488" s="251" t="str">
        <f>'Concept-Level Data'!A223</f>
        <v>Respondent 16</v>
      </c>
      <c r="C488" s="793" t="str">
        <f>'Concept-Level Data'!B223</f>
        <v>Local Surface Water Reservoirs</v>
      </c>
      <c r="D488" s="794"/>
      <c r="E488" s="378">
        <f>'Concept-Level Data'!F223</f>
        <v>5</v>
      </c>
      <c r="F488" s="379">
        <f>'Concept-Level Data'!G223</f>
        <v>4</v>
      </c>
      <c r="G488" s="379">
        <f>'Concept-Level Data'!H223</f>
        <v>3</v>
      </c>
      <c r="H488" s="380">
        <f>'Concept-Level Data'!I223</f>
        <v>3</v>
      </c>
      <c r="I488" s="381">
        <f>'Concept-Level Data'!J223</f>
        <v>5</v>
      </c>
    </row>
    <row r="489" spans="2:9" hidden="1" x14ac:dyDescent="0.25">
      <c r="B489" s="251" t="str">
        <f>'Concept-Level Data'!A224</f>
        <v>Respondent 16</v>
      </c>
      <c r="C489" s="793" t="str">
        <f>'Concept-Level Data'!B224</f>
        <v>Potable Reuse</v>
      </c>
      <c r="D489" s="794"/>
      <c r="E489" s="378">
        <f>'Concept-Level Data'!F224</f>
        <v>5</v>
      </c>
      <c r="F489" s="379">
        <f>'Concept-Level Data'!G224</f>
        <v>3</v>
      </c>
      <c r="G489" s="379">
        <f>'Concept-Level Data'!H224</f>
        <v>3</v>
      </c>
      <c r="H489" s="380">
        <f>'Concept-Level Data'!I224</f>
        <v>4</v>
      </c>
      <c r="I489" s="381">
        <f>'Concept-Level Data'!J224</f>
        <v>5</v>
      </c>
    </row>
    <row r="490" spans="2:9" hidden="1" x14ac:dyDescent="0.25">
      <c r="B490" s="251" t="str">
        <f>'Concept-Level Data'!A225</f>
        <v>Respondent 16</v>
      </c>
      <c r="C490" s="793" t="str">
        <f>'Concept-Level Data'!B225</f>
        <v>Recycled Water</v>
      </c>
      <c r="D490" s="794"/>
      <c r="E490" s="378">
        <f>'Concept-Level Data'!F225</f>
        <v>5</v>
      </c>
      <c r="F490" s="379">
        <f>'Concept-Level Data'!G225</f>
        <v>3</v>
      </c>
      <c r="G490" s="379">
        <f>'Concept-Level Data'!H225</f>
        <v>3</v>
      </c>
      <c r="H490" s="380">
        <f>'Concept-Level Data'!I225</f>
        <v>3</v>
      </c>
      <c r="I490" s="381">
        <f>'Concept-Level Data'!J225</f>
        <v>3</v>
      </c>
    </row>
    <row r="491" spans="2:9" hidden="1" x14ac:dyDescent="0.25">
      <c r="B491" s="251" t="str">
        <f>'Concept-Level Data'!A226</f>
        <v>Respondent 16</v>
      </c>
      <c r="C491" s="793" t="str">
        <f>'Concept-Level Data'!B226</f>
        <v>Seawater Desalination</v>
      </c>
      <c r="D491" s="794"/>
      <c r="E491" s="378">
        <f>'Concept-Level Data'!F226</f>
        <v>5</v>
      </c>
      <c r="F491" s="379">
        <f>'Concept-Level Data'!G226</f>
        <v>4</v>
      </c>
      <c r="G491" s="379">
        <f>'Concept-Level Data'!H226</f>
        <v>3</v>
      </c>
      <c r="H491" s="380">
        <f>'Concept-Level Data'!I226</f>
        <v>4</v>
      </c>
      <c r="I491" s="381">
        <f>'Concept-Level Data'!J226</f>
        <v>5</v>
      </c>
    </row>
    <row r="492" spans="2:9" hidden="1" x14ac:dyDescent="0.25">
      <c r="B492" s="251" t="str">
        <f>'Concept-Level Data'!A227</f>
        <v>Respondent 16</v>
      </c>
      <c r="C492" s="793" t="str">
        <f>'Concept-Level Data'!B227</f>
        <v>Stormwater BMPs</v>
      </c>
      <c r="D492" s="794"/>
      <c r="E492" s="378">
        <f>'Concept-Level Data'!F227</f>
        <v>3</v>
      </c>
      <c r="F492" s="379">
        <f>'Concept-Level Data'!G227</f>
        <v>3</v>
      </c>
      <c r="G492" s="379">
        <f>'Concept-Level Data'!H227</f>
        <v>3</v>
      </c>
      <c r="H492" s="380">
        <f>'Concept-Level Data'!I227</f>
        <v>3</v>
      </c>
      <c r="I492" s="381">
        <f>'Concept-Level Data'!J227</f>
        <v>3</v>
      </c>
    </row>
    <row r="493" spans="2:9" hidden="1" x14ac:dyDescent="0.25">
      <c r="B493" s="251" t="str">
        <f>'Concept-Level Data'!A228</f>
        <v>Respondent 16</v>
      </c>
      <c r="C493" s="793" t="str">
        <f>'Concept-Level Data'!B228</f>
        <v>Stormwater Capture</v>
      </c>
      <c r="D493" s="794"/>
      <c r="E493" s="378">
        <f>'Concept-Level Data'!F228</f>
        <v>5</v>
      </c>
      <c r="F493" s="379">
        <f>'Concept-Level Data'!G228</f>
        <v>3</v>
      </c>
      <c r="G493" s="379">
        <f>'Concept-Level Data'!H228</f>
        <v>3</v>
      </c>
      <c r="H493" s="380">
        <f>'Concept-Level Data'!I228</f>
        <v>3</v>
      </c>
      <c r="I493" s="381">
        <f>'Concept-Level Data'!J228</f>
        <v>3</v>
      </c>
    </row>
    <row r="494" spans="2:9" hidden="1" x14ac:dyDescent="0.25">
      <c r="B494" s="251" t="str">
        <f>'Concept-Level Data'!A229</f>
        <v>Respondent 16</v>
      </c>
      <c r="C494" s="793" t="str">
        <f>'Concept-Level Data'!B229</f>
        <v>Urban and Agricultural Water Use Efficiency</v>
      </c>
      <c r="D494" s="794"/>
      <c r="E494" s="378">
        <f>'Concept-Level Data'!F229</f>
        <v>3</v>
      </c>
      <c r="F494" s="379">
        <f>'Concept-Level Data'!G229</f>
        <v>3</v>
      </c>
      <c r="G494" s="379">
        <f>'Concept-Level Data'!H229</f>
        <v>4</v>
      </c>
      <c r="H494" s="380">
        <f>'Concept-Level Data'!I229</f>
        <v>3</v>
      </c>
      <c r="I494" s="381">
        <f>'Concept-Level Data'!J229</f>
        <v>3</v>
      </c>
    </row>
    <row r="495" spans="2:9" ht="15.75" hidden="1" thickBot="1" x14ac:dyDescent="0.3">
      <c r="B495" s="551" t="str">
        <f>'Concept-Level Data'!A230</f>
        <v>Respondent 16</v>
      </c>
      <c r="C495" s="803" t="str">
        <f>'Concept-Level Data'!B230</f>
        <v>Watershed and Ecosystem Management</v>
      </c>
      <c r="D495" s="820"/>
      <c r="E495" s="523">
        <f>'Concept-Level Data'!F230</f>
        <v>4</v>
      </c>
      <c r="F495" s="524">
        <f>'Concept-Level Data'!G230</f>
        <v>3</v>
      </c>
      <c r="G495" s="524">
        <f>'Concept-Level Data'!H230</f>
        <v>3</v>
      </c>
      <c r="H495" s="511">
        <f>'Concept-Level Data'!I230</f>
        <v>3</v>
      </c>
      <c r="I495" s="530">
        <f>'Concept-Level Data'!J230</f>
        <v>3</v>
      </c>
    </row>
    <row r="496" spans="2:9" hidden="1" x14ac:dyDescent="0.25">
      <c r="B496" s="548"/>
      <c r="C496" s="515" t="s">
        <v>855</v>
      </c>
      <c r="D496" s="515"/>
      <c r="E496" s="486">
        <f>COUNTIFS(E272:E495, "=MISSING")</f>
        <v>0</v>
      </c>
      <c r="F496" s="486">
        <f t="shared" ref="F496:I496" si="45">COUNTIFS(F272:F495, "=MISSING")</f>
        <v>1</v>
      </c>
      <c r="G496" s="486">
        <f t="shared" si="45"/>
        <v>3</v>
      </c>
      <c r="H496" s="486">
        <f t="shared" si="45"/>
        <v>0</v>
      </c>
      <c r="I496" s="389">
        <f t="shared" si="45"/>
        <v>2</v>
      </c>
    </row>
    <row r="497" spans="2:9" hidden="1" x14ac:dyDescent="0.25">
      <c r="B497" s="549"/>
      <c r="C497" s="516" t="s">
        <v>856</v>
      </c>
      <c r="D497" s="516"/>
      <c r="E497" s="379">
        <f>COUNTIFS(E272:E495, "=No Response")</f>
        <v>0</v>
      </c>
      <c r="F497" s="379">
        <f t="shared" ref="F497:I497" si="46">COUNTIFS(F272:F495, "=No Response")</f>
        <v>0</v>
      </c>
      <c r="G497" s="379">
        <f t="shared" si="46"/>
        <v>0</v>
      </c>
      <c r="H497" s="379">
        <f t="shared" si="46"/>
        <v>0</v>
      </c>
      <c r="I497" s="380">
        <f t="shared" si="46"/>
        <v>0</v>
      </c>
    </row>
    <row r="498" spans="2:9" hidden="1" x14ac:dyDescent="0.25">
      <c r="B498" s="549"/>
      <c r="C498" s="516" t="s">
        <v>858</v>
      </c>
      <c r="D498" s="516"/>
      <c r="E498" s="379">
        <f>COUNTIFS(E272:E495, "=REMOVED")</f>
        <v>0</v>
      </c>
      <c r="F498" s="379">
        <f t="shared" ref="F498:I498" si="47">COUNTIFS(F272:F495, "=REMOVED")</f>
        <v>0</v>
      </c>
      <c r="G498" s="379">
        <f t="shared" si="47"/>
        <v>0</v>
      </c>
      <c r="H498" s="379">
        <f t="shared" si="47"/>
        <v>0</v>
      </c>
      <c r="I498" s="380">
        <f t="shared" si="47"/>
        <v>0</v>
      </c>
    </row>
    <row r="499" spans="2:9" ht="15.75" hidden="1" thickBot="1" x14ac:dyDescent="0.3">
      <c r="B499" s="550"/>
      <c r="C499" s="517" t="s">
        <v>859</v>
      </c>
      <c r="D499" s="517"/>
      <c r="E499" s="383">
        <f>COUNTIFS(E272:E495, "&gt;0")</f>
        <v>224</v>
      </c>
      <c r="F499" s="383">
        <f t="shared" ref="F499:I499" si="48">COUNTIFS(F272:F495, "&gt;0")</f>
        <v>223</v>
      </c>
      <c r="G499" s="383">
        <f t="shared" si="48"/>
        <v>221</v>
      </c>
      <c r="H499" s="383">
        <f t="shared" si="48"/>
        <v>224</v>
      </c>
      <c r="I499" s="384">
        <f t="shared" si="48"/>
        <v>222</v>
      </c>
    </row>
  </sheetData>
  <sheetProtection algorithmName="SHA-512" hashValue="6Ey/zVjnm1BMGauPqpXxRWbjSmhnIpobvJ0qKmpGeEvj6OnV3RGb1hYIqhEAMWg6SCi6DVX3bm03vmcQzkJORw==" saltValue="dh88XXS0gkaTJjMiU6APMA==" spinCount="100000" sheet="1" objects="1" scenarios="1"/>
  <mergeCells count="230">
    <mergeCell ref="C272:D272"/>
    <mergeCell ref="C273:D273"/>
    <mergeCell ref="C274:D274"/>
    <mergeCell ref="C275:D275"/>
    <mergeCell ref="C276:D276"/>
    <mergeCell ref="B3:L3"/>
    <mergeCell ref="B142:B143"/>
    <mergeCell ref="B270:B271"/>
    <mergeCell ref="C270:D271"/>
    <mergeCell ref="E270:H270"/>
    <mergeCell ref="E142:H142"/>
    <mergeCell ref="C282:D282"/>
    <mergeCell ref="C283:D283"/>
    <mergeCell ref="C284:D284"/>
    <mergeCell ref="C285:D285"/>
    <mergeCell ref="C286:D286"/>
    <mergeCell ref="C277:D277"/>
    <mergeCell ref="C278:D278"/>
    <mergeCell ref="C279:D279"/>
    <mergeCell ref="C280:D280"/>
    <mergeCell ref="C281:D281"/>
    <mergeCell ref="C292:D292"/>
    <mergeCell ref="C293:D293"/>
    <mergeCell ref="C294:D294"/>
    <mergeCell ref="C295:D295"/>
    <mergeCell ref="C296:D296"/>
    <mergeCell ref="C287:D287"/>
    <mergeCell ref="C288:D288"/>
    <mergeCell ref="C289:D289"/>
    <mergeCell ref="C290:D290"/>
    <mergeCell ref="C291:D291"/>
    <mergeCell ref="C302:D302"/>
    <mergeCell ref="C303:D303"/>
    <mergeCell ref="C304:D304"/>
    <mergeCell ref="C305:D305"/>
    <mergeCell ref="C306:D306"/>
    <mergeCell ref="C297:D297"/>
    <mergeCell ref="C298:D298"/>
    <mergeCell ref="C299:D299"/>
    <mergeCell ref="C300:D300"/>
    <mergeCell ref="C301:D301"/>
    <mergeCell ref="C312:D312"/>
    <mergeCell ref="C313:D313"/>
    <mergeCell ref="C314:D314"/>
    <mergeCell ref="C315:D315"/>
    <mergeCell ref="C316:D316"/>
    <mergeCell ref="C307:D307"/>
    <mergeCell ref="C308:D308"/>
    <mergeCell ref="C309:D309"/>
    <mergeCell ref="C310:D310"/>
    <mergeCell ref="C311:D311"/>
    <mergeCell ref="C322:D322"/>
    <mergeCell ref="C323:D323"/>
    <mergeCell ref="C324:D324"/>
    <mergeCell ref="C325:D325"/>
    <mergeCell ref="C326:D326"/>
    <mergeCell ref="C317:D317"/>
    <mergeCell ref="C318:D318"/>
    <mergeCell ref="C319:D319"/>
    <mergeCell ref="C320:D320"/>
    <mergeCell ref="C321:D321"/>
    <mergeCell ref="C332:D332"/>
    <mergeCell ref="C333:D333"/>
    <mergeCell ref="C334:D334"/>
    <mergeCell ref="C335:D335"/>
    <mergeCell ref="C336:D336"/>
    <mergeCell ref="C327:D327"/>
    <mergeCell ref="C328:D328"/>
    <mergeCell ref="C329:D329"/>
    <mergeCell ref="C330:D330"/>
    <mergeCell ref="C331:D331"/>
    <mergeCell ref="C342:D342"/>
    <mergeCell ref="C343:D343"/>
    <mergeCell ref="C344:D344"/>
    <mergeCell ref="C345:D345"/>
    <mergeCell ref="C346:D346"/>
    <mergeCell ref="C337:D337"/>
    <mergeCell ref="C338:D338"/>
    <mergeCell ref="C339:D339"/>
    <mergeCell ref="C340:D340"/>
    <mergeCell ref="C341:D341"/>
    <mergeCell ref="C352:D352"/>
    <mergeCell ref="C353:D353"/>
    <mergeCell ref="C354:D354"/>
    <mergeCell ref="C355:D355"/>
    <mergeCell ref="C356:D356"/>
    <mergeCell ref="C347:D347"/>
    <mergeCell ref="C348:D348"/>
    <mergeCell ref="C349:D349"/>
    <mergeCell ref="C350:D350"/>
    <mergeCell ref="C351:D351"/>
    <mergeCell ref="C362:D362"/>
    <mergeCell ref="C363:D363"/>
    <mergeCell ref="C364:D364"/>
    <mergeCell ref="C365:D365"/>
    <mergeCell ref="C366:D366"/>
    <mergeCell ref="C357:D357"/>
    <mergeCell ref="C358:D358"/>
    <mergeCell ref="C359:D359"/>
    <mergeCell ref="C360:D360"/>
    <mergeCell ref="C361:D361"/>
    <mergeCell ref="C372:D372"/>
    <mergeCell ref="C373:D373"/>
    <mergeCell ref="C374:D374"/>
    <mergeCell ref="C375:D375"/>
    <mergeCell ref="C376:D376"/>
    <mergeCell ref="C367:D367"/>
    <mergeCell ref="C368:D368"/>
    <mergeCell ref="C369:D369"/>
    <mergeCell ref="C370:D370"/>
    <mergeCell ref="C371:D371"/>
    <mergeCell ref="C382:D382"/>
    <mergeCell ref="C383:D383"/>
    <mergeCell ref="C384:D384"/>
    <mergeCell ref="C385:D385"/>
    <mergeCell ref="C386:D386"/>
    <mergeCell ref="C377:D377"/>
    <mergeCell ref="C378:D378"/>
    <mergeCell ref="C379:D379"/>
    <mergeCell ref="C380:D380"/>
    <mergeCell ref="C381:D381"/>
    <mergeCell ref="C392:D392"/>
    <mergeCell ref="C393:D393"/>
    <mergeCell ref="C394:D394"/>
    <mergeCell ref="C395:D395"/>
    <mergeCell ref="C396:D396"/>
    <mergeCell ref="C387:D387"/>
    <mergeCell ref="C388:D388"/>
    <mergeCell ref="C389:D389"/>
    <mergeCell ref="C390:D390"/>
    <mergeCell ref="C391:D391"/>
    <mergeCell ref="C402:D402"/>
    <mergeCell ref="C403:D403"/>
    <mergeCell ref="C404:D404"/>
    <mergeCell ref="C405:D405"/>
    <mergeCell ref="C406:D406"/>
    <mergeCell ref="C397:D397"/>
    <mergeCell ref="C398:D398"/>
    <mergeCell ref="C399:D399"/>
    <mergeCell ref="C400:D400"/>
    <mergeCell ref="C401:D401"/>
    <mergeCell ref="C412:D412"/>
    <mergeCell ref="C413:D413"/>
    <mergeCell ref="C414:D414"/>
    <mergeCell ref="C415:D415"/>
    <mergeCell ref="C416:D416"/>
    <mergeCell ref="C407:D407"/>
    <mergeCell ref="C408:D408"/>
    <mergeCell ref="C409:D409"/>
    <mergeCell ref="C410:D410"/>
    <mergeCell ref="C411:D411"/>
    <mergeCell ref="C422:D422"/>
    <mergeCell ref="C423:D423"/>
    <mergeCell ref="C424:D424"/>
    <mergeCell ref="C425:D425"/>
    <mergeCell ref="C426:D426"/>
    <mergeCell ref="C417:D417"/>
    <mergeCell ref="C418:D418"/>
    <mergeCell ref="C419:D419"/>
    <mergeCell ref="C420:D420"/>
    <mergeCell ref="C421:D421"/>
    <mergeCell ref="C432:D432"/>
    <mergeCell ref="C433:D433"/>
    <mergeCell ref="C434:D434"/>
    <mergeCell ref="C435:D435"/>
    <mergeCell ref="C436:D436"/>
    <mergeCell ref="C427:D427"/>
    <mergeCell ref="C428:D428"/>
    <mergeCell ref="C429:D429"/>
    <mergeCell ref="C430:D430"/>
    <mergeCell ref="C431:D431"/>
    <mergeCell ref="C442:D442"/>
    <mergeCell ref="C443:D443"/>
    <mergeCell ref="C444:D444"/>
    <mergeCell ref="C445:D445"/>
    <mergeCell ref="C446:D446"/>
    <mergeCell ref="C437:D437"/>
    <mergeCell ref="C438:D438"/>
    <mergeCell ref="C439:D439"/>
    <mergeCell ref="C440:D440"/>
    <mergeCell ref="C441:D441"/>
    <mergeCell ref="C452:D452"/>
    <mergeCell ref="C453:D453"/>
    <mergeCell ref="C454:D454"/>
    <mergeCell ref="C455:D455"/>
    <mergeCell ref="C456:D456"/>
    <mergeCell ref="C447:D447"/>
    <mergeCell ref="C448:D448"/>
    <mergeCell ref="C449:D449"/>
    <mergeCell ref="C450:D450"/>
    <mergeCell ref="C451:D451"/>
    <mergeCell ref="C462:D462"/>
    <mergeCell ref="C463:D463"/>
    <mergeCell ref="C464:D464"/>
    <mergeCell ref="C465:D465"/>
    <mergeCell ref="C466:D466"/>
    <mergeCell ref="C457:D457"/>
    <mergeCell ref="C458:D458"/>
    <mergeCell ref="C459:D459"/>
    <mergeCell ref="C460:D460"/>
    <mergeCell ref="C461:D461"/>
    <mergeCell ref="C472:D472"/>
    <mergeCell ref="C473:D473"/>
    <mergeCell ref="C474:D474"/>
    <mergeCell ref="C475:D475"/>
    <mergeCell ref="C476:D476"/>
    <mergeCell ref="C467:D467"/>
    <mergeCell ref="C468:D468"/>
    <mergeCell ref="C469:D469"/>
    <mergeCell ref="C470:D470"/>
    <mergeCell ref="C471:D471"/>
    <mergeCell ref="C482:D482"/>
    <mergeCell ref="C483:D483"/>
    <mergeCell ref="C484:D484"/>
    <mergeCell ref="C485:D485"/>
    <mergeCell ref="C486:D486"/>
    <mergeCell ref="C477:D477"/>
    <mergeCell ref="C478:D478"/>
    <mergeCell ref="C479:D479"/>
    <mergeCell ref="C480:D480"/>
    <mergeCell ref="C481:D481"/>
    <mergeCell ref="C492:D492"/>
    <mergeCell ref="C493:D493"/>
    <mergeCell ref="C494:D494"/>
    <mergeCell ref="C495:D495"/>
    <mergeCell ref="C487:D487"/>
    <mergeCell ref="C488:D488"/>
    <mergeCell ref="C489:D489"/>
    <mergeCell ref="C490:D490"/>
    <mergeCell ref="C491:D491"/>
  </mergeCells>
  <pageMargins left="0.7" right="0.7" top="0.75" bottom="0.75" header="0.3" footer="0.3"/>
  <pageSetup paperSize="3" scale="30" orientation="landscape" horizontalDpi="1200" verticalDpi="1200"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'Data Validation Sheet'!$B$3:$B$4</xm:f>
          </x14:formula1>
          <xm:sqref>H69:H80 H24:H35 H39:H50 H54:H65 H100:H111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theme="8"/>
    <pageSetUpPr fitToPage="1"/>
  </sheetPr>
  <dimension ref="A1:R543"/>
  <sheetViews>
    <sheetView showGridLines="0" zoomScale="60" zoomScaleNormal="60" workbookViewId="0">
      <selection activeCell="F25" sqref="F1:P1048576"/>
    </sheetView>
  </sheetViews>
  <sheetFormatPr defaultRowHeight="15" x14ac:dyDescent="0.25"/>
  <cols>
    <col min="1" max="1" width="5.7109375" customWidth="1"/>
    <col min="2" max="2" width="45.7109375" customWidth="1"/>
    <col min="3" max="7" width="20.85546875" customWidth="1"/>
    <col min="8" max="8" width="20.85546875" hidden="1" customWidth="1"/>
    <col min="9" max="9" width="20.85546875" customWidth="1"/>
    <col min="10" max="15" width="20.85546875" hidden="1" customWidth="1"/>
    <col min="16" max="16" width="6" customWidth="1"/>
    <col min="17" max="17" width="2.5703125" style="49" customWidth="1"/>
    <col min="18" max="18" width="5.7109375" customWidth="1"/>
  </cols>
  <sheetData>
    <row r="1" spans="1:18" s="96" customFormat="1" ht="15.75" x14ac:dyDescent="0.25">
      <c r="A1" s="56" t="s">
        <v>243</v>
      </c>
    </row>
    <row r="2" spans="1:18" s="96" customFormat="1" ht="26.25" x14ac:dyDescent="0.4">
      <c r="A2" s="112" t="s">
        <v>105</v>
      </c>
    </row>
    <row r="3" spans="1:18" s="49" customFormat="1" ht="14.25" customHeight="1" x14ac:dyDescent="0.5">
      <c r="B3" s="53"/>
      <c r="C3" s="53"/>
      <c r="D3" s="53"/>
      <c r="E3" s="53"/>
      <c r="F3" s="53"/>
      <c r="G3" s="53"/>
      <c r="H3" s="53"/>
      <c r="I3" s="53"/>
      <c r="J3" s="53"/>
      <c r="K3" s="53"/>
      <c r="L3" s="53"/>
      <c r="M3" s="53"/>
      <c r="N3" s="53"/>
      <c r="O3" s="53"/>
      <c r="P3" s="53"/>
    </row>
    <row r="4" spans="1:18" s="10" customFormat="1" ht="18" customHeight="1" x14ac:dyDescent="0.3">
      <c r="A4" s="47" t="s">
        <v>961</v>
      </c>
      <c r="C4" s="4"/>
      <c r="D4" s="46"/>
      <c r="E4" s="46"/>
      <c r="F4" s="46"/>
      <c r="G4" s="46"/>
      <c r="H4" s="46"/>
      <c r="I4" s="46"/>
      <c r="Q4" s="50"/>
      <c r="R4" s="45" t="s">
        <v>120</v>
      </c>
    </row>
    <row r="5" spans="1:18" s="10" customFormat="1" ht="15" customHeight="1" x14ac:dyDescent="0.3">
      <c r="B5" s="47"/>
      <c r="C5" s="4"/>
      <c r="D5" s="46"/>
      <c r="E5" s="46"/>
      <c r="F5" s="46"/>
      <c r="G5" s="46"/>
      <c r="H5" s="46"/>
      <c r="I5" s="46"/>
      <c r="P5" s="46"/>
      <c r="Q5" s="50"/>
    </row>
    <row r="6" spans="1:18" s="10" customFormat="1" ht="15" customHeight="1" thickBot="1" x14ac:dyDescent="0.3">
      <c r="B6" s="46" t="s">
        <v>1000</v>
      </c>
      <c r="C6" s="407"/>
      <c r="D6" s="46"/>
      <c r="E6" s="46"/>
      <c r="F6" s="46"/>
      <c r="G6" s="46"/>
      <c r="H6" s="46"/>
      <c r="I6" s="46"/>
      <c r="P6" s="46"/>
      <c r="Q6" s="50"/>
    </row>
    <row r="7" spans="1:18" ht="60" x14ac:dyDescent="0.25">
      <c r="B7" s="149"/>
      <c r="C7" s="298" t="s">
        <v>197</v>
      </c>
      <c r="D7" s="22" t="s">
        <v>198</v>
      </c>
      <c r="E7" s="412" t="s">
        <v>811</v>
      </c>
      <c r="F7" s="233" t="s">
        <v>112</v>
      </c>
      <c r="G7" s="22" t="s">
        <v>113</v>
      </c>
      <c r="H7" s="230" t="s">
        <v>128</v>
      </c>
      <c r="I7" s="297" t="s">
        <v>199</v>
      </c>
      <c r="J7" s="299" t="e">
        <f>#REF!</f>
        <v>#REF!</v>
      </c>
      <c r="K7" s="22" t="e">
        <f>#REF!</f>
        <v>#REF!</v>
      </c>
      <c r="L7" s="233" t="s">
        <v>112</v>
      </c>
      <c r="M7" s="22" t="s">
        <v>113</v>
      </c>
      <c r="N7" s="315" t="s">
        <v>790</v>
      </c>
      <c r="O7" s="297" t="s">
        <v>792</v>
      </c>
    </row>
    <row r="8" spans="1:18" s="10" customFormat="1" ht="15" customHeight="1" x14ac:dyDescent="0.25">
      <c r="B8" s="19" t="s">
        <v>7</v>
      </c>
      <c r="C8" s="63">
        <f>IFERROR(AVERAGEIFS($K$188:$K$307,$C$188:$C$307,"="&amp;B8), "NA")</f>
        <v>3.1666666666666665</v>
      </c>
      <c r="D8" s="63">
        <f t="shared" ref="D8:D19" si="0">IFERROR(AVERAGEIFS($E$316:$E$539,$C$316:$C$539, "="&amp;$B8), "NA")</f>
        <v>3.2</v>
      </c>
      <c r="E8" s="38">
        <f>IFERROR(ABS(D8-C8), "NA")</f>
        <v>3.3333333333333659E-2</v>
      </c>
      <c r="F8" s="82">
        <f t="shared" ref="F8:F19" si="1">COUNTIFS($C$188:$C$311, "="&amp;B8,$K$188:$K$311,"&gt;=0")</f>
        <v>6</v>
      </c>
      <c r="G8" s="78">
        <f t="shared" ref="G8:G19" si="2">COUNTIFS($C$316:$C$539, "="&amp;B8, $E$316:$E$539, "&gt;=0")</f>
        <v>15</v>
      </c>
      <c r="H8" s="116" t="s">
        <v>126</v>
      </c>
      <c r="I8" s="39">
        <f t="shared" ref="I8:I19" si="3">IF(AND(ISNUMBER(C8),ISNUMBER(D8)),IF(H8="Average All",((F8*C8)+(G8*D8))/(F8+G8),AVERAGE(C8:D8)), IF(AND(C8="NA", ISNUMBER(D8)), D8, "NA"))</f>
        <v>3.1833333333333336</v>
      </c>
      <c r="J8" s="406">
        <f t="array" ref="J8">IFERROR(MEDIAN(IF($C$188:$C$311=$B8,$F$188:$F$311)), "NA")</f>
        <v>3</v>
      </c>
      <c r="K8" s="63" t="e">
        <f>#REF!</f>
        <v>#REF!</v>
      </c>
      <c r="L8" s="82">
        <f t="shared" ref="L8:L19" si="4">COUNTIFS($C$188:$C$311, "="&amp;B8,$K$188:$K$311,"&gt;=0")</f>
        <v>6</v>
      </c>
      <c r="M8" s="78">
        <f t="shared" ref="M8:M19" si="5">COUNTIFS($C$316:$C$539, "="&amp;B8, $E$316:$E$539, "&gt;=0")</f>
        <v>15</v>
      </c>
      <c r="N8" s="116" t="s">
        <v>788</v>
      </c>
      <c r="O8" s="146" t="e">
        <f>IF($N8="Median of All",IF(AND(J8="NA",K8="NA"),"NA",#REF!),IFERROR(AVERAGE(J8,K8),"NA"))</f>
        <v>#REF!</v>
      </c>
      <c r="P8" s="9"/>
      <c r="Q8" s="50"/>
    </row>
    <row r="9" spans="1:18" s="10" customFormat="1" ht="15" customHeight="1" x14ac:dyDescent="0.25">
      <c r="B9" s="19" t="s">
        <v>34</v>
      </c>
      <c r="C9" s="229" t="str">
        <f t="shared" ref="C9:C19" si="6">IFERROR(AVERAGEIFS($K$188:$K$307,$C$188:$C$307,"="&amp;B9), "NA")</f>
        <v>NA</v>
      </c>
      <c r="D9" s="229" t="str">
        <f t="shared" si="0"/>
        <v>NA</v>
      </c>
      <c r="E9" s="38" t="str">
        <f t="shared" ref="E9:E19" si="7">IFERROR(ABS(D9-C9), "NA")</f>
        <v>NA</v>
      </c>
      <c r="F9" s="82">
        <f t="shared" si="1"/>
        <v>0</v>
      </c>
      <c r="G9" s="78">
        <f t="shared" si="2"/>
        <v>0</v>
      </c>
      <c r="H9" s="116" t="s">
        <v>125</v>
      </c>
      <c r="I9" s="39" t="str">
        <f t="shared" si="3"/>
        <v>NA</v>
      </c>
      <c r="J9" s="408" t="str">
        <f t="array" ref="J9">IFERROR(MEDIAN(IF($C$188:$C$311=$B9,$F$188:$F$311)), "NA")</f>
        <v>NA</v>
      </c>
      <c r="K9" s="229" t="e">
        <f>#REF!</f>
        <v>#REF!</v>
      </c>
      <c r="L9" s="82">
        <f t="shared" si="4"/>
        <v>0</v>
      </c>
      <c r="M9" s="78">
        <f t="shared" si="5"/>
        <v>0</v>
      </c>
      <c r="N9" s="116" t="s">
        <v>788</v>
      </c>
      <c r="O9" s="146" t="e">
        <f>IF($N9="Median of All",IF(AND(J9="NA",K9="NA"),"NA",#REF!),IFERROR(AVERAGE(J9,K9),"NA"))</f>
        <v>#REF!</v>
      </c>
      <c r="Q9" s="50"/>
    </row>
    <row r="10" spans="1:18" s="10" customFormat="1" ht="15" customHeight="1" x14ac:dyDescent="0.25">
      <c r="B10" s="19" t="s">
        <v>18</v>
      </c>
      <c r="C10" s="63">
        <f t="shared" si="6"/>
        <v>3</v>
      </c>
      <c r="D10" s="63">
        <f t="shared" si="0"/>
        <v>3.5333333333333332</v>
      </c>
      <c r="E10" s="38">
        <f t="shared" si="7"/>
        <v>0.53333333333333321</v>
      </c>
      <c r="F10" s="82">
        <f t="shared" si="1"/>
        <v>1</v>
      </c>
      <c r="G10" s="78">
        <f t="shared" si="2"/>
        <v>15</v>
      </c>
      <c r="H10" s="116" t="s">
        <v>125</v>
      </c>
      <c r="I10" s="39">
        <f t="shared" si="3"/>
        <v>3.5</v>
      </c>
      <c r="J10" s="406">
        <f t="array" ref="J10">IFERROR(MEDIAN(IF($C$188:$C$311=$B10,$F$188:$F$311)), "NA")</f>
        <v>3</v>
      </c>
      <c r="K10" s="63" t="e">
        <f>#REF!</f>
        <v>#REF!</v>
      </c>
      <c r="L10" s="82">
        <f t="shared" si="4"/>
        <v>1</v>
      </c>
      <c r="M10" s="78">
        <f t="shared" si="5"/>
        <v>15</v>
      </c>
      <c r="N10" s="116" t="s">
        <v>788</v>
      </c>
      <c r="O10" s="146" t="e">
        <f>IF($N10="Median of All",IF(AND(J10="NA",K10="NA"),"NA",#REF!),IFERROR(AVERAGE(J10,K10),"NA"))</f>
        <v>#REF!</v>
      </c>
      <c r="Q10" s="50"/>
    </row>
    <row r="11" spans="1:18" s="10" customFormat="1" ht="15" customHeight="1" x14ac:dyDescent="0.25">
      <c r="B11" s="19" t="s">
        <v>9</v>
      </c>
      <c r="C11" s="63">
        <f t="shared" si="6"/>
        <v>3.1428571428571428</v>
      </c>
      <c r="D11" s="63">
        <f t="shared" si="0"/>
        <v>3.4</v>
      </c>
      <c r="E11" s="38">
        <f t="shared" si="7"/>
        <v>0.25714285714285712</v>
      </c>
      <c r="F11" s="82">
        <f t="shared" si="1"/>
        <v>7</v>
      </c>
      <c r="G11" s="78">
        <f t="shared" si="2"/>
        <v>15</v>
      </c>
      <c r="H11" s="116" t="s">
        <v>126</v>
      </c>
      <c r="I11" s="39">
        <f t="shared" si="3"/>
        <v>3.2714285714285714</v>
      </c>
      <c r="J11" s="406">
        <f t="array" ref="J11">IFERROR(MEDIAN(IF($C$188:$C$311=$B11,$F$188:$F$311)), "NA")</f>
        <v>3</v>
      </c>
      <c r="K11" s="63" t="e">
        <f>#REF!</f>
        <v>#REF!</v>
      </c>
      <c r="L11" s="82">
        <f t="shared" si="4"/>
        <v>7</v>
      </c>
      <c r="M11" s="78">
        <f t="shared" si="5"/>
        <v>15</v>
      </c>
      <c r="N11" s="116" t="s">
        <v>788</v>
      </c>
      <c r="O11" s="146" t="e">
        <f>IF($N11="Median of All",IF(AND(J11="NA",K11="NA"),"NA",#REF!),IFERROR(AVERAGE(J11,K11),"NA"))</f>
        <v>#REF!</v>
      </c>
      <c r="Q11" s="50"/>
    </row>
    <row r="12" spans="1:18" s="10" customFormat="1" ht="15" customHeight="1" x14ac:dyDescent="0.25">
      <c r="B12" s="19" t="s">
        <v>10</v>
      </c>
      <c r="C12" s="229">
        <f t="shared" si="6"/>
        <v>3</v>
      </c>
      <c r="D12" s="229">
        <f t="shared" si="0"/>
        <v>2.7333333333333334</v>
      </c>
      <c r="E12" s="38">
        <f t="shared" si="7"/>
        <v>0.26666666666666661</v>
      </c>
      <c r="F12" s="235">
        <f t="shared" si="1"/>
        <v>1</v>
      </c>
      <c r="G12" s="236">
        <f t="shared" si="2"/>
        <v>15</v>
      </c>
      <c r="H12" s="237" t="s">
        <v>125</v>
      </c>
      <c r="I12" s="39">
        <f t="shared" si="3"/>
        <v>2.75</v>
      </c>
      <c r="J12" s="408">
        <f t="array" ref="J12">IFERROR(MEDIAN(IF($C$188:$C$311=$B12,$F$188:$F$311)), "NA")</f>
        <v>3</v>
      </c>
      <c r="K12" s="229" t="e">
        <f>#REF!</f>
        <v>#REF!</v>
      </c>
      <c r="L12" s="235">
        <f t="shared" si="4"/>
        <v>1</v>
      </c>
      <c r="M12" s="236">
        <f t="shared" si="5"/>
        <v>15</v>
      </c>
      <c r="N12" s="116" t="s">
        <v>788</v>
      </c>
      <c r="O12" s="146" t="e">
        <f>IF($N12="Median of All",IF(AND(J12="NA",K12="NA"),"NA",#REF!),IFERROR(AVERAGE(J12,K12),"NA"))</f>
        <v>#REF!</v>
      </c>
      <c r="Q12" s="50"/>
    </row>
    <row r="13" spans="1:18" s="10" customFormat="1" ht="15" customHeight="1" x14ac:dyDescent="0.25">
      <c r="B13" s="19" t="s">
        <v>11</v>
      </c>
      <c r="C13" s="63">
        <f t="shared" si="6"/>
        <v>3</v>
      </c>
      <c r="D13" s="63">
        <f t="shared" si="0"/>
        <v>3.6</v>
      </c>
      <c r="E13" s="38">
        <f t="shared" si="7"/>
        <v>0.60000000000000009</v>
      </c>
      <c r="F13" s="82">
        <f t="shared" si="1"/>
        <v>10</v>
      </c>
      <c r="G13" s="78">
        <f t="shared" si="2"/>
        <v>15</v>
      </c>
      <c r="H13" s="116" t="s">
        <v>126</v>
      </c>
      <c r="I13" s="39">
        <f t="shared" si="3"/>
        <v>3.3</v>
      </c>
      <c r="J13" s="406">
        <f t="array" ref="J13">IFERROR(MEDIAN(IF($C$188:$C$311=$B13,$F$188:$F$311)), "NA")</f>
        <v>5</v>
      </c>
      <c r="K13" s="63" t="e">
        <f>#REF!</f>
        <v>#REF!</v>
      </c>
      <c r="L13" s="82">
        <f t="shared" si="4"/>
        <v>10</v>
      </c>
      <c r="M13" s="78">
        <f t="shared" si="5"/>
        <v>15</v>
      </c>
      <c r="N13" s="116" t="s">
        <v>788</v>
      </c>
      <c r="O13" s="146" t="e">
        <f>IF($N13="Median of All",IF(AND(J13="NA",K13="NA"),"NA",#REF!),IFERROR(AVERAGE(J13,K13),"NA"))</f>
        <v>#REF!</v>
      </c>
      <c r="Q13" s="50"/>
    </row>
    <row r="14" spans="1:18" s="10" customFormat="1" ht="15" customHeight="1" x14ac:dyDescent="0.25">
      <c r="B14" s="19" t="s">
        <v>12</v>
      </c>
      <c r="C14" s="63">
        <f t="shared" si="6"/>
        <v>3.5</v>
      </c>
      <c r="D14" s="63">
        <f t="shared" si="0"/>
        <v>3.9333333333333331</v>
      </c>
      <c r="E14" s="38">
        <f t="shared" si="7"/>
        <v>0.43333333333333313</v>
      </c>
      <c r="F14" s="82">
        <f t="shared" si="1"/>
        <v>16</v>
      </c>
      <c r="G14" s="78">
        <f t="shared" si="2"/>
        <v>15</v>
      </c>
      <c r="H14" s="116" t="s">
        <v>126</v>
      </c>
      <c r="I14" s="39">
        <f t="shared" si="3"/>
        <v>3.7166666666666668</v>
      </c>
      <c r="J14" s="406">
        <f t="array" ref="J14">IFERROR(MEDIAN(IF($C$188:$C$311=$B14,$F$188:$F$311)), "NA")</f>
        <v>3</v>
      </c>
      <c r="K14" s="63" t="e">
        <f>#REF!</f>
        <v>#REF!</v>
      </c>
      <c r="L14" s="82">
        <f t="shared" si="4"/>
        <v>16</v>
      </c>
      <c r="M14" s="78">
        <f t="shared" si="5"/>
        <v>15</v>
      </c>
      <c r="N14" s="116" t="s">
        <v>788</v>
      </c>
      <c r="O14" s="146" t="e">
        <f>IF($N14="Median of All",IF(AND(J14="NA",K14="NA"),"NA",#REF!),IFERROR(AVERAGE(J14,K14),"NA"))</f>
        <v>#REF!</v>
      </c>
      <c r="Q14" s="50"/>
    </row>
    <row r="15" spans="1:18" s="10" customFormat="1" ht="15" customHeight="1" x14ac:dyDescent="0.25">
      <c r="B15" s="19" t="s">
        <v>13</v>
      </c>
      <c r="C15" s="63">
        <f t="shared" si="6"/>
        <v>3</v>
      </c>
      <c r="D15" s="63">
        <f t="shared" si="0"/>
        <v>2.6</v>
      </c>
      <c r="E15" s="38">
        <f t="shared" si="7"/>
        <v>0.39999999999999991</v>
      </c>
      <c r="F15" s="82">
        <f t="shared" si="1"/>
        <v>2</v>
      </c>
      <c r="G15" s="78">
        <f t="shared" si="2"/>
        <v>15</v>
      </c>
      <c r="H15" s="116" t="s">
        <v>125</v>
      </c>
      <c r="I15" s="39">
        <f t="shared" si="3"/>
        <v>2.6470588235294117</v>
      </c>
      <c r="J15" s="406">
        <f t="array" ref="J15">IFERROR(MEDIAN(IF($C$188:$C$311=$B15,$F$188:$F$311)), "NA")</f>
        <v>3</v>
      </c>
      <c r="K15" s="63" t="e">
        <f>#REF!</f>
        <v>#REF!</v>
      </c>
      <c r="L15" s="82">
        <f t="shared" si="4"/>
        <v>2</v>
      </c>
      <c r="M15" s="78">
        <f t="shared" si="5"/>
        <v>15</v>
      </c>
      <c r="N15" s="116" t="s">
        <v>788</v>
      </c>
      <c r="O15" s="146" t="e">
        <f>IF($N15="Median of All",IF(AND(J15="NA",K15="NA"),"NA",#REF!),IFERROR(AVERAGE(J15,K15),"NA"))</f>
        <v>#REF!</v>
      </c>
      <c r="Q15" s="50"/>
    </row>
    <row r="16" spans="1:18" s="10" customFormat="1" ht="15" customHeight="1" x14ac:dyDescent="0.25">
      <c r="B16" s="19" t="s">
        <v>14</v>
      </c>
      <c r="C16" s="63">
        <f t="shared" si="6"/>
        <v>3.9</v>
      </c>
      <c r="D16" s="63">
        <f t="shared" si="0"/>
        <v>4.4666666666666668</v>
      </c>
      <c r="E16" s="38">
        <f t="shared" si="7"/>
        <v>0.56666666666666687</v>
      </c>
      <c r="F16" s="82">
        <f t="shared" si="1"/>
        <v>20</v>
      </c>
      <c r="G16" s="78">
        <f t="shared" si="2"/>
        <v>15</v>
      </c>
      <c r="H16" s="116" t="s">
        <v>126</v>
      </c>
      <c r="I16" s="39">
        <f t="shared" si="3"/>
        <v>4.1833333333333336</v>
      </c>
      <c r="J16" s="406">
        <f t="array" ref="J16">IFERROR(MEDIAN(IF($C$188:$C$311=$B16,$F$188:$F$311)), "NA")</f>
        <v>5</v>
      </c>
      <c r="K16" s="63" t="e">
        <f>#REF!</f>
        <v>#REF!</v>
      </c>
      <c r="L16" s="82">
        <f t="shared" si="4"/>
        <v>20</v>
      </c>
      <c r="M16" s="78">
        <f t="shared" si="5"/>
        <v>15</v>
      </c>
      <c r="N16" s="116" t="s">
        <v>788</v>
      </c>
      <c r="O16" s="146" t="e">
        <f>IF($N16="Median of All",IF(AND(J16="NA",K16="NA"),"NA",#REF!),IFERROR(AVERAGE(J16,K16),"NA"))</f>
        <v>#REF!</v>
      </c>
      <c r="Q16" s="50"/>
    </row>
    <row r="17" spans="2:17" s="10" customFormat="1" ht="15" customHeight="1" x14ac:dyDescent="0.25">
      <c r="B17" s="19" t="s">
        <v>15</v>
      </c>
      <c r="C17" s="63">
        <f t="shared" si="6"/>
        <v>5</v>
      </c>
      <c r="D17" s="63">
        <f t="shared" si="0"/>
        <v>4.5333333333333332</v>
      </c>
      <c r="E17" s="38">
        <f t="shared" si="7"/>
        <v>0.46666666666666679</v>
      </c>
      <c r="F17" s="82">
        <f t="shared" si="1"/>
        <v>2</v>
      </c>
      <c r="G17" s="78">
        <f t="shared" si="2"/>
        <v>15</v>
      </c>
      <c r="H17" s="116" t="s">
        <v>125</v>
      </c>
      <c r="I17" s="39">
        <f t="shared" si="3"/>
        <v>4.5882352941176467</v>
      </c>
      <c r="J17" s="406">
        <f t="array" ref="J17">IFERROR(MEDIAN(IF($C$188:$C$311=$B17,$F$188:$F$311)), "NA")</f>
        <v>3</v>
      </c>
      <c r="K17" s="63" t="e">
        <f>#REF!</f>
        <v>#REF!</v>
      </c>
      <c r="L17" s="82">
        <f t="shared" si="4"/>
        <v>2</v>
      </c>
      <c r="M17" s="78">
        <f t="shared" si="5"/>
        <v>15</v>
      </c>
      <c r="N17" s="116" t="s">
        <v>788</v>
      </c>
      <c r="O17" s="146" t="e">
        <f>IF($N17="Median of All",IF(AND(J17="NA",K17="NA"),"NA",#REF!),IFERROR(AVERAGE(J17,K17),"NA"))</f>
        <v>#REF!</v>
      </c>
      <c r="Q17" s="50"/>
    </row>
    <row r="18" spans="2:17" s="10" customFormat="1" ht="15" customHeight="1" x14ac:dyDescent="0.25">
      <c r="B18" s="19" t="s">
        <v>16</v>
      </c>
      <c r="C18" s="63">
        <f t="shared" si="6"/>
        <v>3.8</v>
      </c>
      <c r="D18" s="63">
        <f t="shared" si="0"/>
        <v>4.2</v>
      </c>
      <c r="E18" s="38">
        <f t="shared" si="7"/>
        <v>0.40000000000000036</v>
      </c>
      <c r="F18" s="82">
        <f t="shared" si="1"/>
        <v>5</v>
      </c>
      <c r="G18" s="78">
        <f t="shared" si="2"/>
        <v>15</v>
      </c>
      <c r="H18" s="116" t="s">
        <v>126</v>
      </c>
      <c r="I18" s="39">
        <f t="shared" si="3"/>
        <v>4</v>
      </c>
      <c r="J18" s="406">
        <f t="array" ref="J18">IFERROR(MEDIAN(IF($C$188:$C$311=$B18,$F$188:$F$311)), "NA")</f>
        <v>5</v>
      </c>
      <c r="K18" s="63" t="e">
        <f>#REF!</f>
        <v>#REF!</v>
      </c>
      <c r="L18" s="82">
        <f t="shared" si="4"/>
        <v>5</v>
      </c>
      <c r="M18" s="78">
        <f t="shared" si="5"/>
        <v>15</v>
      </c>
      <c r="N18" s="116" t="s">
        <v>788</v>
      </c>
      <c r="O18" s="146" t="e">
        <f>IF($N18="Median of All",IF(AND(J18="NA",K18="NA"),"NA",#REF!),IFERROR(AVERAGE(J18,K18),"NA"))</f>
        <v>#REF!</v>
      </c>
      <c r="Q18" s="50"/>
    </row>
    <row r="19" spans="2:17" s="10" customFormat="1" ht="15" customHeight="1" thickBot="1" x14ac:dyDescent="0.3">
      <c r="B19" s="20" t="s">
        <v>17</v>
      </c>
      <c r="C19" s="234">
        <f t="shared" si="6"/>
        <v>3.2142857142857144</v>
      </c>
      <c r="D19" s="64">
        <f t="shared" si="0"/>
        <v>4.1428571428571432</v>
      </c>
      <c r="E19" s="41">
        <f t="shared" si="7"/>
        <v>0.92857142857142883</v>
      </c>
      <c r="F19" s="83">
        <f t="shared" si="1"/>
        <v>14</v>
      </c>
      <c r="G19" s="79">
        <f t="shared" si="2"/>
        <v>14</v>
      </c>
      <c r="H19" s="117" t="s">
        <v>126</v>
      </c>
      <c r="I19" s="42">
        <f t="shared" si="3"/>
        <v>3.6785714285714288</v>
      </c>
      <c r="J19" s="409">
        <f t="array" ref="J19">IFERROR(MEDIAN(IF($C$188:$C$311=$B19,$F$188:$F$311)), "NA")</f>
        <v>5</v>
      </c>
      <c r="K19" s="64" t="e">
        <f>#REF!</f>
        <v>#REF!</v>
      </c>
      <c r="L19" s="83">
        <f t="shared" si="4"/>
        <v>14</v>
      </c>
      <c r="M19" s="79">
        <f t="shared" si="5"/>
        <v>14</v>
      </c>
      <c r="N19" s="117" t="s">
        <v>788</v>
      </c>
      <c r="O19" s="410" t="e">
        <f>IF($N19="Median of All",IF(AND(J19="NA",K19="NA"),"NA",#REF!),IFERROR(AVERAGE(J19,K19),"NA"))</f>
        <v>#REF!</v>
      </c>
      <c r="Q19" s="50"/>
    </row>
    <row r="20" spans="2:17" s="10" customFormat="1" ht="18" customHeight="1" x14ac:dyDescent="0.3">
      <c r="B20" s="47"/>
      <c r="C20" s="4"/>
      <c r="D20" s="46"/>
      <c r="F20" s="46"/>
      <c r="G20" s="46"/>
      <c r="H20" s="46"/>
      <c r="I20" s="46"/>
      <c r="J20" s="46"/>
      <c r="Q20" s="50"/>
    </row>
    <row r="21" spans="2:17" s="10" customFormat="1" ht="18" customHeight="1" thickBot="1" x14ac:dyDescent="0.3">
      <c r="B21" s="46" t="s">
        <v>999</v>
      </c>
      <c r="C21" s="407"/>
      <c r="D21" s="46"/>
      <c r="F21" s="46"/>
      <c r="G21" s="46"/>
      <c r="H21" s="46"/>
      <c r="I21" s="46"/>
      <c r="J21" s="46"/>
      <c r="Q21" s="50"/>
    </row>
    <row r="22" spans="2:17" s="10" customFormat="1" ht="60" x14ac:dyDescent="0.25">
      <c r="B22" s="149"/>
      <c r="C22" s="298" t="s">
        <v>200</v>
      </c>
      <c r="D22" s="22" t="s">
        <v>201</v>
      </c>
      <c r="E22" s="412" t="s">
        <v>811</v>
      </c>
      <c r="F22" s="233" t="s">
        <v>112</v>
      </c>
      <c r="G22" s="22" t="s">
        <v>113</v>
      </c>
      <c r="H22" s="230" t="s">
        <v>128</v>
      </c>
      <c r="I22" s="297" t="s">
        <v>202</v>
      </c>
      <c r="J22" s="412" t="e">
        <f>#REF!</f>
        <v>#REF!</v>
      </c>
      <c r="K22" s="22" t="e">
        <f>#REF!</f>
        <v>#REF!</v>
      </c>
      <c r="L22" s="233" t="s">
        <v>112</v>
      </c>
      <c r="M22" s="22" t="s">
        <v>113</v>
      </c>
      <c r="N22" s="315" t="s">
        <v>790</v>
      </c>
      <c r="O22" s="297" t="s">
        <v>793</v>
      </c>
      <c r="Q22" s="50"/>
    </row>
    <row r="23" spans="2:17" s="10" customFormat="1" ht="18" customHeight="1" x14ac:dyDescent="0.25">
      <c r="B23" s="19" t="s">
        <v>7</v>
      </c>
      <c r="C23" s="63">
        <f>IFERROR(AVERAGEIFS($L$188:$L$307,$C$188:$C$307,"="&amp;B8), "NA")</f>
        <v>3.1666666666666665</v>
      </c>
      <c r="D23" s="63">
        <f t="shared" ref="D23:D34" si="8">IFERROR(AVERAGEIFS($F$316:$F$539,$C$316:$C$539, "="&amp;$B8), "NA")</f>
        <v>3.3333333333333335</v>
      </c>
      <c r="E23" s="38">
        <f>IFERROR(ABS(D23-C23), "NA")</f>
        <v>0.16666666666666696</v>
      </c>
      <c r="F23" s="82">
        <f t="shared" ref="F23:F34" si="9">COUNTIFS($C$188:$C$311, "="&amp;B23,$K$188:$K$311,"&gt;=0")</f>
        <v>6</v>
      </c>
      <c r="G23" s="78">
        <f t="shared" ref="G23:G34" si="10">COUNTIFS($C$316:$C$539, "="&amp;B23, $E$316:$E$539, "&gt;=0")</f>
        <v>15</v>
      </c>
      <c r="H23" s="116" t="s">
        <v>126</v>
      </c>
      <c r="I23" s="39">
        <f t="shared" ref="I23:I34" si="11">IF(AND(ISNUMBER(C23),ISNUMBER(D23)),IF(H23="Average All",((F23*C23)+(G23*D23))/(F23+G23),AVERAGE(C23:D23)), IF(AND(C23="NA", ISNUMBER(D23)), D23, "NA"))</f>
        <v>3.25</v>
      </c>
      <c r="J23" s="417" t="e">
        <f>#REF!</f>
        <v>#REF!</v>
      </c>
      <c r="K23" s="63" t="e">
        <f>#REF!</f>
        <v>#REF!</v>
      </c>
      <c r="L23" s="82">
        <f t="shared" ref="L23:L34" si="12">COUNTIFS($C$188:$C$311, "="&amp;B23,$K$188:$K$311,"&gt;=0")</f>
        <v>6</v>
      </c>
      <c r="M23" s="78">
        <f t="shared" ref="M23:M34" si="13">COUNTIFS($C$316:$C$539, "="&amp;B23, $E$316:$E$539, "&gt;=0")</f>
        <v>15</v>
      </c>
      <c r="N23" s="116" t="s">
        <v>788</v>
      </c>
      <c r="O23" s="146" t="e">
        <f>IF($N23="Median of All",IF(AND(J23="NA",K23="NA"),"NA",#REF!),IFERROR(AVERAGE(J23,K23),"NA"))</f>
        <v>#REF!</v>
      </c>
      <c r="Q23" s="50"/>
    </row>
    <row r="24" spans="2:17" s="10" customFormat="1" ht="18" customHeight="1" x14ac:dyDescent="0.25">
      <c r="B24" s="19" t="s">
        <v>34</v>
      </c>
      <c r="C24" s="63" t="str">
        <f t="shared" ref="C24:C34" si="14">IFERROR(AVERAGEIFS($L$188:$L$307,$C$188:$C$307,"="&amp;B9), "NA")</f>
        <v>NA</v>
      </c>
      <c r="D24" s="229" t="str">
        <f t="shared" si="8"/>
        <v>NA</v>
      </c>
      <c r="E24" s="38" t="str">
        <f t="shared" ref="E24:E34" si="15">IFERROR(ABS(D24-C24), "NA")</f>
        <v>NA</v>
      </c>
      <c r="F24" s="82">
        <f t="shared" si="9"/>
        <v>0</v>
      </c>
      <c r="G24" s="78">
        <f t="shared" si="10"/>
        <v>0</v>
      </c>
      <c r="H24" s="116" t="s">
        <v>125</v>
      </c>
      <c r="I24" s="39" t="str">
        <f t="shared" si="11"/>
        <v>NA</v>
      </c>
      <c r="J24" s="417" t="e">
        <f>#REF!</f>
        <v>#REF!</v>
      </c>
      <c r="K24" s="229" t="e">
        <f>#REF!</f>
        <v>#REF!</v>
      </c>
      <c r="L24" s="82">
        <f t="shared" si="12"/>
        <v>0</v>
      </c>
      <c r="M24" s="78">
        <f t="shared" si="13"/>
        <v>0</v>
      </c>
      <c r="N24" s="116" t="s">
        <v>788</v>
      </c>
      <c r="O24" s="146" t="e">
        <f>IF($N24="Median of All",IF(AND(J24="NA",K24="NA"),"NA",#REF!),IFERROR(AVERAGE(J24,K24),"NA"))</f>
        <v>#REF!</v>
      </c>
      <c r="Q24" s="50"/>
    </row>
    <row r="25" spans="2:17" s="10" customFormat="1" ht="18" customHeight="1" x14ac:dyDescent="0.25">
      <c r="B25" s="19" t="s">
        <v>18</v>
      </c>
      <c r="C25" s="63">
        <f t="shared" si="14"/>
        <v>3</v>
      </c>
      <c r="D25" s="63">
        <f t="shared" si="8"/>
        <v>3.6666666666666665</v>
      </c>
      <c r="E25" s="38">
        <f t="shared" si="15"/>
        <v>0.66666666666666652</v>
      </c>
      <c r="F25" s="82">
        <f t="shared" si="9"/>
        <v>1</v>
      </c>
      <c r="G25" s="78">
        <f t="shared" si="10"/>
        <v>15</v>
      </c>
      <c r="H25" s="116" t="s">
        <v>125</v>
      </c>
      <c r="I25" s="39">
        <f t="shared" si="11"/>
        <v>3.625</v>
      </c>
      <c r="J25" s="417" t="e">
        <f>#REF!</f>
        <v>#REF!</v>
      </c>
      <c r="K25" s="63" t="e">
        <f>#REF!</f>
        <v>#REF!</v>
      </c>
      <c r="L25" s="82">
        <f t="shared" si="12"/>
        <v>1</v>
      </c>
      <c r="M25" s="78">
        <f t="shared" si="13"/>
        <v>15</v>
      </c>
      <c r="N25" s="116" t="s">
        <v>788</v>
      </c>
      <c r="O25" s="146" t="e">
        <f>IF($N25="Median of All",IF(AND(J25="NA",K25="NA"),"NA",#REF!),IFERROR(AVERAGE(J25,K25),"NA"))</f>
        <v>#REF!</v>
      </c>
      <c r="Q25" s="50"/>
    </row>
    <row r="26" spans="2:17" s="10" customFormat="1" ht="18" customHeight="1" x14ac:dyDescent="0.25">
      <c r="B26" s="19" t="s">
        <v>9</v>
      </c>
      <c r="C26" s="63">
        <f t="shared" si="14"/>
        <v>3.2857142857142856</v>
      </c>
      <c r="D26" s="63">
        <f t="shared" si="8"/>
        <v>3.4</v>
      </c>
      <c r="E26" s="38">
        <f t="shared" si="15"/>
        <v>0.11428571428571432</v>
      </c>
      <c r="F26" s="82">
        <f t="shared" si="9"/>
        <v>7</v>
      </c>
      <c r="G26" s="78">
        <f t="shared" si="10"/>
        <v>15</v>
      </c>
      <c r="H26" s="116" t="s">
        <v>126</v>
      </c>
      <c r="I26" s="39">
        <f t="shared" si="11"/>
        <v>3.3428571428571425</v>
      </c>
      <c r="J26" s="417" t="e">
        <f>#REF!</f>
        <v>#REF!</v>
      </c>
      <c r="K26" s="63" t="e">
        <f>#REF!</f>
        <v>#REF!</v>
      </c>
      <c r="L26" s="82">
        <f t="shared" si="12"/>
        <v>7</v>
      </c>
      <c r="M26" s="78">
        <f t="shared" si="13"/>
        <v>15</v>
      </c>
      <c r="N26" s="116" t="s">
        <v>788</v>
      </c>
      <c r="O26" s="146" t="e">
        <f>IF($N26="Median of All",IF(AND(J26="NA",K26="NA"),"NA",#REF!),IFERROR(AVERAGE(J26,K26),"NA"))</f>
        <v>#REF!</v>
      </c>
      <c r="Q26" s="50"/>
    </row>
    <row r="27" spans="2:17" s="10" customFormat="1" ht="18" customHeight="1" x14ac:dyDescent="0.25">
      <c r="B27" s="19" t="s">
        <v>10</v>
      </c>
      <c r="C27" s="63">
        <f t="shared" si="14"/>
        <v>3</v>
      </c>
      <c r="D27" s="229">
        <f t="shared" si="8"/>
        <v>2.8</v>
      </c>
      <c r="E27" s="38">
        <f t="shared" si="15"/>
        <v>0.20000000000000018</v>
      </c>
      <c r="F27" s="82">
        <f t="shared" si="9"/>
        <v>1</v>
      </c>
      <c r="G27" s="78">
        <f t="shared" si="10"/>
        <v>15</v>
      </c>
      <c r="H27" s="116" t="s">
        <v>125</v>
      </c>
      <c r="I27" s="39">
        <f t="shared" si="11"/>
        <v>2.8125</v>
      </c>
      <c r="J27" s="417" t="e">
        <f>#REF!</f>
        <v>#REF!</v>
      </c>
      <c r="K27" s="229" t="e">
        <f>#REF!</f>
        <v>#REF!</v>
      </c>
      <c r="L27" s="82">
        <f t="shared" si="12"/>
        <v>1</v>
      </c>
      <c r="M27" s="78">
        <f t="shared" si="13"/>
        <v>15</v>
      </c>
      <c r="N27" s="116" t="s">
        <v>788</v>
      </c>
      <c r="O27" s="146" t="e">
        <f>IF($N27="Median of All",IF(AND(J27="NA",K27="NA"),"NA",#REF!),IFERROR(AVERAGE(J27,K27),"NA"))</f>
        <v>#REF!</v>
      </c>
      <c r="Q27" s="50"/>
    </row>
    <row r="28" spans="2:17" s="10" customFormat="1" ht="18" customHeight="1" x14ac:dyDescent="0.25">
      <c r="B28" s="19" t="s">
        <v>11</v>
      </c>
      <c r="C28" s="63">
        <f t="shared" si="14"/>
        <v>3.6</v>
      </c>
      <c r="D28" s="63">
        <f t="shared" si="8"/>
        <v>4.0666666666666664</v>
      </c>
      <c r="E28" s="38">
        <f t="shared" si="15"/>
        <v>0.46666666666666634</v>
      </c>
      <c r="F28" s="82">
        <f t="shared" si="9"/>
        <v>10</v>
      </c>
      <c r="G28" s="78">
        <f t="shared" si="10"/>
        <v>15</v>
      </c>
      <c r="H28" s="116" t="s">
        <v>126</v>
      </c>
      <c r="I28" s="39">
        <f t="shared" si="11"/>
        <v>3.833333333333333</v>
      </c>
      <c r="J28" s="417" t="e">
        <f>#REF!</f>
        <v>#REF!</v>
      </c>
      <c r="K28" s="63" t="e">
        <f>#REF!</f>
        <v>#REF!</v>
      </c>
      <c r="L28" s="82">
        <f t="shared" si="12"/>
        <v>10</v>
      </c>
      <c r="M28" s="78">
        <f t="shared" si="13"/>
        <v>15</v>
      </c>
      <c r="N28" s="116" t="s">
        <v>788</v>
      </c>
      <c r="O28" s="146" t="e">
        <f>IF($N28="Median of All",IF(AND(J28="NA",K28="NA"),"NA",#REF!),IFERROR(AVERAGE(J28,K28),"NA"))</f>
        <v>#REF!</v>
      </c>
      <c r="Q28" s="50"/>
    </row>
    <row r="29" spans="2:17" s="10" customFormat="1" ht="18" customHeight="1" x14ac:dyDescent="0.25">
      <c r="B29" s="19" t="s">
        <v>12</v>
      </c>
      <c r="C29" s="63">
        <f t="shared" si="14"/>
        <v>3.75</v>
      </c>
      <c r="D29" s="63">
        <f t="shared" si="8"/>
        <v>3.9333333333333331</v>
      </c>
      <c r="E29" s="38">
        <f t="shared" si="15"/>
        <v>0.18333333333333313</v>
      </c>
      <c r="F29" s="82">
        <f t="shared" si="9"/>
        <v>16</v>
      </c>
      <c r="G29" s="78">
        <f t="shared" si="10"/>
        <v>15</v>
      </c>
      <c r="H29" s="116" t="s">
        <v>126</v>
      </c>
      <c r="I29" s="39">
        <f t="shared" si="11"/>
        <v>3.8416666666666668</v>
      </c>
      <c r="J29" s="417" t="e">
        <f>#REF!</f>
        <v>#REF!</v>
      </c>
      <c r="K29" s="63" t="e">
        <f>#REF!</f>
        <v>#REF!</v>
      </c>
      <c r="L29" s="82">
        <f t="shared" si="12"/>
        <v>16</v>
      </c>
      <c r="M29" s="78">
        <f t="shared" si="13"/>
        <v>15</v>
      </c>
      <c r="N29" s="116" t="s">
        <v>788</v>
      </c>
      <c r="O29" s="146" t="e">
        <f>IF($N29="Median of All",IF(AND(J29="NA",K29="NA"),"NA",#REF!),IFERROR(AVERAGE(J29,K29),"NA"))</f>
        <v>#REF!</v>
      </c>
      <c r="Q29" s="50"/>
    </row>
    <row r="30" spans="2:17" s="10" customFormat="1" ht="18" customHeight="1" x14ac:dyDescent="0.25">
      <c r="B30" s="19" t="s">
        <v>13</v>
      </c>
      <c r="C30" s="63">
        <f t="shared" si="14"/>
        <v>3</v>
      </c>
      <c r="D30" s="63">
        <f t="shared" si="8"/>
        <v>2.2666666666666666</v>
      </c>
      <c r="E30" s="38">
        <f t="shared" si="15"/>
        <v>0.73333333333333339</v>
      </c>
      <c r="F30" s="82">
        <f t="shared" si="9"/>
        <v>2</v>
      </c>
      <c r="G30" s="78">
        <f t="shared" si="10"/>
        <v>15</v>
      </c>
      <c r="H30" s="116" t="s">
        <v>125</v>
      </c>
      <c r="I30" s="39">
        <f t="shared" si="11"/>
        <v>2.3529411764705883</v>
      </c>
      <c r="J30" s="417" t="e">
        <f>#REF!</f>
        <v>#REF!</v>
      </c>
      <c r="K30" s="63" t="e">
        <f>#REF!</f>
        <v>#REF!</v>
      </c>
      <c r="L30" s="82">
        <f t="shared" si="12"/>
        <v>2</v>
      </c>
      <c r="M30" s="78">
        <f t="shared" si="13"/>
        <v>15</v>
      </c>
      <c r="N30" s="116" t="s">
        <v>788</v>
      </c>
      <c r="O30" s="146" t="e">
        <f>IF($N30="Median of All",IF(AND(J30="NA",K30="NA"),"NA",#REF!),IFERROR(AVERAGE(J30,K30),"NA"))</f>
        <v>#REF!</v>
      </c>
      <c r="Q30" s="50"/>
    </row>
    <row r="31" spans="2:17" s="10" customFormat="1" ht="18" customHeight="1" x14ac:dyDescent="0.25">
      <c r="B31" s="19" t="s">
        <v>14</v>
      </c>
      <c r="C31" s="63">
        <f t="shared" si="14"/>
        <v>4.4000000000000004</v>
      </c>
      <c r="D31" s="63">
        <f t="shared" si="8"/>
        <v>4.333333333333333</v>
      </c>
      <c r="E31" s="38">
        <f t="shared" si="15"/>
        <v>6.6666666666667318E-2</v>
      </c>
      <c r="F31" s="82">
        <f t="shared" si="9"/>
        <v>20</v>
      </c>
      <c r="G31" s="78">
        <f t="shared" si="10"/>
        <v>15</v>
      </c>
      <c r="H31" s="116" t="s">
        <v>126</v>
      </c>
      <c r="I31" s="39">
        <f t="shared" si="11"/>
        <v>4.3666666666666671</v>
      </c>
      <c r="J31" s="417" t="e">
        <f>#REF!</f>
        <v>#REF!</v>
      </c>
      <c r="K31" s="63" t="e">
        <f>#REF!</f>
        <v>#REF!</v>
      </c>
      <c r="L31" s="82">
        <f t="shared" si="12"/>
        <v>20</v>
      </c>
      <c r="M31" s="78">
        <f t="shared" si="13"/>
        <v>15</v>
      </c>
      <c r="N31" s="116" t="s">
        <v>788</v>
      </c>
      <c r="O31" s="146" t="e">
        <f>IF($N31="Median of All",IF(AND(J31="NA",K31="NA"),"NA",#REF!),IFERROR(AVERAGE(J31,K31),"NA"))</f>
        <v>#REF!</v>
      </c>
      <c r="Q31" s="50"/>
    </row>
    <row r="32" spans="2:17" s="10" customFormat="1" ht="18" customHeight="1" x14ac:dyDescent="0.25">
      <c r="B32" s="19" t="s">
        <v>15</v>
      </c>
      <c r="C32" s="63">
        <f t="shared" si="14"/>
        <v>4.5</v>
      </c>
      <c r="D32" s="63">
        <f t="shared" si="8"/>
        <v>4.5333333333333332</v>
      </c>
      <c r="E32" s="38">
        <f t="shared" si="15"/>
        <v>3.3333333333333215E-2</v>
      </c>
      <c r="F32" s="82">
        <f t="shared" si="9"/>
        <v>2</v>
      </c>
      <c r="G32" s="78">
        <f t="shared" si="10"/>
        <v>15</v>
      </c>
      <c r="H32" s="116" t="s">
        <v>125</v>
      </c>
      <c r="I32" s="39">
        <f t="shared" si="11"/>
        <v>4.5294117647058822</v>
      </c>
      <c r="J32" s="417" t="e">
        <f>#REF!</f>
        <v>#REF!</v>
      </c>
      <c r="K32" s="63" t="e">
        <f>#REF!</f>
        <v>#REF!</v>
      </c>
      <c r="L32" s="82">
        <f t="shared" si="12"/>
        <v>2</v>
      </c>
      <c r="M32" s="78">
        <f t="shared" si="13"/>
        <v>15</v>
      </c>
      <c r="N32" s="116" t="s">
        <v>788</v>
      </c>
      <c r="O32" s="146" t="e">
        <f>IF($N32="Median of All",IF(AND(J32="NA",K32="NA"),"NA",#REF!),IFERROR(AVERAGE(J32,K32),"NA"))</f>
        <v>#REF!</v>
      </c>
      <c r="Q32" s="50"/>
    </row>
    <row r="33" spans="2:17" s="10" customFormat="1" ht="18" customHeight="1" x14ac:dyDescent="0.25">
      <c r="B33" s="19" t="s">
        <v>16</v>
      </c>
      <c r="C33" s="63">
        <f t="shared" si="14"/>
        <v>4.2</v>
      </c>
      <c r="D33" s="63">
        <f t="shared" si="8"/>
        <v>4.1333333333333337</v>
      </c>
      <c r="E33" s="38">
        <f t="shared" si="15"/>
        <v>6.666666666666643E-2</v>
      </c>
      <c r="F33" s="82">
        <f t="shared" si="9"/>
        <v>5</v>
      </c>
      <c r="G33" s="78">
        <f t="shared" si="10"/>
        <v>15</v>
      </c>
      <c r="H33" s="116" t="s">
        <v>126</v>
      </c>
      <c r="I33" s="39">
        <f t="shared" si="11"/>
        <v>4.166666666666667</v>
      </c>
      <c r="J33" s="417" t="e">
        <f>#REF!</f>
        <v>#REF!</v>
      </c>
      <c r="K33" s="63" t="e">
        <f>#REF!</f>
        <v>#REF!</v>
      </c>
      <c r="L33" s="82">
        <f t="shared" si="12"/>
        <v>5</v>
      </c>
      <c r="M33" s="78">
        <f t="shared" si="13"/>
        <v>15</v>
      </c>
      <c r="N33" s="116" t="s">
        <v>788</v>
      </c>
      <c r="O33" s="146" t="e">
        <f>IF($N33="Median of All",IF(AND(J33="NA",K33="NA"),"NA",#REF!),IFERROR(AVERAGE(J33,K33),"NA"))</f>
        <v>#REF!</v>
      </c>
      <c r="Q33" s="50"/>
    </row>
    <row r="34" spans="2:17" s="10" customFormat="1" ht="18" customHeight="1" thickBot="1" x14ac:dyDescent="0.3">
      <c r="B34" s="20" t="s">
        <v>17</v>
      </c>
      <c r="C34" s="64">
        <f t="shared" si="14"/>
        <v>4.4285714285714288</v>
      </c>
      <c r="D34" s="64">
        <f t="shared" si="8"/>
        <v>3.8666666666666667</v>
      </c>
      <c r="E34" s="41">
        <f t="shared" si="15"/>
        <v>0.56190476190476213</v>
      </c>
      <c r="F34" s="83">
        <f t="shared" si="9"/>
        <v>14</v>
      </c>
      <c r="G34" s="79">
        <f t="shared" si="10"/>
        <v>14</v>
      </c>
      <c r="H34" s="117" t="s">
        <v>126</v>
      </c>
      <c r="I34" s="42">
        <f t="shared" si="11"/>
        <v>4.147619047619048</v>
      </c>
      <c r="J34" s="417" t="e">
        <f>#REF!</f>
        <v>#REF!</v>
      </c>
      <c r="K34" s="64" t="e">
        <f>#REF!</f>
        <v>#REF!</v>
      </c>
      <c r="L34" s="83">
        <f t="shared" si="12"/>
        <v>14</v>
      </c>
      <c r="M34" s="79">
        <f t="shared" si="13"/>
        <v>14</v>
      </c>
      <c r="N34" s="117" t="s">
        <v>788</v>
      </c>
      <c r="O34" s="410" t="e">
        <f>IF($N34="Median of All",IF(AND(J34="NA",K34="NA"),"NA",#REF!),IFERROR(AVERAGE(J34,K34),"NA"))</f>
        <v>#REF!</v>
      </c>
      <c r="Q34" s="50"/>
    </row>
    <row r="35" spans="2:17" s="10" customFormat="1" ht="18" customHeight="1" x14ac:dyDescent="0.25">
      <c r="B35" s="11"/>
      <c r="C35" s="4"/>
      <c r="D35" s="46"/>
      <c r="E35" s="46"/>
      <c r="F35" s="46"/>
      <c r="G35" s="46"/>
      <c r="H35" s="46"/>
      <c r="I35" s="46"/>
      <c r="Q35" s="50"/>
    </row>
    <row r="36" spans="2:17" s="10" customFormat="1" ht="18" customHeight="1" thickBot="1" x14ac:dyDescent="0.3">
      <c r="B36" s="46" t="s">
        <v>997</v>
      </c>
      <c r="C36" s="407"/>
      <c r="D36" s="46"/>
      <c r="F36" s="46"/>
      <c r="G36" s="46"/>
      <c r="H36" s="46"/>
      <c r="I36" s="46"/>
      <c r="Q36" s="50"/>
    </row>
    <row r="37" spans="2:17" s="10" customFormat="1" ht="90" x14ac:dyDescent="0.25">
      <c r="B37" s="25" t="s">
        <v>6</v>
      </c>
      <c r="C37" s="33" t="s">
        <v>199</v>
      </c>
      <c r="D37" s="33" t="s">
        <v>202</v>
      </c>
      <c r="E37" s="232" t="s">
        <v>203</v>
      </c>
      <c r="F37" s="659"/>
      <c r="G37" s="660"/>
      <c r="H37" s="660"/>
      <c r="I37" s="661"/>
      <c r="J37" s="299" t="s">
        <v>199</v>
      </c>
      <c r="K37" s="296" t="s">
        <v>202</v>
      </c>
      <c r="L37" s="232" t="s">
        <v>794</v>
      </c>
      <c r="Q37" s="50"/>
    </row>
    <row r="38" spans="2:17" s="10" customFormat="1" ht="18" customHeight="1" x14ac:dyDescent="0.25">
      <c r="B38" s="19" t="s">
        <v>7</v>
      </c>
      <c r="C38" s="38">
        <f t="shared" ref="C38:C49" si="16">I8</f>
        <v>3.1833333333333336</v>
      </c>
      <c r="D38" s="150">
        <f t="shared" ref="D38:D49" si="17">I23</f>
        <v>3.25</v>
      </c>
      <c r="E38" s="43">
        <f>IF(D38="NA","NA",AVERAGE(C38,D38))</f>
        <v>3.2166666666666668</v>
      </c>
      <c r="F38" s="662"/>
      <c r="G38" s="663"/>
      <c r="H38" s="663"/>
      <c r="I38" s="664"/>
      <c r="J38" s="404" t="e">
        <f t="shared" ref="J38:J49" si="18">O8</f>
        <v>#REF!</v>
      </c>
      <c r="K38" s="150" t="e">
        <f t="shared" ref="K38:K49" si="19">O23</f>
        <v>#REF!</v>
      </c>
      <c r="L38" s="43" t="e">
        <f>IF(K38="NA","NA",AVERAGE(J38,K38))</f>
        <v>#REF!</v>
      </c>
      <c r="Q38" s="50"/>
    </row>
    <row r="39" spans="2:17" s="10" customFormat="1" ht="18" customHeight="1" x14ac:dyDescent="0.25">
      <c r="B39" s="19" t="s">
        <v>34</v>
      </c>
      <c r="C39" s="38" t="str">
        <f t="shared" si="16"/>
        <v>NA</v>
      </c>
      <c r="D39" s="150" t="str">
        <f t="shared" si="17"/>
        <v>NA</v>
      </c>
      <c r="E39" s="43" t="str">
        <f t="shared" ref="E39:E49" si="20">IF(D39="NA","NA",AVERAGE(C39,D39))</f>
        <v>NA</v>
      </c>
      <c r="F39" s="662"/>
      <c r="G39" s="663"/>
      <c r="H39" s="663"/>
      <c r="I39" s="664"/>
      <c r="J39" s="404" t="e">
        <f t="shared" si="18"/>
        <v>#REF!</v>
      </c>
      <c r="K39" s="150" t="e">
        <f t="shared" si="19"/>
        <v>#REF!</v>
      </c>
      <c r="L39" s="43" t="e">
        <f t="shared" ref="L39:L49" si="21">IF(K39="NA","NA",AVERAGE(J39,K39))</f>
        <v>#REF!</v>
      </c>
      <c r="Q39" s="50"/>
    </row>
    <row r="40" spans="2:17" s="10" customFormat="1" ht="18" customHeight="1" x14ac:dyDescent="0.25">
      <c r="B40" s="19" t="s">
        <v>286</v>
      </c>
      <c r="C40" s="38">
        <f t="shared" si="16"/>
        <v>3.5</v>
      </c>
      <c r="D40" s="150">
        <f t="shared" si="17"/>
        <v>3.625</v>
      </c>
      <c r="E40" s="43">
        <f t="shared" si="20"/>
        <v>3.5625</v>
      </c>
      <c r="F40" s="662"/>
      <c r="G40" s="663"/>
      <c r="H40" s="663"/>
      <c r="I40" s="664"/>
      <c r="J40" s="404" t="e">
        <f t="shared" si="18"/>
        <v>#REF!</v>
      </c>
      <c r="K40" s="150" t="e">
        <f t="shared" si="19"/>
        <v>#REF!</v>
      </c>
      <c r="L40" s="43" t="e">
        <f t="shared" si="21"/>
        <v>#REF!</v>
      </c>
      <c r="Q40" s="50"/>
    </row>
    <row r="41" spans="2:17" s="10" customFormat="1" ht="18" customHeight="1" x14ac:dyDescent="0.25">
      <c r="B41" s="19" t="s">
        <v>9</v>
      </c>
      <c r="C41" s="38">
        <f t="shared" si="16"/>
        <v>3.2714285714285714</v>
      </c>
      <c r="D41" s="150">
        <f t="shared" si="17"/>
        <v>3.3428571428571425</v>
      </c>
      <c r="E41" s="43">
        <f t="shared" si="20"/>
        <v>3.3071428571428569</v>
      </c>
      <c r="F41" s="662"/>
      <c r="G41" s="663"/>
      <c r="H41" s="663"/>
      <c r="I41" s="664"/>
      <c r="J41" s="404" t="e">
        <f t="shared" si="18"/>
        <v>#REF!</v>
      </c>
      <c r="K41" s="150" t="e">
        <f t="shared" si="19"/>
        <v>#REF!</v>
      </c>
      <c r="L41" s="43" t="e">
        <f t="shared" si="21"/>
        <v>#REF!</v>
      </c>
      <c r="Q41" s="50"/>
    </row>
    <row r="42" spans="2:17" s="10" customFormat="1" ht="18" customHeight="1" x14ac:dyDescent="0.25">
      <c r="B42" s="19" t="s">
        <v>10</v>
      </c>
      <c r="C42" s="38">
        <f t="shared" si="16"/>
        <v>2.75</v>
      </c>
      <c r="D42" s="150">
        <f t="shared" si="17"/>
        <v>2.8125</v>
      </c>
      <c r="E42" s="43">
        <f t="shared" si="20"/>
        <v>2.78125</v>
      </c>
      <c r="F42" s="662"/>
      <c r="G42" s="663"/>
      <c r="H42" s="663"/>
      <c r="I42" s="664"/>
      <c r="J42" s="404" t="e">
        <f t="shared" si="18"/>
        <v>#REF!</v>
      </c>
      <c r="K42" s="150" t="e">
        <f t="shared" si="19"/>
        <v>#REF!</v>
      </c>
      <c r="L42" s="43" t="e">
        <f t="shared" si="21"/>
        <v>#REF!</v>
      </c>
      <c r="Q42" s="50"/>
    </row>
    <row r="43" spans="2:17" s="10" customFormat="1" ht="18" customHeight="1" x14ac:dyDescent="0.25">
      <c r="B43" s="19" t="s">
        <v>11</v>
      </c>
      <c r="C43" s="38">
        <f t="shared" si="16"/>
        <v>3.3</v>
      </c>
      <c r="D43" s="150">
        <f t="shared" si="17"/>
        <v>3.833333333333333</v>
      </c>
      <c r="E43" s="43">
        <f t="shared" si="20"/>
        <v>3.5666666666666664</v>
      </c>
      <c r="F43" s="662"/>
      <c r="G43" s="663"/>
      <c r="H43" s="663"/>
      <c r="I43" s="664"/>
      <c r="J43" s="404" t="e">
        <f t="shared" si="18"/>
        <v>#REF!</v>
      </c>
      <c r="K43" s="150" t="e">
        <f t="shared" si="19"/>
        <v>#REF!</v>
      </c>
      <c r="L43" s="43" t="e">
        <f t="shared" si="21"/>
        <v>#REF!</v>
      </c>
      <c r="Q43" s="50"/>
    </row>
    <row r="44" spans="2:17" s="10" customFormat="1" ht="18" customHeight="1" x14ac:dyDescent="0.25">
      <c r="B44" s="19" t="s">
        <v>12</v>
      </c>
      <c r="C44" s="38">
        <f t="shared" si="16"/>
        <v>3.7166666666666668</v>
      </c>
      <c r="D44" s="150">
        <f t="shared" si="17"/>
        <v>3.8416666666666668</v>
      </c>
      <c r="E44" s="43">
        <f t="shared" si="20"/>
        <v>3.7791666666666668</v>
      </c>
      <c r="F44" s="662"/>
      <c r="G44" s="663"/>
      <c r="H44" s="663"/>
      <c r="I44" s="664"/>
      <c r="J44" s="404" t="e">
        <f t="shared" si="18"/>
        <v>#REF!</v>
      </c>
      <c r="K44" s="150" t="e">
        <f t="shared" si="19"/>
        <v>#REF!</v>
      </c>
      <c r="L44" s="43" t="e">
        <f t="shared" si="21"/>
        <v>#REF!</v>
      </c>
      <c r="Q44" s="50"/>
    </row>
    <row r="45" spans="2:17" s="10" customFormat="1" ht="18" customHeight="1" x14ac:dyDescent="0.25">
      <c r="B45" s="19" t="s">
        <v>13</v>
      </c>
      <c r="C45" s="38">
        <f t="shared" si="16"/>
        <v>2.6470588235294117</v>
      </c>
      <c r="D45" s="150">
        <f t="shared" si="17"/>
        <v>2.3529411764705883</v>
      </c>
      <c r="E45" s="43">
        <f t="shared" si="20"/>
        <v>2.5</v>
      </c>
      <c r="F45" s="662"/>
      <c r="G45" s="663"/>
      <c r="H45" s="663"/>
      <c r="I45" s="664"/>
      <c r="J45" s="404" t="e">
        <f t="shared" si="18"/>
        <v>#REF!</v>
      </c>
      <c r="K45" s="150" t="e">
        <f t="shared" si="19"/>
        <v>#REF!</v>
      </c>
      <c r="L45" s="43" t="e">
        <f t="shared" si="21"/>
        <v>#REF!</v>
      </c>
      <c r="Q45" s="50"/>
    </row>
    <row r="46" spans="2:17" s="10" customFormat="1" ht="18" customHeight="1" x14ac:dyDescent="0.25">
      <c r="B46" s="19" t="s">
        <v>14</v>
      </c>
      <c r="C46" s="38">
        <f t="shared" si="16"/>
        <v>4.1833333333333336</v>
      </c>
      <c r="D46" s="150">
        <f t="shared" si="17"/>
        <v>4.3666666666666671</v>
      </c>
      <c r="E46" s="43">
        <f t="shared" si="20"/>
        <v>4.2750000000000004</v>
      </c>
      <c r="F46" s="662"/>
      <c r="G46" s="663"/>
      <c r="H46" s="663"/>
      <c r="I46" s="664"/>
      <c r="J46" s="404" t="e">
        <f t="shared" si="18"/>
        <v>#REF!</v>
      </c>
      <c r="K46" s="150" t="e">
        <f t="shared" si="19"/>
        <v>#REF!</v>
      </c>
      <c r="L46" s="43" t="e">
        <f t="shared" si="21"/>
        <v>#REF!</v>
      </c>
      <c r="Q46" s="50"/>
    </row>
    <row r="47" spans="2:17" s="10" customFormat="1" ht="18" customHeight="1" x14ac:dyDescent="0.25">
      <c r="B47" s="19" t="s">
        <v>15</v>
      </c>
      <c r="C47" s="38">
        <f t="shared" si="16"/>
        <v>4.5882352941176467</v>
      </c>
      <c r="D47" s="150">
        <f t="shared" si="17"/>
        <v>4.5294117647058822</v>
      </c>
      <c r="E47" s="43">
        <f t="shared" si="20"/>
        <v>4.5588235294117645</v>
      </c>
      <c r="F47" s="662"/>
      <c r="G47" s="663"/>
      <c r="H47" s="663"/>
      <c r="I47" s="664"/>
      <c r="J47" s="404" t="e">
        <f t="shared" si="18"/>
        <v>#REF!</v>
      </c>
      <c r="K47" s="150" t="e">
        <f t="shared" si="19"/>
        <v>#REF!</v>
      </c>
      <c r="L47" s="43" t="e">
        <f t="shared" si="21"/>
        <v>#REF!</v>
      </c>
      <c r="Q47" s="50"/>
    </row>
    <row r="48" spans="2:17" s="10" customFormat="1" ht="18" customHeight="1" x14ac:dyDescent="0.25">
      <c r="B48" s="19" t="s">
        <v>16</v>
      </c>
      <c r="C48" s="38">
        <f t="shared" si="16"/>
        <v>4</v>
      </c>
      <c r="D48" s="150">
        <f t="shared" si="17"/>
        <v>4.166666666666667</v>
      </c>
      <c r="E48" s="43">
        <f t="shared" si="20"/>
        <v>4.0833333333333339</v>
      </c>
      <c r="F48" s="662"/>
      <c r="G48" s="663"/>
      <c r="H48" s="663"/>
      <c r="I48" s="664"/>
      <c r="J48" s="404" t="e">
        <f t="shared" si="18"/>
        <v>#REF!</v>
      </c>
      <c r="K48" s="150" t="e">
        <f t="shared" si="19"/>
        <v>#REF!</v>
      </c>
      <c r="L48" s="43" t="e">
        <f t="shared" si="21"/>
        <v>#REF!</v>
      </c>
      <c r="Q48" s="50"/>
    </row>
    <row r="49" spans="2:17" s="10" customFormat="1" ht="18" customHeight="1" thickBot="1" x14ac:dyDescent="0.3">
      <c r="B49" s="20" t="s">
        <v>17</v>
      </c>
      <c r="C49" s="41">
        <f t="shared" si="16"/>
        <v>3.6785714285714288</v>
      </c>
      <c r="D49" s="151">
        <f t="shared" si="17"/>
        <v>4.147619047619048</v>
      </c>
      <c r="E49" s="44">
        <f t="shared" si="20"/>
        <v>3.9130952380952384</v>
      </c>
      <c r="F49" s="665"/>
      <c r="G49" s="666"/>
      <c r="H49" s="666"/>
      <c r="I49" s="667"/>
      <c r="J49" s="405" t="e">
        <f t="shared" si="18"/>
        <v>#REF!</v>
      </c>
      <c r="K49" s="151" t="e">
        <f t="shared" si="19"/>
        <v>#REF!</v>
      </c>
      <c r="L49" s="44" t="e">
        <f t="shared" si="21"/>
        <v>#REF!</v>
      </c>
      <c r="Q49" s="50"/>
    </row>
    <row r="50" spans="2:17" s="10" customFormat="1" ht="18" customHeight="1" x14ac:dyDescent="0.25">
      <c r="B50" s="11"/>
      <c r="C50" s="38"/>
      <c r="D50" s="46"/>
      <c r="E50" s="46"/>
      <c r="F50" s="46"/>
      <c r="G50" s="46"/>
      <c r="H50" s="46"/>
      <c r="I50" s="46"/>
      <c r="Q50" s="50"/>
    </row>
    <row r="51" spans="2:17" s="10" customFormat="1" ht="18" customHeight="1" thickBot="1" x14ac:dyDescent="0.3">
      <c r="B51" s="46" t="s">
        <v>998</v>
      </c>
      <c r="C51" s="4"/>
      <c r="D51" s="46"/>
      <c r="E51" s="46"/>
      <c r="F51" s="46"/>
      <c r="G51" s="46"/>
      <c r="H51" s="46"/>
      <c r="I51" s="46"/>
      <c r="Q51" s="50"/>
    </row>
    <row r="52" spans="2:17" s="10" customFormat="1" ht="45" x14ac:dyDescent="0.25">
      <c r="B52" s="25" t="s">
        <v>6</v>
      </c>
      <c r="C52" s="34" t="s">
        <v>204</v>
      </c>
      <c r="D52" s="46"/>
      <c r="E52" s="46"/>
      <c r="F52" s="46"/>
      <c r="G52" s="46"/>
      <c r="H52" s="46"/>
      <c r="I52" s="46"/>
      <c r="Q52" s="50"/>
    </row>
    <row r="53" spans="2:17" s="10" customFormat="1" ht="15" customHeight="1" x14ac:dyDescent="0.25">
      <c r="B53" s="19" t="s">
        <v>7</v>
      </c>
      <c r="C53" s="43">
        <f t="shared" ref="C53:C64" si="22">IF(OR(B53="Enhanced Conservation",B53="Imported Water Purchases"),"NA",AVERAGEIFS($G$188:$G$311,$C$188:$C$311,"="&amp;B53))</f>
        <v>3</v>
      </c>
      <c r="D53" s="46"/>
      <c r="E53" s="46"/>
      <c r="F53" s="46"/>
      <c r="G53" s="46"/>
      <c r="H53" s="46"/>
      <c r="I53" s="46"/>
      <c r="Q53" s="50"/>
    </row>
    <row r="54" spans="2:17" s="10" customFormat="1" ht="15" customHeight="1" x14ac:dyDescent="0.25">
      <c r="B54" s="19" t="s">
        <v>34</v>
      </c>
      <c r="C54" s="43" t="str">
        <f t="shared" si="22"/>
        <v>NA</v>
      </c>
      <c r="D54" s="46"/>
      <c r="E54" s="46"/>
      <c r="F54" s="46"/>
      <c r="G54" s="46"/>
      <c r="H54" s="46"/>
      <c r="I54" s="46"/>
      <c r="Q54" s="50"/>
    </row>
    <row r="55" spans="2:17" s="10" customFormat="1" ht="15" customHeight="1" x14ac:dyDescent="0.25">
      <c r="B55" s="19" t="s">
        <v>286</v>
      </c>
      <c r="C55" s="43">
        <f t="shared" si="22"/>
        <v>3</v>
      </c>
      <c r="D55" s="46"/>
      <c r="E55" s="46"/>
      <c r="F55" s="46"/>
      <c r="G55" s="46"/>
      <c r="H55" s="46"/>
      <c r="I55" s="46"/>
      <c r="Q55" s="50"/>
    </row>
    <row r="56" spans="2:17" s="10" customFormat="1" ht="15" customHeight="1" x14ac:dyDescent="0.25">
      <c r="B56" s="19" t="s">
        <v>9</v>
      </c>
      <c r="C56" s="43">
        <f t="shared" si="22"/>
        <v>3</v>
      </c>
      <c r="D56" s="46"/>
      <c r="E56" s="46"/>
      <c r="F56" s="46"/>
      <c r="G56" s="46"/>
      <c r="H56" s="46"/>
      <c r="I56" s="46"/>
      <c r="Q56" s="50"/>
    </row>
    <row r="57" spans="2:17" s="10" customFormat="1" ht="15" customHeight="1" x14ac:dyDescent="0.25">
      <c r="B57" s="19" t="s">
        <v>10</v>
      </c>
      <c r="C57" s="43" t="str">
        <f t="shared" si="22"/>
        <v>NA</v>
      </c>
      <c r="D57" s="46"/>
      <c r="E57" s="46"/>
      <c r="F57" s="46"/>
      <c r="G57" s="46"/>
      <c r="H57" s="46"/>
      <c r="I57" s="46"/>
      <c r="Q57" s="50"/>
    </row>
    <row r="58" spans="2:17" s="10" customFormat="1" ht="15" customHeight="1" x14ac:dyDescent="0.25">
      <c r="B58" s="19" t="s">
        <v>11</v>
      </c>
      <c r="C58" s="43">
        <f t="shared" si="22"/>
        <v>4.25</v>
      </c>
      <c r="D58" s="46"/>
      <c r="E58" s="46"/>
      <c r="F58" s="46"/>
      <c r="G58" s="46"/>
      <c r="H58" s="46"/>
      <c r="I58" s="46"/>
      <c r="Q58" s="50"/>
    </row>
    <row r="59" spans="2:17" s="10" customFormat="1" ht="15" customHeight="1" x14ac:dyDescent="0.25">
      <c r="B59" s="19" t="s">
        <v>12</v>
      </c>
      <c r="C59" s="43">
        <f t="shared" si="22"/>
        <v>3</v>
      </c>
      <c r="D59" s="46"/>
      <c r="E59" s="46"/>
      <c r="F59" s="46"/>
      <c r="G59" s="46"/>
      <c r="H59" s="46"/>
      <c r="I59" s="46"/>
      <c r="Q59" s="50"/>
    </row>
    <row r="60" spans="2:17" s="10" customFormat="1" ht="15" customHeight="1" x14ac:dyDescent="0.25">
      <c r="B60" s="19" t="s">
        <v>13</v>
      </c>
      <c r="C60" s="43">
        <f t="shared" si="22"/>
        <v>3</v>
      </c>
      <c r="D60" s="46"/>
      <c r="E60" s="46"/>
      <c r="F60" s="46"/>
      <c r="G60" s="46"/>
      <c r="H60" s="46"/>
      <c r="I60" s="46"/>
      <c r="Q60" s="50"/>
    </row>
    <row r="61" spans="2:17" s="10" customFormat="1" ht="15" customHeight="1" x14ac:dyDescent="0.25">
      <c r="B61" s="19" t="s">
        <v>14</v>
      </c>
      <c r="C61" s="290">
        <f t="shared" si="22"/>
        <v>4.1052631578947372</v>
      </c>
      <c r="D61" s="46"/>
      <c r="E61" s="46"/>
      <c r="F61" s="46"/>
      <c r="G61" s="46"/>
      <c r="H61" s="46"/>
      <c r="I61" s="46"/>
      <c r="Q61" s="50"/>
    </row>
    <row r="62" spans="2:17" s="10" customFormat="1" ht="15" customHeight="1" x14ac:dyDescent="0.25">
      <c r="B62" s="19" t="s">
        <v>15</v>
      </c>
      <c r="C62" s="43">
        <f t="shared" si="22"/>
        <v>3</v>
      </c>
      <c r="D62" s="46"/>
      <c r="E62" s="46"/>
      <c r="F62" s="46"/>
      <c r="G62" s="46"/>
      <c r="H62" s="46"/>
      <c r="I62" s="46"/>
      <c r="Q62" s="50"/>
    </row>
    <row r="63" spans="2:17" s="10" customFormat="1" ht="15" customHeight="1" x14ac:dyDescent="0.25">
      <c r="B63" s="19" t="s">
        <v>16</v>
      </c>
      <c r="C63" s="43">
        <f t="shared" si="22"/>
        <v>3.5</v>
      </c>
      <c r="D63" s="46"/>
      <c r="E63" s="46"/>
      <c r="F63" s="46"/>
      <c r="G63" s="46"/>
      <c r="H63" s="46"/>
      <c r="I63" s="46"/>
      <c r="Q63" s="50"/>
    </row>
    <row r="64" spans="2:17" s="10" customFormat="1" ht="15" customHeight="1" thickBot="1" x14ac:dyDescent="0.3">
      <c r="B64" s="20" t="s">
        <v>17</v>
      </c>
      <c r="C64" s="44">
        <f t="shared" si="22"/>
        <v>4.0714285714285712</v>
      </c>
      <c r="D64" s="46"/>
      <c r="E64" s="46"/>
      <c r="F64" s="46"/>
      <c r="G64" s="46"/>
      <c r="H64" s="46"/>
      <c r="I64" s="46"/>
      <c r="Q64" s="50"/>
    </row>
    <row r="65" spans="2:17" s="10" customFormat="1" ht="18" customHeight="1" x14ac:dyDescent="0.3">
      <c r="B65" s="47"/>
      <c r="C65" s="4"/>
      <c r="D65" s="46"/>
      <c r="E65" s="46"/>
      <c r="F65" s="46"/>
      <c r="G65" s="46"/>
      <c r="H65" s="46"/>
      <c r="I65" s="46"/>
      <c r="Q65" s="50"/>
    </row>
    <row r="66" spans="2:17" s="10" customFormat="1" ht="18" customHeight="1" thickBot="1" x14ac:dyDescent="0.3">
      <c r="B66" s="46" t="s">
        <v>1001</v>
      </c>
      <c r="C66" s="4"/>
      <c r="D66" s="46"/>
      <c r="E66" s="46"/>
      <c r="F66" s="46"/>
      <c r="G66" s="46"/>
      <c r="H66" s="46"/>
      <c r="I66" s="46"/>
      <c r="Q66" s="50"/>
    </row>
    <row r="67" spans="2:17" s="10" customFormat="1" ht="45" x14ac:dyDescent="0.25">
      <c r="B67" s="25" t="s">
        <v>6</v>
      </c>
      <c r="C67" s="34" t="s">
        <v>205</v>
      </c>
      <c r="D67" s="46"/>
      <c r="E67" s="14"/>
      <c r="F67" s="46"/>
      <c r="G67" s="14"/>
      <c r="H67" s="14"/>
      <c r="I67" s="14"/>
      <c r="J67" s="14"/>
      <c r="K67" s="14"/>
      <c r="L67" s="14"/>
      <c r="M67" s="14"/>
      <c r="N67" s="14"/>
      <c r="O67" s="14"/>
      <c r="Q67" s="50"/>
    </row>
    <row r="68" spans="2:17" s="10" customFormat="1" ht="15" customHeight="1" x14ac:dyDescent="0.25">
      <c r="B68" s="19" t="s">
        <v>7</v>
      </c>
      <c r="C68" s="43">
        <f t="shared" ref="C68:C79" si="23">IF(OR(B68="Enhanced Conservation",B68="Imported Water Purchases"),"NA",AVERAGEIFS($J$188:$J$311,$C$188:$C$311,"="&amp;B68))</f>
        <v>3.5</v>
      </c>
      <c r="D68" s="46"/>
      <c r="E68"/>
      <c r="F68" s="46"/>
      <c r="G68"/>
      <c r="H68"/>
      <c r="I68"/>
      <c r="J68"/>
      <c r="K68"/>
      <c r="L68"/>
      <c r="M68"/>
      <c r="N68"/>
      <c r="O68"/>
      <c r="Q68" s="50"/>
    </row>
    <row r="69" spans="2:17" s="10" customFormat="1" ht="15" customHeight="1" x14ac:dyDescent="0.25">
      <c r="B69" s="19" t="s">
        <v>34</v>
      </c>
      <c r="C69" s="43" t="str">
        <f t="shared" si="23"/>
        <v>NA</v>
      </c>
      <c r="D69" s="46"/>
      <c r="E69"/>
      <c r="F69" s="46"/>
      <c r="G69"/>
      <c r="H69"/>
      <c r="I69"/>
      <c r="J69"/>
      <c r="K69"/>
      <c r="L69"/>
      <c r="M69"/>
      <c r="N69"/>
      <c r="O69"/>
      <c r="Q69" s="50"/>
    </row>
    <row r="70" spans="2:17" s="10" customFormat="1" ht="15" customHeight="1" x14ac:dyDescent="0.25">
      <c r="B70" s="19" t="s">
        <v>286</v>
      </c>
      <c r="C70" s="43">
        <f t="shared" si="23"/>
        <v>3</v>
      </c>
      <c r="D70" s="46"/>
      <c r="E70"/>
      <c r="F70" s="46"/>
      <c r="G70"/>
      <c r="H70"/>
      <c r="I70"/>
      <c r="J70"/>
      <c r="K70"/>
      <c r="L70"/>
      <c r="M70"/>
      <c r="N70"/>
      <c r="O70"/>
      <c r="Q70" s="50"/>
    </row>
    <row r="71" spans="2:17" s="10" customFormat="1" ht="15" customHeight="1" x14ac:dyDescent="0.25">
      <c r="B71" s="19" t="s">
        <v>9</v>
      </c>
      <c r="C71" s="43">
        <f t="shared" si="23"/>
        <v>3.7777777777777777</v>
      </c>
      <c r="D71" s="46"/>
      <c r="E71"/>
      <c r="F71" s="46"/>
      <c r="G71"/>
      <c r="H71"/>
      <c r="I71"/>
      <c r="J71"/>
      <c r="K71"/>
      <c r="L71"/>
      <c r="M71"/>
      <c r="N71"/>
      <c r="O71"/>
      <c r="Q71" s="50"/>
    </row>
    <row r="72" spans="2:17" s="10" customFormat="1" ht="15" customHeight="1" x14ac:dyDescent="0.25">
      <c r="B72" s="19" t="s">
        <v>10</v>
      </c>
      <c r="C72" s="43" t="str">
        <f t="shared" si="23"/>
        <v>NA</v>
      </c>
      <c r="D72" s="46"/>
      <c r="E72"/>
      <c r="F72" s="46"/>
      <c r="G72"/>
      <c r="H72"/>
      <c r="I72"/>
      <c r="J72"/>
      <c r="K72"/>
      <c r="L72"/>
      <c r="M72"/>
      <c r="N72"/>
      <c r="O72"/>
      <c r="Q72" s="50"/>
    </row>
    <row r="73" spans="2:17" s="14" customFormat="1" ht="15" customHeight="1" x14ac:dyDescent="0.25">
      <c r="B73" s="19" t="s">
        <v>11</v>
      </c>
      <c r="C73" s="43">
        <f t="shared" si="23"/>
        <v>4.125</v>
      </c>
      <c r="D73" s="46"/>
      <c r="E73"/>
      <c r="F73" s="46"/>
      <c r="G73"/>
      <c r="H73"/>
      <c r="I73"/>
      <c r="J73"/>
      <c r="K73"/>
      <c r="L73"/>
      <c r="M73"/>
      <c r="N73"/>
      <c r="O73"/>
      <c r="Q73" s="50"/>
    </row>
    <row r="74" spans="2:17" ht="15" customHeight="1" x14ac:dyDescent="0.25">
      <c r="B74" s="19" t="s">
        <v>12</v>
      </c>
      <c r="C74" s="43">
        <f t="shared" si="23"/>
        <v>3</v>
      </c>
      <c r="D74" s="46"/>
      <c r="F74" s="46"/>
      <c r="Q74" s="50"/>
    </row>
    <row r="75" spans="2:17" ht="15" customHeight="1" x14ac:dyDescent="0.25">
      <c r="B75" s="19" t="s">
        <v>13</v>
      </c>
      <c r="C75" s="43">
        <f t="shared" si="23"/>
        <v>3</v>
      </c>
      <c r="D75" s="46"/>
      <c r="F75" s="46"/>
      <c r="Q75" s="50"/>
    </row>
    <row r="76" spans="2:17" ht="15" customHeight="1" x14ac:dyDescent="0.25">
      <c r="B76" s="19" t="s">
        <v>14</v>
      </c>
      <c r="C76" s="43">
        <f t="shared" si="23"/>
        <v>3.2105263157894739</v>
      </c>
      <c r="D76" s="46"/>
      <c r="F76" s="46"/>
      <c r="Q76" s="51"/>
    </row>
    <row r="77" spans="2:17" ht="15" customHeight="1" x14ac:dyDescent="0.25">
      <c r="B77" s="19" t="s">
        <v>15</v>
      </c>
      <c r="C77" s="43">
        <f t="shared" si="23"/>
        <v>3</v>
      </c>
      <c r="D77" s="46"/>
      <c r="F77" s="46"/>
    </row>
    <row r="78" spans="2:17" ht="15" customHeight="1" x14ac:dyDescent="0.25">
      <c r="B78" s="19" t="s">
        <v>16</v>
      </c>
      <c r="C78" s="43">
        <f t="shared" si="23"/>
        <v>3</v>
      </c>
      <c r="D78" s="46"/>
      <c r="F78" s="46"/>
      <c r="Q78" s="52"/>
    </row>
    <row r="79" spans="2:17" ht="15" customHeight="1" thickBot="1" x14ac:dyDescent="0.3">
      <c r="B79" s="20" t="s">
        <v>17</v>
      </c>
      <c r="C79" s="44">
        <f t="shared" si="23"/>
        <v>3.2142857142857144</v>
      </c>
      <c r="D79" s="46"/>
      <c r="F79" s="46"/>
    </row>
    <row r="80" spans="2:17" x14ac:dyDescent="0.25">
      <c r="Q80" s="52"/>
    </row>
    <row r="82" spans="2:17" ht="15.75" thickBot="1" x14ac:dyDescent="0.3">
      <c r="B82" s="46" t="s">
        <v>1002</v>
      </c>
      <c r="C82" s="1"/>
      <c r="G82" s="1"/>
      <c r="M82" s="4"/>
      <c r="N82" s="4"/>
      <c r="O82" s="4"/>
    </row>
    <row r="83" spans="2:17" ht="90" x14ac:dyDescent="0.25">
      <c r="B83" s="25" t="s">
        <v>6</v>
      </c>
      <c r="C83" s="33" t="s">
        <v>203</v>
      </c>
      <c r="D83" s="33" t="s">
        <v>206</v>
      </c>
      <c r="E83" s="33" t="s">
        <v>207</v>
      </c>
      <c r="F83" s="34" t="s">
        <v>208</v>
      </c>
      <c r="G83" s="611"/>
      <c r="H83" s="612"/>
      <c r="I83" s="613"/>
      <c r="J83" s="296" t="s">
        <v>852</v>
      </c>
      <c r="K83" s="296" t="s">
        <v>206</v>
      </c>
      <c r="L83" s="296" t="s">
        <v>207</v>
      </c>
      <c r="M83" s="297" t="s">
        <v>795</v>
      </c>
      <c r="N83" s="15"/>
      <c r="O83" s="15"/>
      <c r="Q83" s="52"/>
    </row>
    <row r="84" spans="2:17" x14ac:dyDescent="0.25">
      <c r="B84" s="19" t="s">
        <v>7</v>
      </c>
      <c r="C84" s="38">
        <f t="shared" ref="C84:C95" si="24">E38</f>
        <v>3.2166666666666668</v>
      </c>
      <c r="D84" s="38">
        <f>C53</f>
        <v>3</v>
      </c>
      <c r="E84" s="38">
        <f>C68</f>
        <v>3.5</v>
      </c>
      <c r="F84" s="39">
        <f>IF(OR(C84="NA", D84="NA", E84="NA"), "NA",AVERAGE(C84:E84))</f>
        <v>3.2388888888888889</v>
      </c>
      <c r="G84" s="614"/>
      <c r="H84" s="615"/>
      <c r="I84" s="616"/>
      <c r="J84" s="38" t="e">
        <f t="shared" ref="J84:J95" si="25">L38</f>
        <v>#REF!</v>
      </c>
      <c r="K84" s="38">
        <f t="shared" ref="K84:K95" si="26">C53</f>
        <v>3</v>
      </c>
      <c r="L84" s="38">
        <f t="shared" ref="L84:L95" si="27">C68</f>
        <v>3.5</v>
      </c>
      <c r="M84" s="39" t="e">
        <f>IF(OR(J84="NA", K84="NA", L84="NA"), "NA",AVERAGE(J84:L84))</f>
        <v>#REF!</v>
      </c>
      <c r="N84" s="4"/>
      <c r="O84" s="4"/>
    </row>
    <row r="85" spans="2:17" x14ac:dyDescent="0.25">
      <c r="B85" s="19" t="s">
        <v>34</v>
      </c>
      <c r="C85" s="38" t="str">
        <f t="shared" si="24"/>
        <v>NA</v>
      </c>
      <c r="D85" s="38" t="str">
        <f t="shared" ref="D85:D95" si="28">C54</f>
        <v>NA</v>
      </c>
      <c r="E85" s="38" t="str">
        <f t="shared" ref="E85:E95" si="29">C69</f>
        <v>NA</v>
      </c>
      <c r="F85" s="39" t="str">
        <f t="shared" ref="F85:F95" si="30">IF(OR(C85="NA", D85="NA", E85="NA"), "NA",AVERAGE(C85:E85))</f>
        <v>NA</v>
      </c>
      <c r="G85" s="614"/>
      <c r="H85" s="615"/>
      <c r="I85" s="616"/>
      <c r="J85" s="38" t="e">
        <f t="shared" si="25"/>
        <v>#REF!</v>
      </c>
      <c r="K85" s="38" t="str">
        <f t="shared" si="26"/>
        <v>NA</v>
      </c>
      <c r="L85" s="38" t="str">
        <f t="shared" si="27"/>
        <v>NA</v>
      </c>
      <c r="M85" s="39" t="e">
        <f t="shared" ref="M85:M95" si="31">IF(OR(J85="NA", K85="NA", L85="NA"), "NA",AVERAGE(J85:L85))</f>
        <v>#REF!</v>
      </c>
      <c r="N85" s="4"/>
      <c r="O85" s="4"/>
      <c r="Q85" s="52"/>
    </row>
    <row r="86" spans="2:17" x14ac:dyDescent="0.25">
      <c r="B86" s="19" t="s">
        <v>8</v>
      </c>
      <c r="C86" s="38">
        <f t="shared" si="24"/>
        <v>3.5625</v>
      </c>
      <c r="D86" s="38">
        <f t="shared" si="28"/>
        <v>3</v>
      </c>
      <c r="E86" s="38">
        <f t="shared" si="29"/>
        <v>3</v>
      </c>
      <c r="F86" s="39">
        <f t="shared" si="30"/>
        <v>3.1875</v>
      </c>
      <c r="G86" s="614"/>
      <c r="H86" s="615"/>
      <c r="I86" s="616"/>
      <c r="J86" s="38" t="e">
        <f t="shared" si="25"/>
        <v>#REF!</v>
      </c>
      <c r="K86" s="38">
        <f t="shared" si="26"/>
        <v>3</v>
      </c>
      <c r="L86" s="38">
        <f t="shared" si="27"/>
        <v>3</v>
      </c>
      <c r="M86" s="39" t="e">
        <f t="shared" si="31"/>
        <v>#REF!</v>
      </c>
      <c r="N86" s="4"/>
      <c r="O86" s="4"/>
      <c r="Q86" s="52"/>
    </row>
    <row r="87" spans="2:17" x14ac:dyDescent="0.25">
      <c r="B87" s="19" t="s">
        <v>9</v>
      </c>
      <c r="C87" s="38">
        <f t="shared" si="24"/>
        <v>3.3071428571428569</v>
      </c>
      <c r="D87" s="38">
        <f t="shared" si="28"/>
        <v>3</v>
      </c>
      <c r="E87" s="38">
        <f t="shared" si="29"/>
        <v>3.7777777777777777</v>
      </c>
      <c r="F87" s="39">
        <f t="shared" si="30"/>
        <v>3.361640211640212</v>
      </c>
      <c r="G87" s="614"/>
      <c r="H87" s="615"/>
      <c r="I87" s="616"/>
      <c r="J87" s="38" t="e">
        <f t="shared" si="25"/>
        <v>#REF!</v>
      </c>
      <c r="K87" s="38">
        <f t="shared" si="26"/>
        <v>3</v>
      </c>
      <c r="L87" s="38">
        <f t="shared" si="27"/>
        <v>3.7777777777777777</v>
      </c>
      <c r="M87" s="39" t="e">
        <f t="shared" si="31"/>
        <v>#REF!</v>
      </c>
      <c r="N87" s="4"/>
      <c r="O87" s="4"/>
    </row>
    <row r="88" spans="2:17" x14ac:dyDescent="0.25">
      <c r="B88" s="19" t="s">
        <v>10</v>
      </c>
      <c r="C88" s="38">
        <f t="shared" si="24"/>
        <v>2.78125</v>
      </c>
      <c r="D88" s="38" t="str">
        <f t="shared" si="28"/>
        <v>NA</v>
      </c>
      <c r="E88" s="38" t="str">
        <f t="shared" si="29"/>
        <v>NA</v>
      </c>
      <c r="F88" s="146" t="str">
        <f t="shared" si="30"/>
        <v>NA</v>
      </c>
      <c r="G88" s="614"/>
      <c r="H88" s="615"/>
      <c r="I88" s="616"/>
      <c r="J88" s="38" t="e">
        <f t="shared" si="25"/>
        <v>#REF!</v>
      </c>
      <c r="K88" s="38" t="str">
        <f t="shared" si="26"/>
        <v>NA</v>
      </c>
      <c r="L88" s="38" t="str">
        <f t="shared" si="27"/>
        <v>NA</v>
      </c>
      <c r="M88" s="146" t="e">
        <f t="shared" si="31"/>
        <v>#REF!</v>
      </c>
      <c r="N88" s="4"/>
      <c r="O88" s="4"/>
    </row>
    <row r="89" spans="2:17" s="14" customFormat="1" x14ac:dyDescent="0.25">
      <c r="B89" s="19" t="s">
        <v>11</v>
      </c>
      <c r="C89" s="38">
        <f t="shared" si="24"/>
        <v>3.5666666666666664</v>
      </c>
      <c r="D89" s="38">
        <f t="shared" si="28"/>
        <v>4.25</v>
      </c>
      <c r="E89" s="38">
        <f t="shared" si="29"/>
        <v>4.125</v>
      </c>
      <c r="F89" s="39">
        <f t="shared" si="30"/>
        <v>3.9805555555555556</v>
      </c>
      <c r="G89" s="622"/>
      <c r="H89" s="623"/>
      <c r="I89" s="624"/>
      <c r="J89" s="38" t="e">
        <f t="shared" si="25"/>
        <v>#REF!</v>
      </c>
      <c r="K89" s="38">
        <f t="shared" si="26"/>
        <v>4.25</v>
      </c>
      <c r="L89" s="38">
        <f t="shared" si="27"/>
        <v>4.125</v>
      </c>
      <c r="M89" s="39" t="e">
        <f t="shared" si="31"/>
        <v>#REF!</v>
      </c>
      <c r="N89" s="4"/>
      <c r="O89" s="4"/>
      <c r="Q89" s="49"/>
    </row>
    <row r="90" spans="2:17" x14ac:dyDescent="0.25">
      <c r="B90" s="19" t="s">
        <v>12</v>
      </c>
      <c r="C90" s="38">
        <f t="shared" si="24"/>
        <v>3.7791666666666668</v>
      </c>
      <c r="D90" s="38">
        <f t="shared" si="28"/>
        <v>3</v>
      </c>
      <c r="E90" s="38">
        <f t="shared" si="29"/>
        <v>3</v>
      </c>
      <c r="F90" s="39">
        <f t="shared" si="30"/>
        <v>3.2597222222222224</v>
      </c>
      <c r="G90" s="614"/>
      <c r="H90" s="615"/>
      <c r="I90" s="616"/>
      <c r="J90" s="38" t="e">
        <f t="shared" si="25"/>
        <v>#REF!</v>
      </c>
      <c r="K90" s="38">
        <f t="shared" si="26"/>
        <v>3</v>
      </c>
      <c r="L90" s="38">
        <f t="shared" si="27"/>
        <v>3</v>
      </c>
      <c r="M90" s="39" t="e">
        <f t="shared" si="31"/>
        <v>#REF!</v>
      </c>
      <c r="N90" s="4"/>
      <c r="O90" s="4"/>
    </row>
    <row r="91" spans="2:17" x14ac:dyDescent="0.25">
      <c r="B91" s="19" t="s">
        <v>13</v>
      </c>
      <c r="C91" s="38">
        <f t="shared" si="24"/>
        <v>2.5</v>
      </c>
      <c r="D91" s="38">
        <f t="shared" si="28"/>
        <v>3</v>
      </c>
      <c r="E91" s="38">
        <f t="shared" si="29"/>
        <v>3</v>
      </c>
      <c r="F91" s="39">
        <f t="shared" si="30"/>
        <v>2.8333333333333335</v>
      </c>
      <c r="G91" s="614"/>
      <c r="H91" s="615"/>
      <c r="I91" s="616"/>
      <c r="J91" s="38" t="e">
        <f t="shared" si="25"/>
        <v>#REF!</v>
      </c>
      <c r="K91" s="38">
        <f t="shared" si="26"/>
        <v>3</v>
      </c>
      <c r="L91" s="38">
        <f t="shared" si="27"/>
        <v>3</v>
      </c>
      <c r="M91" s="39" t="e">
        <f t="shared" si="31"/>
        <v>#REF!</v>
      </c>
      <c r="N91" s="4"/>
      <c r="O91" s="4"/>
    </row>
    <row r="92" spans="2:17" x14ac:dyDescent="0.25">
      <c r="B92" s="19" t="s">
        <v>14</v>
      </c>
      <c r="C92" s="38">
        <f t="shared" si="24"/>
        <v>4.2750000000000004</v>
      </c>
      <c r="D92" s="38">
        <f t="shared" si="28"/>
        <v>4.1052631578947372</v>
      </c>
      <c r="E92" s="38">
        <f t="shared" si="29"/>
        <v>3.2105263157894739</v>
      </c>
      <c r="F92" s="39">
        <f t="shared" si="30"/>
        <v>3.8635964912280709</v>
      </c>
      <c r="G92" s="614"/>
      <c r="H92" s="615"/>
      <c r="I92" s="616"/>
      <c r="J92" s="38" t="e">
        <f t="shared" si="25"/>
        <v>#REF!</v>
      </c>
      <c r="K92" s="38">
        <f t="shared" si="26"/>
        <v>4.1052631578947372</v>
      </c>
      <c r="L92" s="38">
        <f t="shared" si="27"/>
        <v>3.2105263157894739</v>
      </c>
      <c r="M92" s="39" t="e">
        <f t="shared" si="31"/>
        <v>#REF!</v>
      </c>
      <c r="N92" s="4"/>
      <c r="O92" s="4"/>
    </row>
    <row r="93" spans="2:17" x14ac:dyDescent="0.25">
      <c r="B93" s="19" t="s">
        <v>15</v>
      </c>
      <c r="C93" s="38">
        <f t="shared" si="24"/>
        <v>4.5588235294117645</v>
      </c>
      <c r="D93" s="38">
        <f t="shared" si="28"/>
        <v>3</v>
      </c>
      <c r="E93" s="38">
        <f t="shared" si="29"/>
        <v>3</v>
      </c>
      <c r="F93" s="39">
        <f t="shared" si="30"/>
        <v>3.5196078431372548</v>
      </c>
      <c r="G93" s="614"/>
      <c r="H93" s="615"/>
      <c r="I93" s="616"/>
      <c r="J93" s="38" t="e">
        <f t="shared" si="25"/>
        <v>#REF!</v>
      </c>
      <c r="K93" s="38">
        <f t="shared" si="26"/>
        <v>3</v>
      </c>
      <c r="L93" s="38">
        <f t="shared" si="27"/>
        <v>3</v>
      </c>
      <c r="M93" s="39" t="e">
        <f t="shared" si="31"/>
        <v>#REF!</v>
      </c>
      <c r="N93" s="4"/>
      <c r="O93" s="4"/>
    </row>
    <row r="94" spans="2:17" x14ac:dyDescent="0.25">
      <c r="B94" s="19" t="s">
        <v>16</v>
      </c>
      <c r="C94" s="38">
        <f t="shared" si="24"/>
        <v>4.0833333333333339</v>
      </c>
      <c r="D94" s="38">
        <f t="shared" si="28"/>
        <v>3.5</v>
      </c>
      <c r="E94" s="38">
        <f t="shared" si="29"/>
        <v>3</v>
      </c>
      <c r="F94" s="39">
        <f t="shared" si="30"/>
        <v>3.5277777777777781</v>
      </c>
      <c r="G94" s="614"/>
      <c r="H94" s="615"/>
      <c r="I94" s="616"/>
      <c r="J94" s="38" t="e">
        <f t="shared" si="25"/>
        <v>#REF!</v>
      </c>
      <c r="K94" s="38">
        <f t="shared" si="26"/>
        <v>3.5</v>
      </c>
      <c r="L94" s="38">
        <f t="shared" si="27"/>
        <v>3</v>
      </c>
      <c r="M94" s="39" t="e">
        <f t="shared" si="31"/>
        <v>#REF!</v>
      </c>
      <c r="N94" s="4"/>
      <c r="O94" s="4"/>
    </row>
    <row r="95" spans="2:17" ht="15.75" thickBot="1" x14ac:dyDescent="0.3">
      <c r="B95" s="20" t="s">
        <v>17</v>
      </c>
      <c r="C95" s="41">
        <f t="shared" si="24"/>
        <v>3.9130952380952384</v>
      </c>
      <c r="D95" s="41">
        <f t="shared" si="28"/>
        <v>4.0714285714285712</v>
      </c>
      <c r="E95" s="41">
        <f t="shared" si="29"/>
        <v>3.2142857142857144</v>
      </c>
      <c r="F95" s="42">
        <f t="shared" si="30"/>
        <v>3.7329365079365076</v>
      </c>
      <c r="G95" s="617"/>
      <c r="H95" s="618"/>
      <c r="I95" s="619"/>
      <c r="J95" s="41" t="e">
        <f t="shared" si="25"/>
        <v>#REF!</v>
      </c>
      <c r="K95" s="41">
        <f t="shared" si="26"/>
        <v>4.0714285714285712</v>
      </c>
      <c r="L95" s="41">
        <f t="shared" si="27"/>
        <v>3.2142857142857144</v>
      </c>
      <c r="M95" s="42" t="e">
        <f t="shared" si="31"/>
        <v>#REF!</v>
      </c>
    </row>
    <row r="96" spans="2:17" x14ac:dyDescent="0.25">
      <c r="P96" s="13"/>
    </row>
    <row r="97" spans="2:16" ht="15.75" hidden="1" thickBot="1" x14ac:dyDescent="0.3">
      <c r="B97" s="1" t="s">
        <v>846</v>
      </c>
      <c r="P97" s="13"/>
    </row>
    <row r="98" spans="2:16" ht="75" hidden="1" x14ac:dyDescent="0.25">
      <c r="B98" s="25" t="s">
        <v>851</v>
      </c>
      <c r="C98" s="413" t="str">
        <f>C83</f>
        <v>Stormwater and Wastewater Discharges Performance Measure Scores</v>
      </c>
      <c r="D98" s="413" t="str">
        <f t="shared" ref="D98:F98" si="32">D83</f>
        <v>Surface Water Quality Performance Measure Score</v>
      </c>
      <c r="E98" s="413" t="str">
        <f t="shared" si="32"/>
        <v>Groundwater Quality Performance Measure Score</v>
      </c>
      <c r="F98" s="297" t="str">
        <f t="shared" si="32"/>
        <v>Water Quality and Watersheds Evaluation Objective Unweighted Score</v>
      </c>
      <c r="G98" s="231"/>
      <c r="H98" s="231"/>
      <c r="I98" s="231"/>
      <c r="J98" s="231"/>
      <c r="P98" s="13"/>
    </row>
    <row r="99" spans="2:16" hidden="1" x14ac:dyDescent="0.25">
      <c r="B99" s="463" t="s">
        <v>848</v>
      </c>
      <c r="C99" s="241">
        <f>MAX(C84:C95)</f>
        <v>4.5588235294117645</v>
      </c>
      <c r="D99" s="241">
        <f>MAX(D84:D95)</f>
        <v>4.25</v>
      </c>
      <c r="E99" s="241">
        <f>MAX(E84:E95)</f>
        <v>4.125</v>
      </c>
      <c r="F99" s="464">
        <f>MAX(F84:F95)</f>
        <v>3.9805555555555556</v>
      </c>
      <c r="G99" s="231"/>
      <c r="H99" s="231"/>
      <c r="I99" s="231"/>
      <c r="J99" s="231"/>
      <c r="P99" s="13"/>
    </row>
    <row r="100" spans="2:16" hidden="1" x14ac:dyDescent="0.25">
      <c r="B100" s="463" t="s">
        <v>849</v>
      </c>
      <c r="C100" s="461" t="str">
        <f>INDEX($B84:$B95,MATCH(C99,C84:C95,0))</f>
        <v>Stormwater Capture</v>
      </c>
      <c r="D100" s="461" t="str">
        <f>INDEX($B84:$B95,MATCH(D99,D84:D95,0))</f>
        <v>Potable Reuse</v>
      </c>
      <c r="E100" s="461" t="str">
        <f>INDEX($B84:$B95,MATCH(E99,E84:E95,0))</f>
        <v>Potable Reuse</v>
      </c>
      <c r="F100" s="462" t="str">
        <f>INDEX($B84:$B95,MATCH(F99,F84:F95,0))</f>
        <v>Potable Reuse</v>
      </c>
      <c r="G100" s="231"/>
      <c r="H100" s="231"/>
      <c r="I100" s="231"/>
      <c r="J100" s="231"/>
      <c r="P100" s="13"/>
    </row>
    <row r="101" spans="2:16" hidden="1" x14ac:dyDescent="0.25">
      <c r="B101" s="504" t="s">
        <v>861</v>
      </c>
      <c r="C101" s="497">
        <f>LARGE(C84:C95,2)</f>
        <v>4.2750000000000004</v>
      </c>
      <c r="D101" s="497">
        <f>LARGE(D84:D95,2)</f>
        <v>4.1052631578947372</v>
      </c>
      <c r="E101" s="497">
        <f>LARGE(E84:E95,2)</f>
        <v>3.7777777777777777</v>
      </c>
      <c r="F101" s="498">
        <f>LARGE(F84:F95,2)</f>
        <v>3.8635964912280709</v>
      </c>
      <c r="G101" s="231"/>
      <c r="H101" s="231"/>
      <c r="I101" s="231"/>
      <c r="J101" s="231"/>
      <c r="P101" s="13"/>
    </row>
    <row r="102" spans="2:16" hidden="1" x14ac:dyDescent="0.25">
      <c r="B102" s="505" t="s">
        <v>862</v>
      </c>
      <c r="C102" s="499" t="str">
        <f>INDEX($B84:$B95,MATCH(C101,C84:C95,0))</f>
        <v>Stormwater BMPs</v>
      </c>
      <c r="D102" s="499" t="str">
        <f>INDEX($B84:$B95,MATCH(D101,D84:D95,0))</f>
        <v>Stormwater BMPs</v>
      </c>
      <c r="E102" s="499" t="str">
        <f>INDEX($B84:$B95,MATCH(E101,E84:E95,0))</f>
        <v>Groundwater</v>
      </c>
      <c r="F102" s="500" t="str">
        <f>INDEX($B84:$B95,MATCH(F101,F84:F95,0))</f>
        <v>Stormwater BMPs</v>
      </c>
      <c r="G102" s="231"/>
      <c r="H102" s="231"/>
      <c r="I102" s="231"/>
      <c r="J102" s="231"/>
      <c r="P102" s="13"/>
    </row>
    <row r="103" spans="2:16" hidden="1" x14ac:dyDescent="0.25">
      <c r="B103" s="463" t="s">
        <v>847</v>
      </c>
      <c r="C103" s="241">
        <f>MIN(C84:C95)</f>
        <v>2.5</v>
      </c>
      <c r="D103" s="241">
        <f>MIN(D84:D95)</f>
        <v>3</v>
      </c>
      <c r="E103" s="241">
        <f>MIN(E84:E95)</f>
        <v>3</v>
      </c>
      <c r="F103" s="464">
        <f>MIN(F84:F95)</f>
        <v>2.8333333333333335</v>
      </c>
      <c r="G103" s="231"/>
      <c r="H103" s="231"/>
      <c r="I103" s="231"/>
      <c r="J103" s="231"/>
      <c r="P103" s="13"/>
    </row>
    <row r="104" spans="2:16" ht="30" hidden="1" x14ac:dyDescent="0.25">
      <c r="B104" s="505" t="s">
        <v>850</v>
      </c>
      <c r="C104" s="499" t="str">
        <f>INDEX($B84:$B95,MATCH(C103,C84:C95,0))</f>
        <v>Seawater Desalination</v>
      </c>
      <c r="D104" s="499" t="str">
        <f>INDEX($B84:$B95,MATCH(D103,D84:D95,0))</f>
        <v>Conveyance Improvement</v>
      </c>
      <c r="E104" s="499" t="str">
        <f>INDEX($B84:$B95,MATCH(E103,E84:E95,0))</f>
        <v>Gray Water Use</v>
      </c>
      <c r="F104" s="500" t="str">
        <f>INDEX($B84:$B95,MATCH(F103,F84:F95,0))</f>
        <v>Seawater Desalination</v>
      </c>
      <c r="G104" s="241"/>
      <c r="H104" s="241"/>
      <c r="I104" s="241"/>
      <c r="J104" s="241"/>
      <c r="P104" s="13"/>
    </row>
    <row r="105" spans="2:16" hidden="1" x14ac:dyDescent="0.25">
      <c r="B105" s="504" t="s">
        <v>864</v>
      </c>
      <c r="C105" s="497">
        <f>SMALL(C84:C95,2)</f>
        <v>2.78125</v>
      </c>
      <c r="D105" s="497">
        <f>SMALL(D84:D95,2)</f>
        <v>3</v>
      </c>
      <c r="E105" s="497">
        <f>SMALL(E84:E95,2)</f>
        <v>3</v>
      </c>
      <c r="F105" s="498">
        <f>SMALL(F84:F95,2)</f>
        <v>3.1875</v>
      </c>
      <c r="G105" s="241"/>
      <c r="H105" s="241"/>
      <c r="I105" s="241"/>
      <c r="J105" s="241"/>
      <c r="P105" s="13"/>
    </row>
    <row r="106" spans="2:16" ht="30" hidden="1" x14ac:dyDescent="0.25">
      <c r="B106" s="505" t="s">
        <v>863</v>
      </c>
      <c r="C106" s="499" t="str">
        <f>INDEX($B84:$B95,MATCH(C105,C84:C95,0))</f>
        <v>Imported Water Purchases</v>
      </c>
      <c r="D106" s="499" t="str">
        <f>INDEX($B84:$B95,MATCH(D105,D84:D95,0))</f>
        <v>Conveyance Improvement</v>
      </c>
      <c r="E106" s="499" t="str">
        <f>INDEX($B84:$B95,MATCH(E105,E84:E95,0))</f>
        <v>Gray Water Use</v>
      </c>
      <c r="F106" s="500" t="str">
        <f>INDEX($B84:$B95,MATCH(F105,F84:F95,0))</f>
        <v>Gray Water Use</v>
      </c>
      <c r="G106" s="241"/>
      <c r="H106" s="241"/>
      <c r="I106" s="241"/>
      <c r="J106" s="241"/>
      <c r="P106" s="13"/>
    </row>
    <row r="107" spans="2:16" hidden="1" x14ac:dyDescent="0.25">
      <c r="B107" s="506" t="s">
        <v>844</v>
      </c>
      <c r="C107" s="502">
        <f>C99-C103</f>
        <v>2.0588235294117645</v>
      </c>
      <c r="D107" s="502">
        <f>D99-D103</f>
        <v>1.25</v>
      </c>
      <c r="E107" s="502">
        <f>E99-E103</f>
        <v>1.125</v>
      </c>
      <c r="F107" s="503">
        <f>F99-F103</f>
        <v>1.1472222222222221</v>
      </c>
      <c r="G107" s="461"/>
      <c r="H107" s="461"/>
      <c r="I107" s="461"/>
      <c r="J107" s="461"/>
      <c r="P107" s="13"/>
    </row>
    <row r="108" spans="2:16" ht="15.75" hidden="1" thickBot="1" x14ac:dyDescent="0.3">
      <c r="B108" s="507" t="s">
        <v>865</v>
      </c>
      <c r="C108" s="41">
        <f>AVERAGE(C84:C95)</f>
        <v>3.5948768143621082</v>
      </c>
      <c r="D108" s="41">
        <f>AVERAGE(D84:D95)</f>
        <v>3.3926691729323308</v>
      </c>
      <c r="E108" s="41">
        <f>AVERAGE(E84:E95)</f>
        <v>3.2827589807852968</v>
      </c>
      <c r="F108" s="44">
        <f>AVERAGE(F84:F95)</f>
        <v>3.4505558831719823</v>
      </c>
      <c r="G108" s="461"/>
      <c r="H108" s="461"/>
      <c r="I108" s="461"/>
      <c r="J108" s="461"/>
      <c r="P108" s="13"/>
    </row>
    <row r="109" spans="2:16" hidden="1" x14ac:dyDescent="0.25">
      <c r="P109" s="13"/>
    </row>
    <row r="110" spans="2:16" ht="15.75" hidden="1" thickBot="1" x14ac:dyDescent="0.3">
      <c r="B110" s="1" t="s">
        <v>769</v>
      </c>
      <c r="P110" s="13"/>
    </row>
    <row r="111" spans="2:16" ht="105" hidden="1" x14ac:dyDescent="0.25">
      <c r="B111" s="25" t="s">
        <v>6</v>
      </c>
      <c r="C111" s="413" t="s">
        <v>759</v>
      </c>
      <c r="D111" s="413" t="s">
        <v>760</v>
      </c>
      <c r="E111" s="299" t="s">
        <v>765</v>
      </c>
      <c r="F111" s="297" t="s">
        <v>766</v>
      </c>
      <c r="G111" s="554"/>
      <c r="H111" s="554"/>
      <c r="P111" s="13"/>
    </row>
    <row r="112" spans="2:16" hidden="1" x14ac:dyDescent="0.25">
      <c r="B112" s="28" t="s">
        <v>7</v>
      </c>
      <c r="C112" s="300">
        <f>COUNTIFS($C$188:$C$307, "="&amp;B112,$E$188:$E$307,"&gt;=0")</f>
        <v>5</v>
      </c>
      <c r="D112" s="300">
        <f>COUNTIFS($C$188:$C$307, "="&amp;B112,$F$188:$F$307,"&gt;=0")</f>
        <v>2</v>
      </c>
      <c r="E112" s="301">
        <f>COUNTIFS($C$188:$C$307, "="&amp;B112,$H$188:$H$307,"&gt;=0")</f>
        <v>5</v>
      </c>
      <c r="F112" s="302">
        <f>COUNTIFS($C$188:$C$307, "="&amp;B112,$I$188:$I$307,"&gt;=0")</f>
        <v>2</v>
      </c>
      <c r="G112" s="300"/>
      <c r="H112" s="300"/>
      <c r="P112" s="13"/>
    </row>
    <row r="113" spans="2:16" hidden="1" x14ac:dyDescent="0.25">
      <c r="B113" s="29" t="s">
        <v>34</v>
      </c>
      <c r="C113" s="300">
        <f t="shared" ref="C113:C123" si="33">COUNTIFS($C$188:$C$307, "="&amp;B113,$E$188:$E$307,"&gt;=0")</f>
        <v>0</v>
      </c>
      <c r="D113" s="303">
        <f t="shared" ref="D113:D123" si="34">COUNTIFS($C$188:$C$307, "="&amp;B113,$F$188:$F$307,"&gt;=0")</f>
        <v>0</v>
      </c>
      <c r="E113" s="301">
        <f t="shared" ref="E113:E123" si="35">COUNTIFS($C$188:$C$307, "="&amp;B113,$H$188:$H$307,"&gt;=0")</f>
        <v>0</v>
      </c>
      <c r="F113" s="304">
        <f t="shared" ref="F113:F123" si="36">COUNTIFS($C$188:$C$307, "="&amp;B113,$I$188:$I$307,"&gt;=0")</f>
        <v>0</v>
      </c>
      <c r="G113" s="300"/>
      <c r="H113" s="303"/>
      <c r="P113" s="13"/>
    </row>
    <row r="114" spans="2:16" hidden="1" x14ac:dyDescent="0.25">
      <c r="B114" s="29" t="s">
        <v>18</v>
      </c>
      <c r="C114" s="300">
        <f t="shared" si="33"/>
        <v>1</v>
      </c>
      <c r="D114" s="303">
        <f t="shared" si="34"/>
        <v>1</v>
      </c>
      <c r="E114" s="301">
        <f t="shared" si="35"/>
        <v>1</v>
      </c>
      <c r="F114" s="304">
        <f t="shared" si="36"/>
        <v>1</v>
      </c>
      <c r="G114" s="300"/>
      <c r="H114" s="303"/>
      <c r="P114" s="13"/>
    </row>
    <row r="115" spans="2:16" hidden="1" x14ac:dyDescent="0.25">
      <c r="B115" s="29" t="s">
        <v>9</v>
      </c>
      <c r="C115" s="300">
        <f t="shared" si="33"/>
        <v>11</v>
      </c>
      <c r="D115" s="303">
        <f t="shared" si="34"/>
        <v>9</v>
      </c>
      <c r="E115" s="301">
        <f t="shared" si="35"/>
        <v>11</v>
      </c>
      <c r="F115" s="304">
        <f t="shared" si="36"/>
        <v>9</v>
      </c>
      <c r="G115" s="300"/>
      <c r="H115" s="303"/>
      <c r="P115" s="13"/>
    </row>
    <row r="116" spans="2:16" hidden="1" x14ac:dyDescent="0.25">
      <c r="B116" s="29" t="s">
        <v>10</v>
      </c>
      <c r="C116" s="300">
        <f t="shared" si="33"/>
        <v>0</v>
      </c>
      <c r="D116" s="303">
        <f t="shared" si="34"/>
        <v>1</v>
      </c>
      <c r="E116" s="301">
        <f t="shared" si="35"/>
        <v>0</v>
      </c>
      <c r="F116" s="304">
        <f t="shared" si="36"/>
        <v>1</v>
      </c>
      <c r="G116" s="300"/>
      <c r="H116" s="303"/>
      <c r="P116" s="13"/>
    </row>
    <row r="117" spans="2:16" hidden="1" x14ac:dyDescent="0.25">
      <c r="B117" s="29" t="s">
        <v>11</v>
      </c>
      <c r="C117" s="300">
        <f t="shared" si="33"/>
        <v>12</v>
      </c>
      <c r="D117" s="303">
        <f t="shared" si="34"/>
        <v>8</v>
      </c>
      <c r="E117" s="301">
        <f t="shared" si="35"/>
        <v>12</v>
      </c>
      <c r="F117" s="304">
        <f t="shared" si="36"/>
        <v>8</v>
      </c>
      <c r="G117" s="300"/>
      <c r="H117" s="303"/>
      <c r="P117" s="13"/>
    </row>
    <row r="118" spans="2:16" hidden="1" x14ac:dyDescent="0.25">
      <c r="B118" s="29" t="s">
        <v>12</v>
      </c>
      <c r="C118" s="300">
        <f t="shared" si="33"/>
        <v>28</v>
      </c>
      <c r="D118" s="303">
        <f t="shared" si="34"/>
        <v>10</v>
      </c>
      <c r="E118" s="301">
        <f t="shared" si="35"/>
        <v>28</v>
      </c>
      <c r="F118" s="304">
        <f t="shared" si="36"/>
        <v>10</v>
      </c>
      <c r="G118" s="300"/>
      <c r="H118" s="303"/>
      <c r="P118" s="13"/>
    </row>
    <row r="119" spans="2:16" hidden="1" x14ac:dyDescent="0.25">
      <c r="B119" s="29" t="s">
        <v>13</v>
      </c>
      <c r="C119" s="300">
        <f t="shared" si="33"/>
        <v>2</v>
      </c>
      <c r="D119" s="303">
        <f t="shared" si="34"/>
        <v>1</v>
      </c>
      <c r="E119" s="301">
        <f t="shared" si="35"/>
        <v>2</v>
      </c>
      <c r="F119" s="304">
        <f t="shared" si="36"/>
        <v>1</v>
      </c>
      <c r="G119" s="300"/>
      <c r="H119" s="303"/>
      <c r="P119" s="13"/>
    </row>
    <row r="120" spans="2:16" hidden="1" x14ac:dyDescent="0.25">
      <c r="B120" s="29" t="s">
        <v>14</v>
      </c>
      <c r="C120" s="300">
        <f t="shared" si="33"/>
        <v>29</v>
      </c>
      <c r="D120" s="303">
        <f t="shared" si="34"/>
        <v>19</v>
      </c>
      <c r="E120" s="301">
        <f t="shared" si="35"/>
        <v>29</v>
      </c>
      <c r="F120" s="304">
        <f t="shared" si="36"/>
        <v>19</v>
      </c>
      <c r="G120" s="300"/>
      <c r="H120" s="303"/>
      <c r="P120" s="13"/>
    </row>
    <row r="121" spans="2:16" hidden="1" x14ac:dyDescent="0.25">
      <c r="B121" s="29" t="s">
        <v>15</v>
      </c>
      <c r="C121" s="300">
        <f t="shared" si="33"/>
        <v>1</v>
      </c>
      <c r="D121" s="303">
        <f t="shared" si="34"/>
        <v>1</v>
      </c>
      <c r="E121" s="301">
        <f t="shared" si="35"/>
        <v>1</v>
      </c>
      <c r="F121" s="304">
        <f t="shared" si="36"/>
        <v>2</v>
      </c>
      <c r="G121" s="300"/>
      <c r="H121" s="303"/>
      <c r="P121" s="13"/>
    </row>
    <row r="122" spans="2:16" hidden="1" x14ac:dyDescent="0.25">
      <c r="B122" s="29" t="s">
        <v>16</v>
      </c>
      <c r="C122" s="300">
        <f t="shared" si="33"/>
        <v>4</v>
      </c>
      <c r="D122" s="303">
        <f t="shared" si="34"/>
        <v>3</v>
      </c>
      <c r="E122" s="301">
        <f t="shared" si="35"/>
        <v>4</v>
      </c>
      <c r="F122" s="304">
        <f t="shared" si="36"/>
        <v>3</v>
      </c>
      <c r="G122" s="300"/>
      <c r="H122" s="303"/>
      <c r="P122" s="13"/>
    </row>
    <row r="123" spans="2:16" ht="15.75" hidden="1" thickBot="1" x14ac:dyDescent="0.3">
      <c r="B123" s="30" t="s">
        <v>17</v>
      </c>
      <c r="C123" s="305">
        <f t="shared" si="33"/>
        <v>18</v>
      </c>
      <c r="D123" s="306">
        <f t="shared" si="34"/>
        <v>14</v>
      </c>
      <c r="E123" s="307">
        <f t="shared" si="35"/>
        <v>18</v>
      </c>
      <c r="F123" s="308">
        <f t="shared" si="36"/>
        <v>14</v>
      </c>
      <c r="G123" s="300"/>
      <c r="H123" s="303"/>
      <c r="P123" s="13"/>
    </row>
    <row r="124" spans="2:16" hidden="1" x14ac:dyDescent="0.25">
      <c r="B124" s="11"/>
      <c r="C124" s="300"/>
      <c r="D124" s="303"/>
      <c r="E124" s="300"/>
      <c r="F124" s="303"/>
      <c r="G124" s="300"/>
      <c r="H124" s="303"/>
      <c r="P124" s="13"/>
    </row>
    <row r="125" spans="2:16" ht="15.75" hidden="1" thickBot="1" x14ac:dyDescent="0.3">
      <c r="B125" s="1" t="s">
        <v>880</v>
      </c>
      <c r="G125" s="11"/>
      <c r="H125" s="11"/>
      <c r="P125" s="13"/>
    </row>
    <row r="126" spans="2:16" ht="150" hidden="1" x14ac:dyDescent="0.25">
      <c r="B126" s="25" t="s">
        <v>6</v>
      </c>
      <c r="C126" s="413" t="s">
        <v>887</v>
      </c>
      <c r="D126" s="413" t="s">
        <v>883</v>
      </c>
      <c r="E126" s="413" t="s">
        <v>890</v>
      </c>
      <c r="F126" s="297" t="s">
        <v>884</v>
      </c>
      <c r="G126" s="554"/>
      <c r="H126" s="554"/>
      <c r="P126" s="13"/>
    </row>
    <row r="127" spans="2:16" hidden="1" x14ac:dyDescent="0.25">
      <c r="B127" s="28" t="s">
        <v>7</v>
      </c>
      <c r="C127" s="66">
        <f>IFERROR(COUNTIFS($C$188:$C$307, "="&amp;B127,$E$188:$E$307,"=1")/C112, "NA")</f>
        <v>0.4</v>
      </c>
      <c r="D127" s="66">
        <f>IFERROR(COUNTIFS($C$188:$C$307, "="&amp;B127,$F$188:$F$307,"=1")/D112, "NA")</f>
        <v>0</v>
      </c>
      <c r="E127" s="309">
        <f>IFERROR(COUNTIFS($C$188:$C$307, "="&amp;B127,$H$188:$H$307,"=1")/E112, "NA")</f>
        <v>0.2</v>
      </c>
      <c r="F127" s="310">
        <f>IFERROR(COUNTIFS($C$188:$C$307,"="&amp;B127,$I$188:$I$307,"=1")/F112,"NA")</f>
        <v>0</v>
      </c>
      <c r="G127" s="66"/>
      <c r="H127" s="66"/>
      <c r="P127" s="13"/>
    </row>
    <row r="128" spans="2:16" hidden="1" x14ac:dyDescent="0.25">
      <c r="B128" s="29" t="s">
        <v>34</v>
      </c>
      <c r="C128" s="66" t="str">
        <f t="shared" ref="C128:C138" si="37">IFERROR(COUNTIFS($C$188:$C$307, "="&amp;B128,$E$188:$E$307,"=1")/C113, "NA")</f>
        <v>NA</v>
      </c>
      <c r="D128" s="66" t="str">
        <f t="shared" ref="D128:D138" si="38">IFERROR(COUNTIFS($C$188:$C$307, "="&amp;B128,$F$188:$F$307,"=1")/D113, "NA")</f>
        <v>NA</v>
      </c>
      <c r="E128" s="309" t="str">
        <f t="shared" ref="E128:E138" si="39">IFERROR(COUNTIFS($C$188:$C$307, "="&amp;B128,$H$188:$H$307,"=1")/E113, "NA")</f>
        <v>NA</v>
      </c>
      <c r="F128" s="310" t="str">
        <f t="shared" ref="F128:F138" si="40">IFERROR(COUNTIFS($C$188:$C$307,"="&amp;B128,$I$188:$I$307,"=1")/F113,"NA")</f>
        <v>NA</v>
      </c>
      <c r="G128" s="66"/>
      <c r="H128" s="66"/>
      <c r="P128" s="13"/>
    </row>
    <row r="129" spans="2:16" hidden="1" x14ac:dyDescent="0.25">
      <c r="B129" s="29" t="s">
        <v>18</v>
      </c>
      <c r="C129" s="66">
        <f t="shared" si="37"/>
        <v>0</v>
      </c>
      <c r="D129" s="66">
        <f t="shared" si="38"/>
        <v>0</v>
      </c>
      <c r="E129" s="309">
        <f t="shared" si="39"/>
        <v>1</v>
      </c>
      <c r="F129" s="310">
        <f t="shared" si="40"/>
        <v>0</v>
      </c>
      <c r="G129" s="66"/>
      <c r="H129" s="66"/>
      <c r="P129" s="13"/>
    </row>
    <row r="130" spans="2:16" hidden="1" x14ac:dyDescent="0.25">
      <c r="B130" s="29" t="s">
        <v>9</v>
      </c>
      <c r="C130" s="66">
        <f t="shared" si="37"/>
        <v>0.45454545454545453</v>
      </c>
      <c r="D130" s="66">
        <f t="shared" si="38"/>
        <v>0</v>
      </c>
      <c r="E130" s="309">
        <f t="shared" si="39"/>
        <v>0.27272727272727271</v>
      </c>
      <c r="F130" s="310">
        <f t="shared" si="40"/>
        <v>0</v>
      </c>
      <c r="G130" s="66"/>
      <c r="H130" s="66"/>
      <c r="P130" s="13"/>
    </row>
    <row r="131" spans="2:16" hidden="1" x14ac:dyDescent="0.25">
      <c r="B131" s="29" t="s">
        <v>10</v>
      </c>
      <c r="C131" s="66" t="str">
        <f t="shared" si="37"/>
        <v>NA</v>
      </c>
      <c r="D131" s="66">
        <f t="shared" si="38"/>
        <v>0</v>
      </c>
      <c r="E131" s="309" t="str">
        <f t="shared" si="39"/>
        <v>NA</v>
      </c>
      <c r="F131" s="310">
        <f t="shared" si="40"/>
        <v>0</v>
      </c>
      <c r="G131" s="66"/>
      <c r="H131" s="66"/>
      <c r="P131" s="13"/>
    </row>
    <row r="132" spans="2:16" hidden="1" x14ac:dyDescent="0.25">
      <c r="B132" s="29" t="s">
        <v>11</v>
      </c>
      <c r="C132" s="66">
        <f t="shared" si="37"/>
        <v>0.41666666666666669</v>
      </c>
      <c r="D132" s="66">
        <f t="shared" si="38"/>
        <v>0</v>
      </c>
      <c r="E132" s="309">
        <f t="shared" si="39"/>
        <v>0.58333333333333337</v>
      </c>
      <c r="F132" s="310">
        <f t="shared" si="40"/>
        <v>0</v>
      </c>
      <c r="G132" s="66"/>
      <c r="H132" s="66"/>
      <c r="P132" s="13"/>
    </row>
    <row r="133" spans="2:16" hidden="1" x14ac:dyDescent="0.25">
      <c r="B133" s="29" t="s">
        <v>12</v>
      </c>
      <c r="C133" s="66">
        <f t="shared" si="37"/>
        <v>0.35714285714285715</v>
      </c>
      <c r="D133" s="66">
        <f t="shared" si="38"/>
        <v>0</v>
      </c>
      <c r="E133" s="309">
        <f t="shared" si="39"/>
        <v>0.25</v>
      </c>
      <c r="F133" s="310">
        <f t="shared" si="40"/>
        <v>0</v>
      </c>
      <c r="G133" s="66"/>
      <c r="H133" s="66"/>
      <c r="P133" s="13"/>
    </row>
    <row r="134" spans="2:16" hidden="1" x14ac:dyDescent="0.25">
      <c r="B134" s="29" t="s">
        <v>13</v>
      </c>
      <c r="C134" s="66">
        <f t="shared" si="37"/>
        <v>0</v>
      </c>
      <c r="D134" s="66">
        <f t="shared" si="38"/>
        <v>0</v>
      </c>
      <c r="E134" s="309">
        <f t="shared" si="39"/>
        <v>1</v>
      </c>
      <c r="F134" s="310">
        <f t="shared" si="40"/>
        <v>0</v>
      </c>
      <c r="G134" s="66"/>
      <c r="H134" s="66"/>
      <c r="P134" s="13"/>
    </row>
    <row r="135" spans="2:16" hidden="1" x14ac:dyDescent="0.25">
      <c r="B135" s="29" t="s">
        <v>14</v>
      </c>
      <c r="C135" s="66">
        <f t="shared" si="37"/>
        <v>0.27586206896551724</v>
      </c>
      <c r="D135" s="66">
        <f t="shared" si="38"/>
        <v>0</v>
      </c>
      <c r="E135" s="309">
        <f t="shared" si="39"/>
        <v>0.41379310344827586</v>
      </c>
      <c r="F135" s="310">
        <f t="shared" si="40"/>
        <v>0</v>
      </c>
      <c r="G135" s="66"/>
      <c r="H135" s="66"/>
      <c r="P135" s="13"/>
    </row>
    <row r="136" spans="2:16" hidden="1" x14ac:dyDescent="0.25">
      <c r="B136" s="29" t="s">
        <v>15</v>
      </c>
      <c r="C136" s="66">
        <f t="shared" si="37"/>
        <v>0</v>
      </c>
      <c r="D136" s="66">
        <f t="shared" si="38"/>
        <v>0</v>
      </c>
      <c r="E136" s="309">
        <f t="shared" si="39"/>
        <v>0</v>
      </c>
      <c r="F136" s="310">
        <f t="shared" si="40"/>
        <v>0</v>
      </c>
      <c r="G136" s="66"/>
      <c r="H136" s="66"/>
      <c r="P136" s="13"/>
    </row>
    <row r="137" spans="2:16" hidden="1" x14ac:dyDescent="0.25">
      <c r="B137" s="29" t="s">
        <v>16</v>
      </c>
      <c r="C137" s="66">
        <f t="shared" si="37"/>
        <v>0</v>
      </c>
      <c r="D137" s="66">
        <f t="shared" si="38"/>
        <v>0</v>
      </c>
      <c r="E137" s="309">
        <f t="shared" si="39"/>
        <v>0.25</v>
      </c>
      <c r="F137" s="310">
        <f t="shared" si="40"/>
        <v>0</v>
      </c>
      <c r="G137" s="66"/>
      <c r="H137" s="66"/>
      <c r="P137" s="13"/>
    </row>
    <row r="138" spans="2:16" ht="15.75" hidden="1" thickBot="1" x14ac:dyDescent="0.3">
      <c r="B138" s="30" t="s">
        <v>17</v>
      </c>
      <c r="C138" s="67">
        <f t="shared" si="37"/>
        <v>0.22222222222222221</v>
      </c>
      <c r="D138" s="67">
        <f t="shared" si="38"/>
        <v>0</v>
      </c>
      <c r="E138" s="311">
        <f t="shared" si="39"/>
        <v>0.61111111111111116</v>
      </c>
      <c r="F138" s="312">
        <f t="shared" si="40"/>
        <v>0</v>
      </c>
      <c r="G138" s="66"/>
      <c r="H138" s="66"/>
      <c r="P138" s="13"/>
    </row>
    <row r="139" spans="2:16" hidden="1" x14ac:dyDescent="0.25">
      <c r="B139" s="11"/>
      <c r="C139" s="300"/>
      <c r="D139" s="303"/>
      <c r="E139" s="300"/>
      <c r="F139" s="303"/>
      <c r="G139" s="300"/>
      <c r="H139" s="303"/>
      <c r="P139" s="13"/>
    </row>
    <row r="140" spans="2:16" ht="15.75" hidden="1" thickBot="1" x14ac:dyDescent="0.3">
      <c r="B140" s="1" t="s">
        <v>881</v>
      </c>
      <c r="G140" s="11"/>
      <c r="H140" s="11"/>
      <c r="P140" s="13"/>
    </row>
    <row r="141" spans="2:16" ht="150" hidden="1" x14ac:dyDescent="0.25">
      <c r="B141" s="25" t="s">
        <v>6</v>
      </c>
      <c r="C141" s="413" t="s">
        <v>886</v>
      </c>
      <c r="D141" s="413" t="s">
        <v>888</v>
      </c>
      <c r="E141" s="299" t="s">
        <v>889</v>
      </c>
      <c r="F141" s="297" t="s">
        <v>885</v>
      </c>
      <c r="G141" s="554"/>
      <c r="H141" s="554"/>
      <c r="P141" s="13"/>
    </row>
    <row r="142" spans="2:16" hidden="1" x14ac:dyDescent="0.25">
      <c r="B142" s="28" t="s">
        <v>7</v>
      </c>
      <c r="C142" s="66">
        <f>IFERROR(COUNTIFS($C$188:$C$307, "="&amp;B142,$E$188:$E$307,"=2")/C112, "NA")</f>
        <v>0.6</v>
      </c>
      <c r="D142" s="66">
        <f>IFERROR(COUNTIFS($C$188:$C$307, "="&amp;B142,$F$188:$F$307,"=5")/D112, "NA")</f>
        <v>0</v>
      </c>
      <c r="E142" s="309">
        <f>IFERROR(COUNTIFS($C$188:$C$307, "="&amp;B142,$H$188:$H$307,"=2")/E112, "NA")</f>
        <v>0.8</v>
      </c>
      <c r="F142" s="310">
        <f>IFERROR(COUNTIFS($C$188:$C$307, "="&amp;B142,$I$188:$I$307,"=5")/F112, "NA")</f>
        <v>0.5</v>
      </c>
      <c r="G142" s="66"/>
      <c r="H142" s="66"/>
      <c r="P142" s="13"/>
    </row>
    <row r="143" spans="2:16" hidden="1" x14ac:dyDescent="0.25">
      <c r="B143" s="29" t="s">
        <v>34</v>
      </c>
      <c r="C143" s="66" t="str">
        <f t="shared" ref="C143:C153" si="41">IFERROR(COUNTIFS($C$188:$C$307, "="&amp;B143,$E$188:$E$307,"=2")/C113, "NA")</f>
        <v>NA</v>
      </c>
      <c r="D143" s="66" t="str">
        <f t="shared" ref="D143:D153" si="42">IFERROR(COUNTIFS($C$188:$C$307, "="&amp;B143,$F$188:$F$307,"=5")/D113, "NA")</f>
        <v>NA</v>
      </c>
      <c r="E143" s="309" t="str">
        <f t="shared" ref="E143:E153" si="43">IFERROR(COUNTIFS($C$188:$C$307, "="&amp;B143,$H$188:$H$307,"=2")/E113, "NA")</f>
        <v>NA</v>
      </c>
      <c r="F143" s="310" t="str">
        <f t="shared" ref="F143:F153" si="44">IFERROR(COUNTIFS($C$188:$C$307, "="&amp;B143,$I$188:$I$307,"=5")/F113, "NA")</f>
        <v>NA</v>
      </c>
      <c r="G143" s="66"/>
      <c r="H143" s="66"/>
      <c r="P143" s="13"/>
    </row>
    <row r="144" spans="2:16" hidden="1" x14ac:dyDescent="0.25">
      <c r="B144" s="29" t="s">
        <v>18</v>
      </c>
      <c r="C144" s="66">
        <f t="shared" si="41"/>
        <v>1</v>
      </c>
      <c r="D144" s="66">
        <f t="shared" si="42"/>
        <v>0</v>
      </c>
      <c r="E144" s="309">
        <f t="shared" si="43"/>
        <v>0</v>
      </c>
      <c r="F144" s="310">
        <f t="shared" si="44"/>
        <v>0</v>
      </c>
      <c r="G144" s="66"/>
      <c r="H144" s="66"/>
      <c r="P144" s="13"/>
    </row>
    <row r="145" spans="2:16" hidden="1" x14ac:dyDescent="0.25">
      <c r="B145" s="29" t="s">
        <v>9</v>
      </c>
      <c r="C145" s="66">
        <f t="shared" si="41"/>
        <v>0.45454545454545453</v>
      </c>
      <c r="D145" s="66">
        <f t="shared" si="42"/>
        <v>0</v>
      </c>
      <c r="E145" s="309">
        <f t="shared" si="43"/>
        <v>0.63636363636363635</v>
      </c>
      <c r="F145" s="310">
        <f t="shared" si="44"/>
        <v>0.66666666666666663</v>
      </c>
      <c r="G145" s="66"/>
      <c r="H145" s="66"/>
      <c r="P145" s="13"/>
    </row>
    <row r="146" spans="2:16" hidden="1" x14ac:dyDescent="0.25">
      <c r="B146" s="29" t="s">
        <v>10</v>
      </c>
      <c r="C146" s="66" t="str">
        <f t="shared" si="41"/>
        <v>NA</v>
      </c>
      <c r="D146" s="66">
        <f t="shared" si="42"/>
        <v>0</v>
      </c>
      <c r="E146" s="309" t="str">
        <f t="shared" si="43"/>
        <v>NA</v>
      </c>
      <c r="F146" s="310">
        <f t="shared" si="44"/>
        <v>0</v>
      </c>
      <c r="G146" s="66"/>
      <c r="H146" s="66"/>
      <c r="P146" s="13"/>
    </row>
    <row r="147" spans="2:16" hidden="1" x14ac:dyDescent="0.25">
      <c r="B147" s="29" t="s">
        <v>11</v>
      </c>
      <c r="C147" s="66">
        <f t="shared" si="41"/>
        <v>0.58333333333333337</v>
      </c>
      <c r="D147" s="66">
        <f t="shared" si="42"/>
        <v>0.875</v>
      </c>
      <c r="E147" s="309">
        <f t="shared" si="43"/>
        <v>0.41666666666666669</v>
      </c>
      <c r="F147" s="310">
        <f t="shared" si="44"/>
        <v>0.75</v>
      </c>
      <c r="G147" s="66"/>
      <c r="H147" s="66"/>
      <c r="P147" s="13"/>
    </row>
    <row r="148" spans="2:16" hidden="1" x14ac:dyDescent="0.25">
      <c r="B148" s="29" t="s">
        <v>12</v>
      </c>
      <c r="C148" s="66">
        <f t="shared" si="41"/>
        <v>0.6428571428571429</v>
      </c>
      <c r="D148" s="66">
        <f t="shared" si="42"/>
        <v>0</v>
      </c>
      <c r="E148" s="309">
        <f t="shared" si="43"/>
        <v>0.75</v>
      </c>
      <c r="F148" s="310">
        <f t="shared" si="44"/>
        <v>0</v>
      </c>
      <c r="G148" s="66"/>
      <c r="H148" s="66"/>
      <c r="P148" s="13"/>
    </row>
    <row r="149" spans="2:16" hidden="1" x14ac:dyDescent="0.25">
      <c r="B149" s="29" t="s">
        <v>13</v>
      </c>
      <c r="C149" s="66">
        <f t="shared" si="41"/>
        <v>1</v>
      </c>
      <c r="D149" s="66">
        <f t="shared" si="42"/>
        <v>0</v>
      </c>
      <c r="E149" s="309">
        <f t="shared" si="43"/>
        <v>0</v>
      </c>
      <c r="F149" s="310">
        <f t="shared" si="44"/>
        <v>0</v>
      </c>
      <c r="G149" s="66"/>
      <c r="H149" s="66"/>
      <c r="P149" s="13"/>
    </row>
    <row r="150" spans="2:16" hidden="1" x14ac:dyDescent="0.25">
      <c r="B150" s="29" t="s">
        <v>14</v>
      </c>
      <c r="C150" s="66">
        <f t="shared" si="41"/>
        <v>0.72413793103448276</v>
      </c>
      <c r="D150" s="66">
        <f t="shared" si="42"/>
        <v>1</v>
      </c>
      <c r="E150" s="309">
        <f t="shared" si="43"/>
        <v>0.58620689655172409</v>
      </c>
      <c r="F150" s="310">
        <f t="shared" si="44"/>
        <v>0.15789473684210525</v>
      </c>
      <c r="G150" s="66"/>
      <c r="H150" s="66"/>
      <c r="P150" s="13"/>
    </row>
    <row r="151" spans="2:16" hidden="1" x14ac:dyDescent="0.25">
      <c r="B151" s="29" t="s">
        <v>15</v>
      </c>
      <c r="C151" s="66">
        <f t="shared" si="41"/>
        <v>1</v>
      </c>
      <c r="D151" s="66">
        <f t="shared" si="42"/>
        <v>0</v>
      </c>
      <c r="E151" s="309">
        <f t="shared" si="43"/>
        <v>1</v>
      </c>
      <c r="F151" s="310">
        <f t="shared" si="44"/>
        <v>0</v>
      </c>
      <c r="G151" s="66"/>
      <c r="H151" s="66"/>
      <c r="P151" s="13"/>
    </row>
    <row r="152" spans="2:16" hidden="1" x14ac:dyDescent="0.25">
      <c r="B152" s="29" t="s">
        <v>16</v>
      </c>
      <c r="C152" s="66">
        <f t="shared" si="41"/>
        <v>1</v>
      </c>
      <c r="D152" s="66">
        <f t="shared" si="42"/>
        <v>0.66666666666666663</v>
      </c>
      <c r="E152" s="309">
        <f t="shared" si="43"/>
        <v>0.75</v>
      </c>
      <c r="F152" s="310">
        <f t="shared" si="44"/>
        <v>0.33333333333333331</v>
      </c>
      <c r="G152" s="66"/>
      <c r="H152" s="66"/>
      <c r="P152" s="13"/>
    </row>
    <row r="153" spans="2:16" ht="15.75" hidden="1" thickBot="1" x14ac:dyDescent="0.3">
      <c r="B153" s="30" t="s">
        <v>17</v>
      </c>
      <c r="C153" s="67">
        <f t="shared" si="41"/>
        <v>0.77777777777777779</v>
      </c>
      <c r="D153" s="67">
        <f t="shared" si="42"/>
        <v>0.9285714285714286</v>
      </c>
      <c r="E153" s="311">
        <f t="shared" si="43"/>
        <v>0.3888888888888889</v>
      </c>
      <c r="F153" s="312">
        <f t="shared" si="44"/>
        <v>0.14285714285714285</v>
      </c>
      <c r="G153" s="66"/>
      <c r="H153" s="66"/>
      <c r="P153" s="13"/>
    </row>
    <row r="154" spans="2:16" hidden="1" x14ac:dyDescent="0.25">
      <c r="G154" s="11"/>
      <c r="H154" s="11"/>
      <c r="P154" s="13"/>
    </row>
    <row r="155" spans="2:16" ht="15.75" hidden="1" thickBot="1" x14ac:dyDescent="0.3">
      <c r="B155" s="1" t="s">
        <v>882</v>
      </c>
      <c r="G155" s="11"/>
      <c r="H155" s="11"/>
      <c r="P155" s="13"/>
    </row>
    <row r="156" spans="2:16" ht="150" hidden="1" x14ac:dyDescent="0.25">
      <c r="B156" s="25" t="s">
        <v>6</v>
      </c>
      <c r="C156" s="413"/>
      <c r="D156" s="413" t="s">
        <v>891</v>
      </c>
      <c r="E156" s="413"/>
      <c r="F156" s="297" t="s">
        <v>892</v>
      </c>
      <c r="G156" s="554"/>
      <c r="H156" s="554"/>
      <c r="P156" s="13"/>
    </row>
    <row r="157" spans="2:16" hidden="1" x14ac:dyDescent="0.25">
      <c r="B157" s="28" t="s">
        <v>7</v>
      </c>
      <c r="C157" s="66"/>
      <c r="D157" s="66">
        <f>IFERROR(COUNTIFS($C$188:$C$307, "="&amp;B157,$F$188:$F$307,"=3")/D112, "NA")</f>
        <v>1</v>
      </c>
      <c r="E157" s="309"/>
      <c r="F157" s="310">
        <f>IFERROR(COUNTIFS($C$188:$C$307, "="&amp;B157,$I$188:$I$307,"=3")/F112, "NA")</f>
        <v>0.5</v>
      </c>
      <c r="G157" s="66"/>
      <c r="H157" s="66"/>
      <c r="P157" s="13"/>
    </row>
    <row r="158" spans="2:16" hidden="1" x14ac:dyDescent="0.25">
      <c r="B158" s="29" t="s">
        <v>34</v>
      </c>
      <c r="C158" s="66"/>
      <c r="D158" s="66" t="str">
        <f t="shared" ref="D158:D168" si="45">IFERROR(COUNTIFS($C$188:$C$307, "="&amp;B158,$F$188:$F$307,"=3")/D113, "NA")</f>
        <v>NA</v>
      </c>
      <c r="E158" s="309"/>
      <c r="F158" s="310" t="str">
        <f t="shared" ref="F158:F168" si="46">IFERROR(COUNTIFS($C$188:$C$307, "="&amp;B158,$I$188:$I$307,"=3")/F113, "NA")</f>
        <v>NA</v>
      </c>
      <c r="G158" s="66"/>
      <c r="H158" s="66"/>
      <c r="P158" s="13"/>
    </row>
    <row r="159" spans="2:16" hidden="1" x14ac:dyDescent="0.25">
      <c r="B159" s="29" t="s">
        <v>18</v>
      </c>
      <c r="C159" s="66"/>
      <c r="D159" s="66">
        <f t="shared" si="45"/>
        <v>1</v>
      </c>
      <c r="E159" s="309"/>
      <c r="F159" s="310">
        <f t="shared" si="46"/>
        <v>1</v>
      </c>
      <c r="G159" s="66"/>
      <c r="H159" s="66"/>
      <c r="P159" s="13"/>
    </row>
    <row r="160" spans="2:16" hidden="1" x14ac:dyDescent="0.25">
      <c r="B160" s="29" t="s">
        <v>9</v>
      </c>
      <c r="C160" s="66"/>
      <c r="D160" s="66">
        <f t="shared" si="45"/>
        <v>1</v>
      </c>
      <c r="E160" s="309"/>
      <c r="F160" s="310">
        <f t="shared" si="46"/>
        <v>0.33333333333333331</v>
      </c>
      <c r="G160" s="66"/>
      <c r="H160" s="66"/>
      <c r="P160" s="13"/>
    </row>
    <row r="161" spans="2:16" hidden="1" x14ac:dyDescent="0.25">
      <c r="B161" s="29" t="s">
        <v>10</v>
      </c>
      <c r="C161" s="66"/>
      <c r="D161" s="66">
        <f t="shared" si="45"/>
        <v>1</v>
      </c>
      <c r="E161" s="309"/>
      <c r="F161" s="310">
        <f t="shared" si="46"/>
        <v>1</v>
      </c>
      <c r="G161" s="66"/>
      <c r="H161" s="66"/>
      <c r="P161" s="13"/>
    </row>
    <row r="162" spans="2:16" hidden="1" x14ac:dyDescent="0.25">
      <c r="B162" s="29" t="s">
        <v>11</v>
      </c>
      <c r="C162" s="66"/>
      <c r="D162" s="66">
        <f t="shared" si="45"/>
        <v>0.125</v>
      </c>
      <c r="E162" s="309"/>
      <c r="F162" s="310">
        <f t="shared" si="46"/>
        <v>0.25</v>
      </c>
      <c r="G162" s="66"/>
      <c r="H162" s="66"/>
      <c r="P162" s="13"/>
    </row>
    <row r="163" spans="2:16" hidden="1" x14ac:dyDescent="0.25">
      <c r="B163" s="29" t="s">
        <v>12</v>
      </c>
      <c r="C163" s="66"/>
      <c r="D163" s="66">
        <f t="shared" si="45"/>
        <v>1</v>
      </c>
      <c r="E163" s="309"/>
      <c r="F163" s="310">
        <f t="shared" si="46"/>
        <v>1</v>
      </c>
      <c r="G163" s="66"/>
      <c r="H163" s="66"/>
      <c r="P163" s="13"/>
    </row>
    <row r="164" spans="2:16" hidden="1" x14ac:dyDescent="0.25">
      <c r="B164" s="29" t="s">
        <v>13</v>
      </c>
      <c r="C164" s="66"/>
      <c r="D164" s="66">
        <f t="shared" si="45"/>
        <v>1</v>
      </c>
      <c r="E164" s="309"/>
      <c r="F164" s="310">
        <f t="shared" si="46"/>
        <v>1</v>
      </c>
      <c r="G164" s="66"/>
      <c r="H164" s="66"/>
      <c r="P164" s="13"/>
    </row>
    <row r="165" spans="2:16" hidden="1" x14ac:dyDescent="0.25">
      <c r="B165" s="29" t="s">
        <v>14</v>
      </c>
      <c r="C165" s="66"/>
      <c r="D165" s="66">
        <f t="shared" si="45"/>
        <v>0</v>
      </c>
      <c r="E165" s="309"/>
      <c r="F165" s="310">
        <f t="shared" si="46"/>
        <v>0.84210526315789469</v>
      </c>
      <c r="G165" s="66"/>
      <c r="H165" s="66"/>
      <c r="P165" s="13"/>
    </row>
    <row r="166" spans="2:16" hidden="1" x14ac:dyDescent="0.25">
      <c r="B166" s="29" t="s">
        <v>15</v>
      </c>
      <c r="C166" s="66"/>
      <c r="D166" s="66">
        <f t="shared" si="45"/>
        <v>1</v>
      </c>
      <c r="E166" s="309"/>
      <c r="F166" s="310">
        <f t="shared" si="46"/>
        <v>1</v>
      </c>
      <c r="G166" s="66"/>
      <c r="H166" s="66"/>
      <c r="P166" s="13"/>
    </row>
    <row r="167" spans="2:16" hidden="1" x14ac:dyDescent="0.25">
      <c r="B167" s="29" t="s">
        <v>16</v>
      </c>
      <c r="C167" s="66"/>
      <c r="D167" s="66">
        <f t="shared" si="45"/>
        <v>0.33333333333333331</v>
      </c>
      <c r="E167" s="309"/>
      <c r="F167" s="310">
        <f t="shared" si="46"/>
        <v>0.66666666666666663</v>
      </c>
      <c r="G167" s="66"/>
      <c r="H167" s="66"/>
      <c r="P167" s="13"/>
    </row>
    <row r="168" spans="2:16" ht="15.75" hidden="1" thickBot="1" x14ac:dyDescent="0.3">
      <c r="B168" s="30" t="s">
        <v>17</v>
      </c>
      <c r="C168" s="67"/>
      <c r="D168" s="67">
        <f t="shared" si="45"/>
        <v>7.1428571428571425E-2</v>
      </c>
      <c r="E168" s="311"/>
      <c r="F168" s="312">
        <f t="shared" si="46"/>
        <v>0.8571428571428571</v>
      </c>
      <c r="G168" s="66"/>
      <c r="H168" s="66"/>
      <c r="P168" s="13"/>
    </row>
    <row r="169" spans="2:16" hidden="1" x14ac:dyDescent="0.25">
      <c r="P169" s="13"/>
    </row>
    <row r="170" spans="2:16" ht="15.75" hidden="1" thickBot="1" x14ac:dyDescent="0.3">
      <c r="B170" s="1" t="s">
        <v>770</v>
      </c>
      <c r="P170" s="13"/>
    </row>
    <row r="171" spans="2:16" ht="60" hidden="1" x14ac:dyDescent="0.25">
      <c r="B171" s="25" t="s">
        <v>6</v>
      </c>
      <c r="C171" s="413" t="s">
        <v>893</v>
      </c>
      <c r="D171" s="226" t="s">
        <v>894</v>
      </c>
      <c r="E171" s="554"/>
      <c r="F171" s="554"/>
      <c r="G171" s="11"/>
      <c r="H171" s="554"/>
      <c r="P171" s="13"/>
    </row>
    <row r="172" spans="2:16" hidden="1" x14ac:dyDescent="0.25">
      <c r="B172" s="28" t="s">
        <v>7</v>
      </c>
      <c r="C172" s="66">
        <f>IFERROR(COUNTIFS($C$188:$C$307, "="&amp;B172,$G$188:$G$307,"=3")/(COUNTIFS($C$188:$C$307, "="&amp;B172,$G$188:$G$307,"&gt;=0")), "NA")</f>
        <v>1</v>
      </c>
      <c r="D172" s="313">
        <f>IFERROR(COUNTIFS($C$188:$C$307, "="&amp;B172,$J$188:$J$307,"=3")/(COUNTIFS($C$188:$C$307, "="&amp;B172,$J$188:$J$307,"&gt;=0")), "NA")</f>
        <v>0.5</v>
      </c>
      <c r="E172" s="66"/>
      <c r="F172" s="66"/>
      <c r="G172" s="11"/>
      <c r="H172" s="66"/>
      <c r="P172" s="13"/>
    </row>
    <row r="173" spans="2:16" hidden="1" x14ac:dyDescent="0.25">
      <c r="B173" s="29" t="s">
        <v>34</v>
      </c>
      <c r="C173" s="66" t="str">
        <f t="shared" ref="C173:C183" si="47">IFERROR(COUNTIFS($C$188:$C$307, "="&amp;B173,$G$188:$G$307,"=3")/(COUNTIFS($C$188:$C$307, "="&amp;B173,$G$188:$G$307,"&gt;=0")), "NA")</f>
        <v>NA</v>
      </c>
      <c r="D173" s="313" t="str">
        <f t="shared" ref="D173:D183" si="48">IFERROR(COUNTIFS($C$188:$C$307, "="&amp;B173,$J$188:$J$307,"=3")/(COUNTIFS($C$188:$C$307, "="&amp;B173,$J$188:$J$307,"&gt;=0")), "NA")</f>
        <v>NA</v>
      </c>
      <c r="E173" s="66"/>
      <c r="F173" s="66"/>
      <c r="G173" s="11"/>
      <c r="H173" s="66"/>
      <c r="P173" s="13"/>
    </row>
    <row r="174" spans="2:16" hidden="1" x14ac:dyDescent="0.25">
      <c r="B174" s="29" t="s">
        <v>18</v>
      </c>
      <c r="C174" s="66">
        <f t="shared" si="47"/>
        <v>1</v>
      </c>
      <c r="D174" s="313">
        <f t="shared" si="48"/>
        <v>1</v>
      </c>
      <c r="E174" s="66"/>
      <c r="F174" s="66"/>
      <c r="G174" s="11"/>
      <c r="H174" s="66"/>
      <c r="P174" s="13"/>
    </row>
    <row r="175" spans="2:16" hidden="1" x14ac:dyDescent="0.25">
      <c r="B175" s="29" t="s">
        <v>9</v>
      </c>
      <c r="C175" s="66">
        <f t="shared" si="47"/>
        <v>1</v>
      </c>
      <c r="D175" s="313">
        <f t="shared" si="48"/>
        <v>0.33333333333333331</v>
      </c>
      <c r="E175" s="66"/>
      <c r="F175" s="66"/>
      <c r="G175" s="11"/>
      <c r="H175" s="66"/>
      <c r="P175" s="13"/>
    </row>
    <row r="176" spans="2:16" hidden="1" x14ac:dyDescent="0.25">
      <c r="B176" s="29" t="s">
        <v>10</v>
      </c>
      <c r="C176" s="66">
        <f t="shared" si="47"/>
        <v>1</v>
      </c>
      <c r="D176" s="313">
        <f t="shared" si="48"/>
        <v>1</v>
      </c>
      <c r="E176" s="66"/>
      <c r="F176" s="66"/>
      <c r="G176" s="11"/>
      <c r="H176" s="66"/>
      <c r="P176" s="13"/>
    </row>
    <row r="177" spans="2:16" hidden="1" x14ac:dyDescent="0.25">
      <c r="B177" s="29" t="s">
        <v>11</v>
      </c>
      <c r="C177" s="66">
        <f t="shared" si="47"/>
        <v>0.125</v>
      </c>
      <c r="D177" s="313">
        <f t="shared" si="48"/>
        <v>0.25</v>
      </c>
      <c r="E177" s="66"/>
      <c r="F177" s="66"/>
      <c r="G177" s="11"/>
      <c r="H177" s="66"/>
      <c r="P177" s="13"/>
    </row>
    <row r="178" spans="2:16" hidden="1" x14ac:dyDescent="0.25">
      <c r="B178" s="29" t="s">
        <v>12</v>
      </c>
      <c r="C178" s="66">
        <f t="shared" si="47"/>
        <v>1</v>
      </c>
      <c r="D178" s="313">
        <f t="shared" si="48"/>
        <v>1</v>
      </c>
      <c r="E178" s="66"/>
      <c r="F178" s="66"/>
      <c r="G178" s="11"/>
      <c r="H178" s="66"/>
      <c r="P178" s="13"/>
    </row>
    <row r="179" spans="2:16" hidden="1" x14ac:dyDescent="0.25">
      <c r="B179" s="29" t="s">
        <v>13</v>
      </c>
      <c r="C179" s="66">
        <f t="shared" si="47"/>
        <v>1</v>
      </c>
      <c r="D179" s="313">
        <f t="shared" si="48"/>
        <v>1</v>
      </c>
      <c r="E179" s="66"/>
      <c r="F179" s="66"/>
      <c r="G179" s="11"/>
      <c r="H179" s="66"/>
      <c r="P179" s="13"/>
    </row>
    <row r="180" spans="2:16" hidden="1" x14ac:dyDescent="0.25">
      <c r="B180" s="29" t="s">
        <v>14</v>
      </c>
      <c r="C180" s="66">
        <f t="shared" si="47"/>
        <v>0</v>
      </c>
      <c r="D180" s="313">
        <f t="shared" si="48"/>
        <v>0.84210526315789469</v>
      </c>
      <c r="E180" s="66"/>
      <c r="F180" s="66"/>
      <c r="G180" s="11"/>
      <c r="H180" s="66"/>
      <c r="P180" s="13"/>
    </row>
    <row r="181" spans="2:16" hidden="1" x14ac:dyDescent="0.25">
      <c r="B181" s="29" t="s">
        <v>15</v>
      </c>
      <c r="C181" s="66">
        <f t="shared" si="47"/>
        <v>1</v>
      </c>
      <c r="D181" s="313">
        <f t="shared" si="48"/>
        <v>1</v>
      </c>
      <c r="E181" s="66"/>
      <c r="F181" s="66"/>
      <c r="G181" s="11"/>
      <c r="H181" s="66"/>
      <c r="P181" s="13"/>
    </row>
    <row r="182" spans="2:16" hidden="1" x14ac:dyDescent="0.25">
      <c r="B182" s="29" t="s">
        <v>16</v>
      </c>
      <c r="C182" s="66">
        <f t="shared" si="47"/>
        <v>0.5</v>
      </c>
      <c r="D182" s="313">
        <f t="shared" si="48"/>
        <v>1</v>
      </c>
      <c r="E182" s="66"/>
      <c r="F182" s="66"/>
      <c r="G182" s="11"/>
      <c r="H182" s="66"/>
      <c r="P182" s="13"/>
    </row>
    <row r="183" spans="2:16" ht="15.75" hidden="1" thickBot="1" x14ac:dyDescent="0.3">
      <c r="B183" s="30" t="s">
        <v>17</v>
      </c>
      <c r="C183" s="67">
        <f t="shared" si="47"/>
        <v>7.1428571428571425E-2</v>
      </c>
      <c r="D183" s="314">
        <f t="shared" si="48"/>
        <v>0.8571428571428571</v>
      </c>
      <c r="E183" s="66"/>
      <c r="F183" s="66"/>
      <c r="G183" s="11"/>
      <c r="H183" s="66"/>
      <c r="P183" s="13"/>
    </row>
    <row r="184" spans="2:16" hidden="1" x14ac:dyDescent="0.25">
      <c r="P184" s="13"/>
    </row>
    <row r="185" spans="2:16" ht="15.75" hidden="1" thickBot="1" x14ac:dyDescent="0.3">
      <c r="B185" s="1" t="s">
        <v>703</v>
      </c>
      <c r="P185" s="2"/>
    </row>
    <row r="186" spans="2:16" ht="30" hidden="1" customHeight="1" x14ac:dyDescent="0.25">
      <c r="B186" s="488"/>
      <c r="C186" s="487"/>
      <c r="D186" s="492"/>
      <c r="E186" s="844" t="s">
        <v>215</v>
      </c>
      <c r="F186" s="845"/>
      <c r="G186" s="846"/>
      <c r="H186" s="830" t="s">
        <v>216</v>
      </c>
      <c r="I186" s="818"/>
      <c r="J186" s="819"/>
      <c r="K186" s="817" t="s">
        <v>203</v>
      </c>
      <c r="L186" s="847"/>
      <c r="N186" s="470"/>
      <c r="O186" s="470"/>
    </row>
    <row r="187" spans="2:16" ht="60.75" hidden="1" thickBot="1" x14ac:dyDescent="0.3">
      <c r="B187" s="489" t="s">
        <v>37</v>
      </c>
      <c r="C187" s="341" t="s">
        <v>6</v>
      </c>
      <c r="D187" s="493"/>
      <c r="E187" s="357" t="s">
        <v>214</v>
      </c>
      <c r="F187" s="358" t="s">
        <v>213</v>
      </c>
      <c r="G187" s="359" t="s">
        <v>212</v>
      </c>
      <c r="H187" s="360" t="s">
        <v>210</v>
      </c>
      <c r="I187" s="361" t="s">
        <v>209</v>
      </c>
      <c r="J187" s="359" t="s">
        <v>211</v>
      </c>
      <c r="K187" s="352" t="s">
        <v>197</v>
      </c>
      <c r="L187" s="353" t="s">
        <v>200</v>
      </c>
      <c r="N187" s="470"/>
      <c r="O187" s="470"/>
    </row>
    <row r="188" spans="2:16" hidden="1" x14ac:dyDescent="0.25">
      <c r="B188" s="329" t="str">
        <f>'Project-Level Data'!B22</f>
        <v>Dulzura Conduit Refurbishment</v>
      </c>
      <c r="C188" s="474" t="str">
        <f>'Project-Level Data'!C22</f>
        <v>Conveyance Improvement</v>
      </c>
      <c r="D188" s="477"/>
      <c r="E188" s="330">
        <f>'Project-Level Data'!O22</f>
        <v>2</v>
      </c>
      <c r="F188" s="331">
        <f>'Project-Level Data'!BL22</f>
        <v>3</v>
      </c>
      <c r="G188" s="332">
        <f t="shared" ref="G188:G219" si="49">IF(F188=3,3, IF(ISERROR(E188*F188), "NA", IF(AND(F188=1,E188=1),1, IF(AND(F188=1,E188=2),2, IF(AND(F188=5,E188=2),4, IF(AND(F188=5,E188=1),5))))))</f>
        <v>3</v>
      </c>
      <c r="H188" s="333">
        <f>'Project-Level Data'!N22</f>
        <v>2</v>
      </c>
      <c r="I188" s="334">
        <f>'Project-Level Data'!BM22</f>
        <v>3</v>
      </c>
      <c r="J188" s="332">
        <f t="shared" ref="J188:J219" si="50">IF(I188=3,3, IF(ISERROR(H188*I188), "NA", IF(AND(I188=1,H188=1),1, IF(AND(I188=1,H188=2),2, IF(AND(I188=5,H188=2),4, IF(AND(I188=5,H188=1),5))))))</f>
        <v>3</v>
      </c>
      <c r="K188" s="335">
        <f>'Project-Level Data'!BN22</f>
        <v>3</v>
      </c>
      <c r="L188" s="336">
        <f>'Project-Level Data'!BO22</f>
        <v>3</v>
      </c>
      <c r="N188" s="545"/>
      <c r="O188" s="545"/>
    </row>
    <row r="189" spans="2:16" hidden="1" x14ac:dyDescent="0.25">
      <c r="B189" s="227" t="str">
        <f>'Project-Level Data'!B53</f>
        <v>Mission Trails Projects Alternative 1</v>
      </c>
      <c r="C189" s="475" t="str">
        <f>'Project-Level Data'!C53</f>
        <v>Conveyance Improvement</v>
      </c>
      <c r="D189" s="477"/>
      <c r="E189" s="254">
        <f>'Project-Level Data'!O53</f>
        <v>1</v>
      </c>
      <c r="F189" s="80" t="str">
        <f>'Project-Level Data'!BL53</f>
        <v>MISSING</v>
      </c>
      <c r="G189" s="289" t="str">
        <f t="shared" si="49"/>
        <v>NA</v>
      </c>
      <c r="H189" s="255">
        <f>'Project-Level Data'!N53</f>
        <v>1</v>
      </c>
      <c r="I189" s="152" t="str">
        <f>'Project-Level Data'!BM53</f>
        <v>MISSING</v>
      </c>
      <c r="J189" s="289" t="str">
        <f t="shared" si="50"/>
        <v>NA</v>
      </c>
      <c r="K189" s="155">
        <f>'Project-Level Data'!BN53</f>
        <v>3</v>
      </c>
      <c r="L189" s="156">
        <f>'Project-Level Data'!BO53</f>
        <v>3</v>
      </c>
      <c r="N189" s="545"/>
      <c r="O189" s="545"/>
    </row>
    <row r="190" spans="2:16" hidden="1" x14ac:dyDescent="0.25">
      <c r="B190" s="227" t="str">
        <f>'Project-Level Data'!B72</f>
        <v>Pipeline 3/Pipeline 4 Conversion</v>
      </c>
      <c r="C190" s="475" t="str">
        <f>'Project-Level Data'!C72</f>
        <v>Conveyance Improvement</v>
      </c>
      <c r="D190" s="477"/>
      <c r="E190" s="255" t="str">
        <f>'Project-Level Data'!O72</f>
        <v>NOT MAPPED</v>
      </c>
      <c r="F190" s="152" t="str">
        <f>'Project-Level Data'!BL72</f>
        <v>MISSING</v>
      </c>
      <c r="G190" s="289" t="str">
        <f t="shared" si="49"/>
        <v>NA</v>
      </c>
      <c r="H190" s="255" t="str">
        <f>'Project-Level Data'!N72</f>
        <v>NOT MAPPED</v>
      </c>
      <c r="I190" s="152" t="str">
        <f>'Project-Level Data'!BM72</f>
        <v>MISSING</v>
      </c>
      <c r="J190" s="289" t="str">
        <f t="shared" si="50"/>
        <v>NA</v>
      </c>
      <c r="K190" s="155">
        <f>'Project-Level Data'!BN72</f>
        <v>3</v>
      </c>
      <c r="L190" s="156">
        <f>'Project-Level Data'!BO72</f>
        <v>3</v>
      </c>
      <c r="N190" s="545"/>
      <c r="O190" s="545"/>
    </row>
    <row r="191" spans="2:16" hidden="1" x14ac:dyDescent="0.25">
      <c r="B191" s="227" t="str">
        <f>'Project-Level Data'!B89</f>
        <v>San Diego County Reservoir Intertie</v>
      </c>
      <c r="C191" s="475" t="str">
        <f>'Project-Level Data'!C89</f>
        <v>Conveyance Improvement</v>
      </c>
      <c r="D191" s="477"/>
      <c r="E191" s="255">
        <f>'Project-Level Data'!O89</f>
        <v>2</v>
      </c>
      <c r="F191" s="80">
        <f>'Project-Level Data'!BL89</f>
        <v>3</v>
      </c>
      <c r="G191" s="289">
        <f t="shared" si="49"/>
        <v>3</v>
      </c>
      <c r="H191" s="255">
        <f>'Project-Level Data'!N89</f>
        <v>2</v>
      </c>
      <c r="I191" s="152">
        <f>'Project-Level Data'!BM89</f>
        <v>5</v>
      </c>
      <c r="J191" s="289">
        <f t="shared" si="50"/>
        <v>4</v>
      </c>
      <c r="K191" s="155">
        <f>'Project-Level Data'!BN89</f>
        <v>4</v>
      </c>
      <c r="L191" s="156">
        <f>'Project-Level Data'!BO89</f>
        <v>4</v>
      </c>
      <c r="N191" s="545"/>
      <c r="O191" s="545"/>
    </row>
    <row r="192" spans="2:16" hidden="1" x14ac:dyDescent="0.25">
      <c r="B192" s="227" t="str">
        <f>'Project-Level Data'!B100</f>
        <v>San Vicente 3rd Pump Drive and Power</v>
      </c>
      <c r="C192" s="475" t="str">
        <f>'Project-Level Data'!C100</f>
        <v>Conveyance Improvement</v>
      </c>
      <c r="D192" s="477"/>
      <c r="E192" s="255">
        <f>'Project-Level Data'!O100</f>
        <v>2</v>
      </c>
      <c r="F192" s="80" t="str">
        <f>'Project-Level Data'!BL100</f>
        <v>MISSING</v>
      </c>
      <c r="G192" s="289" t="str">
        <f t="shared" si="49"/>
        <v>NA</v>
      </c>
      <c r="H192" s="255">
        <f>'Project-Level Data'!N100</f>
        <v>2</v>
      </c>
      <c r="I192" s="152" t="str">
        <f>'Project-Level Data'!BM100</f>
        <v>MISSING</v>
      </c>
      <c r="J192" s="289" t="str">
        <f t="shared" si="50"/>
        <v>NA</v>
      </c>
      <c r="K192" s="155">
        <f>'Project-Level Data'!BN100</f>
        <v>3</v>
      </c>
      <c r="L192" s="156">
        <f>'Project-Level Data'!BO100</f>
        <v>3</v>
      </c>
      <c r="N192" s="545"/>
      <c r="O192" s="545"/>
    </row>
    <row r="193" spans="2:17" s="14" customFormat="1" hidden="1" x14ac:dyDescent="0.25">
      <c r="B193" s="227" t="str">
        <f>'Project-Level Data'!B103</f>
        <v>Second Crossover Pipeline</v>
      </c>
      <c r="C193" s="475" t="str">
        <f>'Project-Level Data'!C103</f>
        <v>Conveyance Improvement</v>
      </c>
      <c r="D193" s="477"/>
      <c r="E193" s="255">
        <f>'Project-Level Data'!O103</f>
        <v>1</v>
      </c>
      <c r="F193" s="80" t="str">
        <f>'Project-Level Data'!BL103</f>
        <v>MISSING</v>
      </c>
      <c r="G193" s="289" t="str">
        <f t="shared" si="49"/>
        <v>NA</v>
      </c>
      <c r="H193" s="255">
        <f>'Project-Level Data'!N103</f>
        <v>2</v>
      </c>
      <c r="I193" s="152" t="str">
        <f>'Project-Level Data'!BM103</f>
        <v>MISSING</v>
      </c>
      <c r="J193" s="289" t="str">
        <f t="shared" si="50"/>
        <v>NA</v>
      </c>
      <c r="K193" s="155">
        <f>'Project-Level Data'!BN103</f>
        <v>3</v>
      </c>
      <c r="L193" s="156">
        <f>'Project-Level Data'!BO103</f>
        <v>3</v>
      </c>
      <c r="N193" s="545"/>
      <c r="O193" s="545"/>
      <c r="Q193" s="49"/>
    </row>
    <row r="194" spans="2:17" hidden="1" x14ac:dyDescent="0.25">
      <c r="B194" s="227" t="str">
        <f>'Project-Level Data'!B27</f>
        <v xml:space="preserve">Enhanced Conservation </v>
      </c>
      <c r="C194" s="475" t="str">
        <f>'Project-Level Data'!C27</f>
        <v>Enhanced Conservation</v>
      </c>
      <c r="D194" s="477"/>
      <c r="E194" s="254" t="str">
        <f>'Project-Level Data'!O27</f>
        <v>NOT MAPPED</v>
      </c>
      <c r="F194" s="80" t="str">
        <f>'Project-Level Data'!BL27</f>
        <v>REMOVED</v>
      </c>
      <c r="G194" s="289" t="str">
        <f t="shared" si="49"/>
        <v>NA</v>
      </c>
      <c r="H194" s="255" t="str">
        <f>'Project-Level Data'!N27</f>
        <v>NOT MAPPED</v>
      </c>
      <c r="I194" s="152" t="str">
        <f>'Project-Level Data'!BM27</f>
        <v>REMOVED</v>
      </c>
      <c r="J194" s="289" t="str">
        <f t="shared" si="50"/>
        <v>NA</v>
      </c>
      <c r="K194" s="155" t="str">
        <f>'Project-Level Data'!BN27</f>
        <v>REMOVED</v>
      </c>
      <c r="L194" s="156" t="str">
        <f>'Project-Level Data'!BO27</f>
        <v>REMOVED</v>
      </c>
      <c r="N194" s="545"/>
      <c r="O194" s="545"/>
    </row>
    <row r="195" spans="2:17" ht="25.5" hidden="1" x14ac:dyDescent="0.25">
      <c r="B195" s="227" t="str">
        <f>'Project-Level Data'!B21</f>
        <v>Conservation Home Makeover in the Chollas Creek Watershed</v>
      </c>
      <c r="C195" s="475" t="str">
        <f>'Project-Level Data'!C21</f>
        <v>Gray Water Use</v>
      </c>
      <c r="D195" s="477"/>
      <c r="E195" s="254">
        <f>'Project-Level Data'!O21</f>
        <v>2</v>
      </c>
      <c r="F195" s="80" t="str">
        <f>'Project-Level Data'!BL21</f>
        <v>No Response</v>
      </c>
      <c r="G195" s="289" t="str">
        <f t="shared" si="49"/>
        <v>NA</v>
      </c>
      <c r="H195" s="255">
        <f>'Project-Level Data'!N21</f>
        <v>1</v>
      </c>
      <c r="I195" s="152" t="str">
        <f>'Project-Level Data'!BM21</f>
        <v>No Response</v>
      </c>
      <c r="J195" s="289" t="str">
        <f t="shared" si="50"/>
        <v>NA</v>
      </c>
      <c r="K195" s="155" t="str">
        <f>'Project-Level Data'!BN21</f>
        <v>No Response</v>
      </c>
      <c r="L195" s="156" t="str">
        <f>'Project-Level Data'!BO21</f>
        <v>No Response</v>
      </c>
      <c r="N195" s="545"/>
      <c r="O195" s="545"/>
    </row>
    <row r="196" spans="2:17" hidden="1" x14ac:dyDescent="0.25">
      <c r="B196" s="227" t="str">
        <f>'Project-Level Data'!B33</f>
        <v>Graywater pilot project</v>
      </c>
      <c r="C196" s="475" t="str">
        <f>'Project-Level Data'!C33</f>
        <v>Gray Water Use</v>
      </c>
      <c r="D196" s="477"/>
      <c r="E196" s="254" t="str">
        <f>'Project-Level Data'!O33</f>
        <v>NOT MAPPED</v>
      </c>
      <c r="F196" s="80">
        <f>'Project-Level Data'!BL33</f>
        <v>3</v>
      </c>
      <c r="G196" s="289">
        <f t="shared" si="49"/>
        <v>3</v>
      </c>
      <c r="H196" s="255" t="str">
        <f>'Project-Level Data'!N33</f>
        <v>NOT MAPPED</v>
      </c>
      <c r="I196" s="152">
        <f>'Project-Level Data'!BM33</f>
        <v>3</v>
      </c>
      <c r="J196" s="289">
        <f t="shared" si="50"/>
        <v>3</v>
      </c>
      <c r="K196" s="155">
        <f>'Project-Level Data'!BN33</f>
        <v>3</v>
      </c>
      <c r="L196" s="156">
        <f>'Project-Level Data'!BO33</f>
        <v>3</v>
      </c>
      <c r="N196" s="545"/>
      <c r="O196" s="545"/>
    </row>
    <row r="197" spans="2:17" hidden="1" x14ac:dyDescent="0.25">
      <c r="B197" s="227" t="str">
        <f>'Project-Level Data'!B34</f>
        <v>Groundwater Extraction Santee/El Monte</v>
      </c>
      <c r="C197" s="475" t="str">
        <f>'Project-Level Data'!C34</f>
        <v>Groundwater</v>
      </c>
      <c r="D197" s="477"/>
      <c r="E197" s="254">
        <f>'Project-Level Data'!O34</f>
        <v>1</v>
      </c>
      <c r="F197" s="80">
        <f>'Project-Level Data'!BL34</f>
        <v>3</v>
      </c>
      <c r="G197" s="289">
        <f t="shared" si="49"/>
        <v>3</v>
      </c>
      <c r="H197" s="255">
        <f>'Project-Level Data'!N34</f>
        <v>2</v>
      </c>
      <c r="I197" s="152">
        <f>'Project-Level Data'!BM34</f>
        <v>5</v>
      </c>
      <c r="J197" s="289">
        <f t="shared" si="50"/>
        <v>4</v>
      </c>
      <c r="K197" s="157">
        <f>'Project-Level Data'!BN34</f>
        <v>4</v>
      </c>
      <c r="L197" s="158">
        <f>'Project-Level Data'!BO34</f>
        <v>4</v>
      </c>
      <c r="N197" s="545"/>
      <c r="O197" s="545"/>
    </row>
    <row r="198" spans="2:17" ht="25.5" hidden="1" x14ac:dyDescent="0.25">
      <c r="B198" s="227" t="str">
        <f>'Project-Level Data'!B52</f>
        <v>Middle Sweetwater River Basin Groundwater Well System</v>
      </c>
      <c r="C198" s="475" t="str">
        <f>'Project-Level Data'!C52</f>
        <v>Groundwater</v>
      </c>
      <c r="D198" s="477"/>
      <c r="E198" s="254">
        <f>'Project-Level Data'!O52</f>
        <v>3</v>
      </c>
      <c r="F198" s="80">
        <f>'Project-Level Data'!BL52</f>
        <v>3</v>
      </c>
      <c r="G198" s="289">
        <f t="shared" si="49"/>
        <v>3</v>
      </c>
      <c r="H198" s="255">
        <f>'Project-Level Data'!N52</f>
        <v>3</v>
      </c>
      <c r="I198" s="152">
        <f>'Project-Level Data'!BM52</f>
        <v>3</v>
      </c>
      <c r="J198" s="289">
        <f t="shared" si="50"/>
        <v>3</v>
      </c>
      <c r="K198" s="157">
        <f>'Project-Level Data'!BN52</f>
        <v>3</v>
      </c>
      <c r="L198" s="158">
        <f>'Project-Level Data'!BO52</f>
        <v>3</v>
      </c>
      <c r="N198" s="545"/>
      <c r="O198" s="545"/>
    </row>
    <row r="199" spans="2:17" hidden="1" x14ac:dyDescent="0.25">
      <c r="B199" s="227" t="str">
        <f>'Project-Level Data'!B54</f>
        <v>Mission Valley Brackish Groundwater Recovery Project</v>
      </c>
      <c r="C199" s="475" t="str">
        <f>'Project-Level Data'!C54</f>
        <v>Groundwater</v>
      </c>
      <c r="D199" s="477"/>
      <c r="E199" s="254">
        <f>'Project-Level Data'!O54</f>
        <v>1</v>
      </c>
      <c r="F199" s="80">
        <f>'Project-Level Data'!BL54</f>
        <v>3</v>
      </c>
      <c r="G199" s="289">
        <f t="shared" si="49"/>
        <v>3</v>
      </c>
      <c r="H199" s="255">
        <f>'Project-Level Data'!N54</f>
        <v>1</v>
      </c>
      <c r="I199" s="152">
        <f>'Project-Level Data'!BM54</f>
        <v>5</v>
      </c>
      <c r="J199" s="289">
        <f t="shared" si="50"/>
        <v>5</v>
      </c>
      <c r="K199" s="155">
        <f>'Project-Level Data'!BN54</f>
        <v>3</v>
      </c>
      <c r="L199" s="156">
        <f>'Project-Level Data'!BO54</f>
        <v>3</v>
      </c>
      <c r="N199" s="545"/>
      <c r="O199" s="545"/>
    </row>
    <row r="200" spans="2:17" hidden="1" x14ac:dyDescent="0.25">
      <c r="B200" s="227" t="str">
        <f>'Project-Level Data'!B67</f>
        <v>Otay Mesa Lot 7 Groundwater Well System (capacity)</v>
      </c>
      <c r="C200" s="475" t="str">
        <f>'Project-Level Data'!C67</f>
        <v>Groundwater</v>
      </c>
      <c r="D200" s="477"/>
      <c r="E200" s="255">
        <f>'Project-Level Data'!O67</f>
        <v>2</v>
      </c>
      <c r="F200" s="152">
        <f>'Project-Level Data'!BL67</f>
        <v>3</v>
      </c>
      <c r="G200" s="289">
        <f t="shared" si="49"/>
        <v>3</v>
      </c>
      <c r="H200" s="255">
        <f>'Project-Level Data'!N67</f>
        <v>1</v>
      </c>
      <c r="I200" s="152">
        <f>'Project-Level Data'!BM67</f>
        <v>3</v>
      </c>
      <c r="J200" s="289">
        <f t="shared" si="50"/>
        <v>3</v>
      </c>
      <c r="K200" s="155">
        <f>'Project-Level Data'!BN67</f>
        <v>3</v>
      </c>
      <c r="L200" s="156">
        <f>'Project-Level Data'!BO67</f>
        <v>3</v>
      </c>
      <c r="N200" s="545"/>
      <c r="O200" s="545"/>
    </row>
    <row r="201" spans="2:17" ht="25.5" hidden="1" x14ac:dyDescent="0.25">
      <c r="B201" s="227" t="str">
        <f>'Project-Level Data'!B68</f>
        <v>Otay River Valley GW Aquifer Studies &amp; Field Investigations</v>
      </c>
      <c r="C201" s="475" t="str">
        <f>'Project-Level Data'!C68</f>
        <v>Groundwater</v>
      </c>
      <c r="D201" s="477"/>
      <c r="E201" s="255">
        <f>'Project-Level Data'!O68</f>
        <v>1</v>
      </c>
      <c r="F201" s="152">
        <f>'Project-Level Data'!BL68</f>
        <v>3</v>
      </c>
      <c r="G201" s="289">
        <f t="shared" si="49"/>
        <v>3</v>
      </c>
      <c r="H201" s="255">
        <f>'Project-Level Data'!N68</f>
        <v>2</v>
      </c>
      <c r="I201" s="152">
        <f>'Project-Level Data'!BM68</f>
        <v>5</v>
      </c>
      <c r="J201" s="289">
        <f t="shared" si="50"/>
        <v>4</v>
      </c>
      <c r="K201" s="155" t="str">
        <f>'Project-Level Data'!BN68</f>
        <v>MISSING</v>
      </c>
      <c r="L201" s="156" t="str">
        <f>'Project-Level Data'!BO68</f>
        <v>MISSING</v>
      </c>
      <c r="N201" s="545"/>
      <c r="O201" s="545"/>
    </row>
    <row r="202" spans="2:17" ht="25.5" hidden="1" x14ac:dyDescent="0.25">
      <c r="B202" s="227" t="str">
        <f>'Project-Level Data'!B79</f>
        <v>Rancho del Rey Groundwater Well Development (capacity)</v>
      </c>
      <c r="C202" s="475" t="str">
        <f>'Project-Level Data'!C79</f>
        <v>Groundwater</v>
      </c>
      <c r="D202" s="477"/>
      <c r="E202" s="255">
        <f>'Project-Level Data'!O79</f>
        <v>2</v>
      </c>
      <c r="F202" s="80">
        <f>'Project-Level Data'!BL79</f>
        <v>3</v>
      </c>
      <c r="G202" s="289">
        <f t="shared" si="49"/>
        <v>3</v>
      </c>
      <c r="H202" s="255">
        <f>'Project-Level Data'!N79</f>
        <v>2</v>
      </c>
      <c r="I202" s="152">
        <f>'Project-Level Data'!BM79</f>
        <v>3</v>
      </c>
      <c r="J202" s="289">
        <f t="shared" si="50"/>
        <v>3</v>
      </c>
      <c r="K202" s="155">
        <f>'Project-Level Data'!BN79</f>
        <v>3</v>
      </c>
      <c r="L202" s="156">
        <f>'Project-Level Data'!BO79</f>
        <v>3</v>
      </c>
      <c r="N202" s="545"/>
      <c r="O202" s="545"/>
    </row>
    <row r="203" spans="2:17" ht="25.5" hidden="1" x14ac:dyDescent="0.25">
      <c r="B203" s="227" t="str">
        <f>'Project-Level Data'!B90</f>
        <v>San Diego Formation - Southeaster San Diego, including Mt Hope</v>
      </c>
      <c r="C203" s="475" t="str">
        <f>'Project-Level Data'!C90</f>
        <v>Groundwater</v>
      </c>
      <c r="D203" s="477"/>
      <c r="E203" s="255">
        <f>'Project-Level Data'!O90</f>
        <v>2</v>
      </c>
      <c r="F203" s="80">
        <f>'Project-Level Data'!BL90</f>
        <v>3</v>
      </c>
      <c r="G203" s="289">
        <f t="shared" si="49"/>
        <v>3</v>
      </c>
      <c r="H203" s="255">
        <f>'Project-Level Data'!N90</f>
        <v>2</v>
      </c>
      <c r="I203" s="152">
        <f>'Project-Level Data'!BM90</f>
        <v>5</v>
      </c>
      <c r="J203" s="289">
        <f t="shared" si="50"/>
        <v>4</v>
      </c>
      <c r="K203" s="155" t="str">
        <f>'Project-Level Data'!BN90</f>
        <v>MISSING</v>
      </c>
      <c r="L203" s="156" t="str">
        <f>'Project-Level Data'!BO90</f>
        <v>MISSING</v>
      </c>
      <c r="N203" s="545"/>
      <c r="O203" s="545"/>
    </row>
    <row r="204" spans="2:17" ht="25.5" hidden="1" x14ac:dyDescent="0.25">
      <c r="B204" s="227" t="str">
        <f>'Project-Level Data'!B94</f>
        <v>San Dieguito River Basin Brackish GW Recovery and Treatment</v>
      </c>
      <c r="C204" s="475" t="str">
        <f>'Project-Level Data'!C94</f>
        <v>Groundwater</v>
      </c>
      <c r="D204" s="477"/>
      <c r="E204" s="255">
        <f>'Project-Level Data'!O94</f>
        <v>1</v>
      </c>
      <c r="F204" s="80">
        <f>'Project-Level Data'!BL94</f>
        <v>3</v>
      </c>
      <c r="G204" s="289">
        <f t="shared" si="49"/>
        <v>3</v>
      </c>
      <c r="H204" s="255">
        <f>'Project-Level Data'!N94</f>
        <v>2</v>
      </c>
      <c r="I204" s="152">
        <f>'Project-Level Data'!BM94</f>
        <v>5</v>
      </c>
      <c r="J204" s="289">
        <f t="shared" si="50"/>
        <v>4</v>
      </c>
      <c r="K204" s="155">
        <f>'Project-Level Data'!BN94</f>
        <v>4</v>
      </c>
      <c r="L204" s="156">
        <f>'Project-Level Data'!BO94</f>
        <v>4</v>
      </c>
      <c r="N204" s="545"/>
      <c r="O204" s="545"/>
    </row>
    <row r="205" spans="2:17" hidden="1" x14ac:dyDescent="0.25">
      <c r="B205" s="227" t="str">
        <f>'Project-Level Data'!B95</f>
        <v>San Luis Rey Groundwater Study</v>
      </c>
      <c r="C205" s="475" t="str">
        <f>'Project-Level Data'!C95</f>
        <v>Groundwater</v>
      </c>
      <c r="D205" s="477"/>
      <c r="E205" s="255">
        <f>'Project-Level Data'!O95</f>
        <v>2</v>
      </c>
      <c r="F205" s="80" t="str">
        <f>'Project-Level Data'!BL95</f>
        <v>No Response</v>
      </c>
      <c r="G205" s="289" t="str">
        <f t="shared" si="49"/>
        <v>NA</v>
      </c>
      <c r="H205" s="255">
        <f>'Project-Level Data'!N95</f>
        <v>2</v>
      </c>
      <c r="I205" s="152" t="str">
        <f>'Project-Level Data'!BM95</f>
        <v>No Response</v>
      </c>
      <c r="J205" s="289" t="str">
        <f t="shared" si="50"/>
        <v>NA</v>
      </c>
      <c r="K205" s="155" t="str">
        <f>'Project-Level Data'!BN95</f>
        <v>No Response</v>
      </c>
      <c r="L205" s="156" t="str">
        <f>'Project-Level Data'!BO95</f>
        <v>No Response</v>
      </c>
      <c r="N205" s="545"/>
      <c r="O205" s="545"/>
    </row>
    <row r="206" spans="2:17" hidden="1" x14ac:dyDescent="0.25">
      <c r="B206" s="227" t="str">
        <f>'Project-Level Data'!B99</f>
        <v>San Pasqual Brackish Groundwater Recovery Project</v>
      </c>
      <c r="C206" s="475" t="str">
        <f>'Project-Level Data'!C99</f>
        <v>Groundwater</v>
      </c>
      <c r="D206" s="477"/>
      <c r="E206" s="255">
        <f>'Project-Level Data'!O99</f>
        <v>1</v>
      </c>
      <c r="F206" s="80">
        <f>'Project-Level Data'!BL99</f>
        <v>3</v>
      </c>
      <c r="G206" s="289">
        <f t="shared" si="49"/>
        <v>3</v>
      </c>
      <c r="H206" s="255">
        <f>'Project-Level Data'!N99</f>
        <v>2</v>
      </c>
      <c r="I206" s="152">
        <f>'Project-Level Data'!BM99</f>
        <v>5</v>
      </c>
      <c r="J206" s="289">
        <f t="shared" si="50"/>
        <v>4</v>
      </c>
      <c r="K206" s="155">
        <f>'Project-Level Data'!BN99</f>
        <v>2</v>
      </c>
      <c r="L206" s="156">
        <f>'Project-Level Data'!BO99</f>
        <v>3</v>
      </c>
      <c r="N206" s="545"/>
      <c r="O206" s="545"/>
    </row>
    <row r="207" spans="2:17" ht="38.25" hidden="1" x14ac:dyDescent="0.25">
      <c r="B207" s="227" t="str">
        <f>'Project-Level Data'!B101</f>
        <v>Santa Margarita Conjunctive-Use Project - Local surface water recharge and expansion of Camp Pendleton groundwater recovery program</v>
      </c>
      <c r="C207" s="475" t="str">
        <f>'Project-Level Data'!C101</f>
        <v>Groundwater</v>
      </c>
      <c r="D207" s="477"/>
      <c r="E207" s="255">
        <f>'Project-Level Data'!O101</f>
        <v>2</v>
      </c>
      <c r="F207" s="80" t="str">
        <f>'Project-Level Data'!BL101</f>
        <v>No Response</v>
      </c>
      <c r="G207" s="289" t="str">
        <f t="shared" si="49"/>
        <v>NA</v>
      </c>
      <c r="H207" s="255">
        <f>'Project-Level Data'!N101</f>
        <v>1</v>
      </c>
      <c r="I207" s="152" t="str">
        <f>'Project-Level Data'!BM101</f>
        <v>No Response</v>
      </c>
      <c r="J207" s="289" t="str">
        <f t="shared" si="50"/>
        <v>NA</v>
      </c>
      <c r="K207" s="155" t="str">
        <f>'Project-Level Data'!BN101</f>
        <v>No Response</v>
      </c>
      <c r="L207" s="156" t="str">
        <f>'Project-Level Data'!BO101</f>
        <v>No Response</v>
      </c>
      <c r="N207" s="545"/>
      <c r="O207" s="545"/>
    </row>
    <row r="208" spans="2:17" hidden="1" x14ac:dyDescent="0.25">
      <c r="B208" s="227" t="str">
        <f>'Project-Level Data'!B14</f>
        <v>Cadiz additional imported supplies</v>
      </c>
      <c r="C208" s="475" t="str">
        <f>'Project-Level Data'!C14</f>
        <v>Imported Water Purchases</v>
      </c>
      <c r="D208" s="477"/>
      <c r="E208" s="254" t="str">
        <f>'Project-Level Data'!O14</f>
        <v>NOT MAPPED</v>
      </c>
      <c r="F208" s="80">
        <f>'Project-Level Data'!BL14</f>
        <v>3</v>
      </c>
      <c r="G208" s="289">
        <f t="shared" si="49"/>
        <v>3</v>
      </c>
      <c r="H208" s="255" t="str">
        <f>'Project-Level Data'!N14</f>
        <v>NOT MAPPED</v>
      </c>
      <c r="I208" s="152">
        <f>'Project-Level Data'!BM14</f>
        <v>3</v>
      </c>
      <c r="J208" s="289">
        <f t="shared" si="50"/>
        <v>3</v>
      </c>
      <c r="K208" s="155">
        <f>'Project-Level Data'!BN14</f>
        <v>3</v>
      </c>
      <c r="L208" s="156">
        <f>'Project-Level Data'!BO14</f>
        <v>3</v>
      </c>
      <c r="N208" s="545"/>
      <c r="O208" s="545"/>
    </row>
    <row r="209" spans="2:15" ht="25.5" hidden="1" x14ac:dyDescent="0.25">
      <c r="B209" s="227" t="str">
        <f>'Project-Level Data'!B23</f>
        <v>East County Advanced Water Purification Program Phase 1</v>
      </c>
      <c r="C209" s="475" t="str">
        <f>'Project-Level Data'!C23</f>
        <v>Potable Reuse</v>
      </c>
      <c r="D209" s="477"/>
      <c r="E209" s="254">
        <f>'Project-Level Data'!O23</f>
        <v>1</v>
      </c>
      <c r="F209" s="80">
        <f>'Project-Level Data'!BL23</f>
        <v>5</v>
      </c>
      <c r="G209" s="289">
        <f t="shared" si="49"/>
        <v>5</v>
      </c>
      <c r="H209" s="255">
        <f>'Project-Level Data'!N23</f>
        <v>2</v>
      </c>
      <c r="I209" s="152">
        <f>'Project-Level Data'!BM23</f>
        <v>5</v>
      </c>
      <c r="J209" s="289">
        <f t="shared" si="50"/>
        <v>4</v>
      </c>
      <c r="K209" s="155">
        <f>'Project-Level Data'!BN23</f>
        <v>3</v>
      </c>
      <c r="L209" s="156">
        <f>'Project-Level Data'!BO23</f>
        <v>3</v>
      </c>
      <c r="N209" s="545"/>
      <c r="O209" s="545"/>
    </row>
    <row r="210" spans="2:15" ht="25.5" hidden="1" x14ac:dyDescent="0.25">
      <c r="B210" s="227" t="str">
        <f>'Project-Level Data'!B24</f>
        <v>East County Advanced Water Purification Program Phase 2</v>
      </c>
      <c r="C210" s="475" t="str">
        <f>'Project-Level Data'!C24</f>
        <v>Potable Reuse</v>
      </c>
      <c r="D210" s="477"/>
      <c r="E210" s="254">
        <f>'Project-Level Data'!O24</f>
        <v>1</v>
      </c>
      <c r="F210" s="80">
        <f>'Project-Level Data'!BL24</f>
        <v>5</v>
      </c>
      <c r="G210" s="289">
        <f t="shared" si="49"/>
        <v>5</v>
      </c>
      <c r="H210" s="255">
        <f>'Project-Level Data'!N24</f>
        <v>2</v>
      </c>
      <c r="I210" s="152">
        <f>'Project-Level Data'!BM24</f>
        <v>5</v>
      </c>
      <c r="J210" s="289">
        <f t="shared" si="50"/>
        <v>4</v>
      </c>
      <c r="K210" s="155">
        <f>'Project-Level Data'!BN24</f>
        <v>3</v>
      </c>
      <c r="L210" s="156">
        <f>'Project-Level Data'!BO24</f>
        <v>3</v>
      </c>
      <c r="N210" s="545"/>
      <c r="O210" s="545"/>
    </row>
    <row r="211" spans="2:15" ht="25.5" hidden="1" x14ac:dyDescent="0.25">
      <c r="B211" s="227" t="str">
        <f>'Project-Level Data'!B25</f>
        <v>East County Advanced Water Purification Program Phase 3</v>
      </c>
      <c r="C211" s="475" t="str">
        <f>'Project-Level Data'!C25</f>
        <v>Potable Reuse</v>
      </c>
      <c r="D211" s="477"/>
      <c r="E211" s="254">
        <f>'Project-Level Data'!O25</f>
        <v>1</v>
      </c>
      <c r="F211" s="80">
        <f>'Project-Level Data'!BL25</f>
        <v>5</v>
      </c>
      <c r="G211" s="289">
        <f t="shared" si="49"/>
        <v>5</v>
      </c>
      <c r="H211" s="255">
        <f>'Project-Level Data'!N25</f>
        <v>2</v>
      </c>
      <c r="I211" s="152">
        <f>'Project-Level Data'!BM25</f>
        <v>5</v>
      </c>
      <c r="J211" s="289">
        <f t="shared" si="50"/>
        <v>4</v>
      </c>
      <c r="K211" s="155">
        <f>'Project-Level Data'!BN25</f>
        <v>3</v>
      </c>
      <c r="L211" s="156">
        <f>'Project-Level Data'!BO25</f>
        <v>3</v>
      </c>
      <c r="N211" s="545"/>
      <c r="O211" s="545"/>
    </row>
    <row r="212" spans="2:15" hidden="1" x14ac:dyDescent="0.25">
      <c r="B212" s="227" t="str">
        <f>'Project-Level Data'!B26</f>
        <v>Encina Wastewater Water Reuse Project</v>
      </c>
      <c r="C212" s="475" t="str">
        <f>'Project-Level Data'!C26</f>
        <v>Potable Reuse</v>
      </c>
      <c r="D212" s="477"/>
      <c r="E212" s="254">
        <f>'Project-Level Data'!O26</f>
        <v>2</v>
      </c>
      <c r="F212" s="80">
        <f>'Project-Level Data'!BL26</f>
        <v>3</v>
      </c>
      <c r="G212" s="289">
        <f t="shared" si="49"/>
        <v>3</v>
      </c>
      <c r="H212" s="255">
        <f>'Project-Level Data'!N26</f>
        <v>1</v>
      </c>
      <c r="I212" s="152">
        <f>'Project-Level Data'!BM26</f>
        <v>5</v>
      </c>
      <c r="J212" s="289">
        <f t="shared" si="50"/>
        <v>5</v>
      </c>
      <c r="K212" s="155">
        <f>'Project-Level Data'!BN26</f>
        <v>3</v>
      </c>
      <c r="L212" s="156">
        <f>'Project-Level Data'!BO26</f>
        <v>5</v>
      </c>
      <c r="N212" s="545"/>
      <c r="O212" s="545"/>
    </row>
    <row r="213" spans="2:15" ht="25.5" hidden="1" x14ac:dyDescent="0.25">
      <c r="B213" s="227" t="str">
        <f>'Project-Level Data'!B59</f>
        <v>New Local Supply Rincon del Diablo - Hale Avenue RRF/ City of Escondido/WRFs</v>
      </c>
      <c r="C213" s="475" t="str">
        <f>'Project-Level Data'!C59</f>
        <v>Potable Reuse</v>
      </c>
      <c r="D213" s="477"/>
      <c r="E213" s="254">
        <f>'Project-Level Data'!O59</f>
        <v>1</v>
      </c>
      <c r="F213" s="80" t="str">
        <f>'Project-Level Data'!BL59</f>
        <v>No Response</v>
      </c>
      <c r="G213" s="289" t="str">
        <f t="shared" si="49"/>
        <v>NA</v>
      </c>
      <c r="H213" s="255">
        <f>'Project-Level Data'!N59</f>
        <v>1</v>
      </c>
      <c r="I213" s="152" t="str">
        <f>'Project-Level Data'!BM59</f>
        <v>No Response</v>
      </c>
      <c r="J213" s="289" t="str">
        <f t="shared" si="50"/>
        <v>NA</v>
      </c>
      <c r="K213" s="155" t="str">
        <f>'Project-Level Data'!BN59</f>
        <v>No Response</v>
      </c>
      <c r="L213" s="156" t="str">
        <f>'Project-Level Data'!BO59</f>
        <v>No Response</v>
      </c>
      <c r="N213" s="545"/>
      <c r="O213" s="545"/>
    </row>
    <row r="214" spans="2:15" ht="25.5" hidden="1" x14ac:dyDescent="0.25">
      <c r="B214" s="227" t="str">
        <f>'Project-Level Data'!B73</f>
        <v xml:space="preserve">Potable Reuse/Hale Avenue Resource Recovery Facility (HARRF) </v>
      </c>
      <c r="C214" s="475" t="str">
        <f>'Project-Level Data'!C73</f>
        <v>Potable Reuse</v>
      </c>
      <c r="D214" s="477"/>
      <c r="E214" s="255">
        <f>'Project-Level Data'!O73</f>
        <v>1</v>
      </c>
      <c r="F214" s="80" t="str">
        <f>'Project-Level Data'!BL73</f>
        <v>No Response</v>
      </c>
      <c r="G214" s="289" t="str">
        <f t="shared" si="49"/>
        <v>NA</v>
      </c>
      <c r="H214" s="255">
        <f>'Project-Level Data'!N73</f>
        <v>1</v>
      </c>
      <c r="I214" s="152" t="str">
        <f>'Project-Level Data'!BM73</f>
        <v>No Response</v>
      </c>
      <c r="J214" s="289" t="str">
        <f t="shared" si="50"/>
        <v>NA</v>
      </c>
      <c r="K214" s="155" t="str">
        <f>'Project-Level Data'!BN73</f>
        <v>No Response</v>
      </c>
      <c r="L214" s="156" t="str">
        <f>'Project-Level Data'!BO73</f>
        <v>No Response</v>
      </c>
      <c r="N214" s="545"/>
      <c r="O214" s="545"/>
    </row>
    <row r="215" spans="2:15" hidden="1" x14ac:dyDescent="0.25">
      <c r="B215" s="227" t="str">
        <f>'Project-Level Data'!B75</f>
        <v xml:space="preserve">Pure Water San Diego Phase 1 - North City </v>
      </c>
      <c r="C215" s="475" t="str">
        <f>'Project-Level Data'!C75</f>
        <v>Potable Reuse</v>
      </c>
      <c r="D215" s="477"/>
      <c r="E215" s="255">
        <f>'Project-Level Data'!O75</f>
        <v>2</v>
      </c>
      <c r="F215" s="80">
        <f>'Project-Level Data'!BL75</f>
        <v>5</v>
      </c>
      <c r="G215" s="289">
        <f t="shared" si="49"/>
        <v>4</v>
      </c>
      <c r="H215" s="255">
        <f>'Project-Level Data'!N75</f>
        <v>1</v>
      </c>
      <c r="I215" s="152">
        <f>'Project-Level Data'!BM75</f>
        <v>3</v>
      </c>
      <c r="J215" s="289">
        <f t="shared" si="50"/>
        <v>3</v>
      </c>
      <c r="K215" s="155">
        <f>'Project-Level Data'!BN75</f>
        <v>3</v>
      </c>
      <c r="L215" s="156">
        <f>'Project-Level Data'!BO75</f>
        <v>5</v>
      </c>
      <c r="N215" s="546"/>
      <c r="O215" s="546"/>
    </row>
    <row r="216" spans="2:15" hidden="1" x14ac:dyDescent="0.25">
      <c r="B216" s="227" t="str">
        <f>'Project-Level Data'!B76</f>
        <v>Pure Water San Diego Phase 2 - Central</v>
      </c>
      <c r="C216" s="475" t="str">
        <f>'Project-Level Data'!C76</f>
        <v>Potable Reuse</v>
      </c>
      <c r="D216" s="477"/>
      <c r="E216" s="255">
        <f>'Project-Level Data'!O76</f>
        <v>2</v>
      </c>
      <c r="F216" s="80">
        <f>'Project-Level Data'!BL76</f>
        <v>5</v>
      </c>
      <c r="G216" s="289">
        <f t="shared" si="49"/>
        <v>4</v>
      </c>
      <c r="H216" s="255">
        <f>'Project-Level Data'!N76</f>
        <v>2</v>
      </c>
      <c r="I216" s="152">
        <f>'Project-Level Data'!BM76</f>
        <v>3</v>
      </c>
      <c r="J216" s="289">
        <f t="shared" si="50"/>
        <v>3</v>
      </c>
      <c r="K216" s="155">
        <f>'Project-Level Data'!BN76</f>
        <v>3</v>
      </c>
      <c r="L216" s="156">
        <f>'Project-Level Data'!BO76</f>
        <v>5</v>
      </c>
      <c r="N216" s="545"/>
      <c r="O216" s="545"/>
    </row>
    <row r="217" spans="2:15" hidden="1" x14ac:dyDescent="0.25">
      <c r="B217" s="227" t="str">
        <f>'Project-Level Data'!B104</f>
        <v>SFID/SDWD/SEJPA Potable Reuse Project</v>
      </c>
      <c r="C217" s="475" t="str">
        <f>'Project-Level Data'!C104</f>
        <v>Potable Reuse</v>
      </c>
      <c r="D217" s="477"/>
      <c r="E217" s="255">
        <f>'Project-Level Data'!O104</f>
        <v>2</v>
      </c>
      <c r="F217" s="80" t="str">
        <f>'Project-Level Data'!BL104</f>
        <v>MISSING</v>
      </c>
      <c r="G217" s="289" t="str">
        <f t="shared" si="49"/>
        <v>NA</v>
      </c>
      <c r="H217" s="255">
        <f>'Project-Level Data'!N104</f>
        <v>2</v>
      </c>
      <c r="I217" s="152" t="str">
        <f>'Project-Level Data'!BM104</f>
        <v>MISSING</v>
      </c>
      <c r="J217" s="289" t="str">
        <f t="shared" si="50"/>
        <v>NA</v>
      </c>
      <c r="K217" s="155">
        <f>'Project-Level Data'!BN104</f>
        <v>3</v>
      </c>
      <c r="L217" s="156">
        <f>'Project-Level Data'!BO104</f>
        <v>3</v>
      </c>
      <c r="N217" s="545"/>
      <c r="O217" s="545"/>
    </row>
    <row r="218" spans="2:15" hidden="1" x14ac:dyDescent="0.25">
      <c r="B218" s="227" t="str">
        <f>'Project-Level Data'!B108</f>
        <v>South WWTP - Indirect Potable Recharge</v>
      </c>
      <c r="C218" s="475" t="str">
        <f>'Project-Level Data'!C108</f>
        <v>Potable Reuse</v>
      </c>
      <c r="D218" s="477"/>
      <c r="E218" s="255">
        <f>'Project-Level Data'!O108</f>
        <v>2</v>
      </c>
      <c r="F218" s="80" t="str">
        <f>'Project-Level Data'!BL108</f>
        <v>MISSING</v>
      </c>
      <c r="G218" s="289" t="str">
        <f t="shared" si="49"/>
        <v>NA</v>
      </c>
      <c r="H218" s="255">
        <f>'Project-Level Data'!N108</f>
        <v>1</v>
      </c>
      <c r="I218" s="152" t="str">
        <f>'Project-Level Data'!BM108</f>
        <v>MISSING</v>
      </c>
      <c r="J218" s="289" t="str">
        <f t="shared" si="50"/>
        <v>NA</v>
      </c>
      <c r="K218" s="155">
        <f>'Project-Level Data'!BN108</f>
        <v>3</v>
      </c>
      <c r="L218" s="156">
        <f>'Project-Level Data'!BO108</f>
        <v>3</v>
      </c>
      <c r="N218" s="545"/>
      <c r="O218" s="545"/>
    </row>
    <row r="219" spans="2:15" hidden="1" x14ac:dyDescent="0.25">
      <c r="B219" s="227" t="str">
        <f>'Project-Level Data'!B109</f>
        <v>South WWTP - Injection to Las Flores Basin</v>
      </c>
      <c r="C219" s="475" t="str">
        <f>'Project-Level Data'!C109</f>
        <v>Potable Reuse</v>
      </c>
      <c r="D219" s="477"/>
      <c r="E219" s="255">
        <f>'Project-Level Data'!O109</f>
        <v>2</v>
      </c>
      <c r="F219" s="80">
        <f>'Project-Level Data'!BL109</f>
        <v>5</v>
      </c>
      <c r="G219" s="289">
        <f t="shared" si="49"/>
        <v>4</v>
      </c>
      <c r="H219" s="255">
        <f>'Project-Level Data'!N109</f>
        <v>1</v>
      </c>
      <c r="I219" s="152">
        <f>'Project-Level Data'!BM109</f>
        <v>5</v>
      </c>
      <c r="J219" s="289">
        <f t="shared" si="50"/>
        <v>5</v>
      </c>
      <c r="K219" s="155">
        <f>'Project-Level Data'!BN109</f>
        <v>3</v>
      </c>
      <c r="L219" s="156">
        <f>'Project-Level Data'!BO109</f>
        <v>3</v>
      </c>
      <c r="N219" s="545"/>
      <c r="O219" s="545"/>
    </row>
    <row r="220" spans="2:15" hidden="1" x14ac:dyDescent="0.25">
      <c r="B220" s="227" t="str">
        <f>'Project-Level Data'!B110</f>
        <v>South WWTP - Injection to Santa Margarita Basin</v>
      </c>
      <c r="C220" s="475" t="str">
        <f>'Project-Level Data'!C110</f>
        <v>Potable Reuse</v>
      </c>
      <c r="D220" s="477"/>
      <c r="E220" s="255">
        <f>'Project-Level Data'!O110</f>
        <v>2</v>
      </c>
      <c r="F220" s="80">
        <f>'Project-Level Data'!BL110</f>
        <v>5</v>
      </c>
      <c r="G220" s="289">
        <f t="shared" ref="G220:G251" si="51">IF(F220=3,3, IF(ISERROR(E220*F220), "NA", IF(AND(F220=1,E220=1),1, IF(AND(F220=1,E220=2),2, IF(AND(F220=5,E220=2),4, IF(AND(F220=5,E220=1),5))))))</f>
        <v>4</v>
      </c>
      <c r="H220" s="255">
        <f>'Project-Level Data'!N110</f>
        <v>1</v>
      </c>
      <c r="I220" s="152">
        <f>'Project-Level Data'!BM110</f>
        <v>5</v>
      </c>
      <c r="J220" s="289">
        <f t="shared" ref="J220:J251" si="52">IF(I220=3,3, IF(ISERROR(H220*I220), "NA", IF(AND(I220=1,H220=1),1, IF(AND(I220=1,H220=2),2, IF(AND(I220=5,H220=2),4, IF(AND(I220=5,H220=1),5))))))</f>
        <v>5</v>
      </c>
      <c r="K220" s="155">
        <f>'Project-Level Data'!BN110</f>
        <v>3</v>
      </c>
      <c r="L220" s="156">
        <f>'Project-Level Data'!BO110</f>
        <v>3</v>
      </c>
      <c r="N220" s="545"/>
      <c r="O220" s="545"/>
    </row>
    <row r="221" spans="2:15" hidden="1" x14ac:dyDescent="0.25">
      <c r="B221" s="227" t="str">
        <f>'Project-Level Data'!B17</f>
        <v>Carlsbad WRF - Landscape, Agriculture 2025</v>
      </c>
      <c r="C221" s="475" t="str">
        <f>'Project-Level Data'!C17</f>
        <v>Recycled Water</v>
      </c>
      <c r="D221" s="477"/>
      <c r="E221" s="254">
        <f>'Project-Level Data'!O17</f>
        <v>2</v>
      </c>
      <c r="F221" s="80" t="str">
        <f>'Project-Level Data'!BL17</f>
        <v>MISSING</v>
      </c>
      <c r="G221" s="289" t="str">
        <f t="shared" si="51"/>
        <v>NA</v>
      </c>
      <c r="H221" s="255">
        <f>'Project-Level Data'!N17</f>
        <v>1</v>
      </c>
      <c r="I221" s="152" t="str">
        <f>'Project-Level Data'!BM17</f>
        <v>MISSING</v>
      </c>
      <c r="J221" s="289" t="str">
        <f t="shared" si="52"/>
        <v>NA</v>
      </c>
      <c r="K221" s="155">
        <f>'Project-Level Data'!BN17</f>
        <v>3</v>
      </c>
      <c r="L221" s="156">
        <f>'Project-Level Data'!BO17</f>
        <v>5</v>
      </c>
      <c r="N221" s="545"/>
      <c r="O221" s="545"/>
    </row>
    <row r="222" spans="2:15" hidden="1" x14ac:dyDescent="0.25">
      <c r="B222" s="227" t="str">
        <f>'Project-Level Data'!B18</f>
        <v>Carlsbad WRF - Landscape, Agriculture 2050</v>
      </c>
      <c r="C222" s="475" t="str">
        <f>'Project-Level Data'!C18</f>
        <v>Recycled Water</v>
      </c>
      <c r="D222" s="477"/>
      <c r="E222" s="254">
        <f>'Project-Level Data'!O18</f>
        <v>2</v>
      </c>
      <c r="F222" s="80" t="str">
        <f>'Project-Level Data'!BL18</f>
        <v>MISSING</v>
      </c>
      <c r="G222" s="289" t="str">
        <f t="shared" si="51"/>
        <v>NA</v>
      </c>
      <c r="H222" s="255">
        <f>'Project-Level Data'!N18</f>
        <v>1</v>
      </c>
      <c r="I222" s="152" t="str">
        <f>'Project-Level Data'!BM18</f>
        <v>MISSING</v>
      </c>
      <c r="J222" s="289" t="str">
        <f t="shared" si="52"/>
        <v>NA</v>
      </c>
      <c r="K222" s="155">
        <f>'Project-Level Data'!BN18</f>
        <v>3</v>
      </c>
      <c r="L222" s="156">
        <f>'Project-Level Data'!BO18</f>
        <v>5</v>
      </c>
      <c r="N222" s="547"/>
      <c r="O222" s="547"/>
    </row>
    <row r="223" spans="2:15" hidden="1" x14ac:dyDescent="0.25">
      <c r="B223" s="227" t="str">
        <f>'Project-Level Data'!B28</f>
        <v>Extension 153 Phase I</v>
      </c>
      <c r="C223" s="475" t="str">
        <f>'Project-Level Data'!C28</f>
        <v>Recycled Water</v>
      </c>
      <c r="D223" s="477"/>
      <c r="E223" s="254">
        <f>'Project-Level Data'!O28</f>
        <v>2</v>
      </c>
      <c r="F223" s="80">
        <f>'Project-Level Data'!BL28</f>
        <v>3</v>
      </c>
      <c r="G223" s="289">
        <f t="shared" si="51"/>
        <v>3</v>
      </c>
      <c r="H223" s="255">
        <f>'Project-Level Data'!N28</f>
        <v>2</v>
      </c>
      <c r="I223" s="152">
        <f>'Project-Level Data'!BM28</f>
        <v>3</v>
      </c>
      <c r="J223" s="289">
        <f t="shared" si="52"/>
        <v>3</v>
      </c>
      <c r="K223" s="155">
        <f>'Project-Level Data'!BN28</f>
        <v>3</v>
      </c>
      <c r="L223" s="156">
        <f>'Project-Level Data'!BO28</f>
        <v>3</v>
      </c>
      <c r="N223" s="547"/>
      <c r="O223" s="547"/>
    </row>
    <row r="224" spans="2:15" hidden="1" x14ac:dyDescent="0.25">
      <c r="B224" s="227" t="str">
        <f>'Project-Level Data'!B29</f>
        <v>Extension 153 Phase II</v>
      </c>
      <c r="C224" s="475" t="str">
        <f>'Project-Level Data'!C29</f>
        <v>Recycled Water</v>
      </c>
      <c r="D224" s="477"/>
      <c r="E224" s="254">
        <f>'Project-Level Data'!O29</f>
        <v>2</v>
      </c>
      <c r="F224" s="80">
        <f>'Project-Level Data'!BL29</f>
        <v>3</v>
      </c>
      <c r="G224" s="289">
        <f t="shared" si="51"/>
        <v>3</v>
      </c>
      <c r="H224" s="255">
        <f>'Project-Level Data'!N29</f>
        <v>2</v>
      </c>
      <c r="I224" s="152">
        <f>'Project-Level Data'!BM29</f>
        <v>3</v>
      </c>
      <c r="J224" s="289">
        <f t="shared" si="52"/>
        <v>3</v>
      </c>
      <c r="K224" s="155">
        <f>'Project-Level Data'!BN29</f>
        <v>3</v>
      </c>
      <c r="L224" s="156">
        <f>'Project-Level Data'!BO29</f>
        <v>3</v>
      </c>
      <c r="N224" s="545"/>
      <c r="O224" s="545"/>
    </row>
    <row r="225" spans="2:15" ht="25.5" hidden="1" x14ac:dyDescent="0.25">
      <c r="B225" s="227" t="str">
        <f>'Project-Level Data'!B35</f>
        <v>Hale Avenue Resource Recovery Facility (HARRF) - Landscape, Agriculture, Industrial, PR</v>
      </c>
      <c r="C225" s="475" t="str">
        <f>'Project-Level Data'!C35</f>
        <v>Recycled Water</v>
      </c>
      <c r="D225" s="477"/>
      <c r="E225" s="254">
        <f>'Project-Level Data'!O35</f>
        <v>1</v>
      </c>
      <c r="F225" s="80" t="str">
        <f>'Project-Level Data'!BL35</f>
        <v>No Response</v>
      </c>
      <c r="G225" s="289" t="str">
        <f t="shared" si="51"/>
        <v>NA</v>
      </c>
      <c r="H225" s="255">
        <f>'Project-Level Data'!N35</f>
        <v>1</v>
      </c>
      <c r="I225" s="152" t="str">
        <f>'Project-Level Data'!BM35</f>
        <v>No Response</v>
      </c>
      <c r="J225" s="289" t="str">
        <f t="shared" si="52"/>
        <v>NA</v>
      </c>
      <c r="K225" s="155" t="str">
        <f>'Project-Level Data'!BN35</f>
        <v>No Response</v>
      </c>
      <c r="L225" s="156" t="str">
        <f>'Project-Level Data'!BO35</f>
        <v>No Response</v>
      </c>
      <c r="N225" s="545"/>
      <c r="O225" s="545"/>
    </row>
    <row r="226" spans="2:15" ht="25.5" hidden="1" x14ac:dyDescent="0.25">
      <c r="B226" s="227" t="str">
        <f>'Project-Level Data'!B36</f>
        <v>Integrated Water Resource Solutions for the Carlsbad Watershed</v>
      </c>
      <c r="C226" s="475" t="str">
        <f>'Project-Level Data'!C36</f>
        <v>Recycled Water</v>
      </c>
      <c r="D226" s="477"/>
      <c r="E226" s="254">
        <f>'Project-Level Data'!O36</f>
        <v>1</v>
      </c>
      <c r="F226" s="80">
        <f>'Project-Level Data'!BL36</f>
        <v>3</v>
      </c>
      <c r="G226" s="289">
        <f t="shared" si="51"/>
        <v>3</v>
      </c>
      <c r="H226" s="255">
        <f>'Project-Level Data'!N36</f>
        <v>2</v>
      </c>
      <c r="I226" s="152">
        <f>'Project-Level Data'!BM36</f>
        <v>3</v>
      </c>
      <c r="J226" s="289">
        <f t="shared" si="52"/>
        <v>3</v>
      </c>
      <c r="K226" s="155">
        <f>'Project-Level Data'!BN36</f>
        <v>4</v>
      </c>
      <c r="L226" s="156">
        <f>'Project-Level Data'!BO36</f>
        <v>4</v>
      </c>
      <c r="N226" s="545"/>
      <c r="O226" s="545"/>
    </row>
    <row r="227" spans="2:15" ht="25.5" hidden="1" x14ac:dyDescent="0.25">
      <c r="B227" s="227" t="str">
        <f>'Project-Level Data'!B37</f>
        <v>Intergrated Water Resource Solutions for the Carlsbad Watershed</v>
      </c>
      <c r="C227" s="475" t="str">
        <f>'Project-Level Data'!C37</f>
        <v>Recycled Water</v>
      </c>
      <c r="D227" s="477"/>
      <c r="E227" s="254">
        <f>'Project-Level Data'!O37</f>
        <v>1</v>
      </c>
      <c r="F227" s="80">
        <f>'Project-Level Data'!BL37</f>
        <v>3</v>
      </c>
      <c r="G227" s="289">
        <f t="shared" si="51"/>
        <v>3</v>
      </c>
      <c r="H227" s="255">
        <f>'Project-Level Data'!N37</f>
        <v>2</v>
      </c>
      <c r="I227" s="152">
        <f>'Project-Level Data'!BM37</f>
        <v>3</v>
      </c>
      <c r="J227" s="289">
        <f t="shared" si="52"/>
        <v>3</v>
      </c>
      <c r="K227" s="155">
        <f>'Project-Level Data'!BN37</f>
        <v>4</v>
      </c>
      <c r="L227" s="156">
        <f>'Project-Level Data'!BO37</f>
        <v>4</v>
      </c>
      <c r="N227" s="545"/>
      <c r="O227" s="545"/>
    </row>
    <row r="228" spans="2:15" hidden="1" x14ac:dyDescent="0.25">
      <c r="B228" s="227" t="str">
        <f>'Project-Level Data'!B38</f>
        <v>Joint RW Transmission Project with SFID and OMWD</v>
      </c>
      <c r="C228" s="475" t="str">
        <f>'Project-Level Data'!C38</f>
        <v>Recycled Water</v>
      </c>
      <c r="D228" s="477"/>
      <c r="E228" s="254">
        <f>'Project-Level Data'!O38</f>
        <v>1</v>
      </c>
      <c r="F228" s="80">
        <f>'Project-Level Data'!BL38</f>
        <v>3</v>
      </c>
      <c r="G228" s="289">
        <f t="shared" si="51"/>
        <v>3</v>
      </c>
      <c r="H228" s="255">
        <f>'Project-Level Data'!N38</f>
        <v>2</v>
      </c>
      <c r="I228" s="152">
        <f>'Project-Level Data'!BM38</f>
        <v>3</v>
      </c>
      <c r="J228" s="289">
        <f t="shared" si="52"/>
        <v>3</v>
      </c>
      <c r="K228" s="155">
        <f>'Project-Level Data'!BN38</f>
        <v>4</v>
      </c>
      <c r="L228" s="156">
        <f>'Project-Level Data'!BO38</f>
        <v>4</v>
      </c>
      <c r="N228" s="545"/>
      <c r="O228" s="545"/>
    </row>
    <row r="229" spans="2:15" hidden="1" x14ac:dyDescent="0.25">
      <c r="B229" s="227" t="str">
        <f>'Project-Level Data'!B42</f>
        <v>Lilac Hills Ranch WRF</v>
      </c>
      <c r="C229" s="475" t="str">
        <f>'Project-Level Data'!C42</f>
        <v>Recycled Water</v>
      </c>
      <c r="D229" s="477"/>
      <c r="E229" s="254">
        <f>'Project-Level Data'!O42</f>
        <v>2</v>
      </c>
      <c r="F229" s="80" t="str">
        <f>'Project-Level Data'!BL42</f>
        <v>No Response</v>
      </c>
      <c r="G229" s="289" t="str">
        <f t="shared" si="51"/>
        <v>NA</v>
      </c>
      <c r="H229" s="255">
        <f>'Project-Level Data'!N42</f>
        <v>2</v>
      </c>
      <c r="I229" s="152" t="str">
        <f>'Project-Level Data'!BM42</f>
        <v>No Response</v>
      </c>
      <c r="J229" s="289" t="str">
        <f t="shared" si="52"/>
        <v>NA</v>
      </c>
      <c r="K229" s="291" t="str">
        <f>'Project-Level Data'!BN42</f>
        <v>No Response</v>
      </c>
      <c r="L229" s="292" t="str">
        <f>'Project-Level Data'!BO42</f>
        <v>No Response</v>
      </c>
      <c r="N229" s="545"/>
      <c r="O229" s="545"/>
    </row>
    <row r="230" spans="2:15" hidden="1" x14ac:dyDescent="0.25">
      <c r="B230" s="227" t="str">
        <f>'Project-Level Data'!B45</f>
        <v>Lower Moosa Canyon WRF</v>
      </c>
      <c r="C230" s="475" t="str">
        <f>'Project-Level Data'!C45</f>
        <v>Recycled Water</v>
      </c>
      <c r="D230" s="477"/>
      <c r="E230" s="254">
        <f>'Project-Level Data'!O45</f>
        <v>2</v>
      </c>
      <c r="F230" s="80" t="str">
        <f>'Project-Level Data'!BL45</f>
        <v>No Response</v>
      </c>
      <c r="G230" s="289" t="str">
        <f t="shared" si="51"/>
        <v>NA</v>
      </c>
      <c r="H230" s="255">
        <f>'Project-Level Data'!N45</f>
        <v>2</v>
      </c>
      <c r="I230" s="152" t="str">
        <f>'Project-Level Data'!BM45</f>
        <v>No Response</v>
      </c>
      <c r="J230" s="289" t="str">
        <f t="shared" si="52"/>
        <v>NA</v>
      </c>
      <c r="K230" s="155" t="str">
        <f>'Project-Level Data'!BN45</f>
        <v>No Response</v>
      </c>
      <c r="L230" s="156" t="str">
        <f>'Project-Level Data'!BO45</f>
        <v>No Response</v>
      </c>
      <c r="N230" s="545"/>
      <c r="O230" s="545"/>
    </row>
    <row r="231" spans="2:15" hidden="1" x14ac:dyDescent="0.25">
      <c r="B231" s="227" t="str">
        <f>'Project-Level Data'!B50</f>
        <v>Meadowlark WRF</v>
      </c>
      <c r="C231" s="475" t="str">
        <f>'Project-Level Data'!C50</f>
        <v>Recycled Water</v>
      </c>
      <c r="D231" s="477"/>
      <c r="E231" s="254">
        <f>'Project-Level Data'!O50</f>
        <v>2</v>
      </c>
      <c r="F231" s="80" t="str">
        <f>'Project-Level Data'!BL50</f>
        <v>No Response</v>
      </c>
      <c r="G231" s="289" t="str">
        <f t="shared" si="51"/>
        <v>NA</v>
      </c>
      <c r="H231" s="255">
        <f>'Project-Level Data'!N50</f>
        <v>2</v>
      </c>
      <c r="I231" s="152" t="str">
        <f>'Project-Level Data'!BM50</f>
        <v>No Response</v>
      </c>
      <c r="J231" s="289" t="str">
        <f t="shared" si="52"/>
        <v>NA</v>
      </c>
      <c r="K231" s="155" t="str">
        <f>'Project-Level Data'!BN50</f>
        <v>No Response</v>
      </c>
      <c r="L231" s="156" t="str">
        <f>'Project-Level Data'!BO50</f>
        <v>No Response</v>
      </c>
      <c r="N231" s="545"/>
      <c r="O231" s="545"/>
    </row>
    <row r="232" spans="2:15" hidden="1" x14ac:dyDescent="0.25">
      <c r="B232" s="227" t="str">
        <f>'Project-Level Data'!B51</f>
        <v>Meadowood WRF</v>
      </c>
      <c r="C232" s="475" t="str">
        <f>'Project-Level Data'!C51</f>
        <v>Recycled Water</v>
      </c>
      <c r="D232" s="477"/>
      <c r="E232" s="254">
        <f>'Project-Level Data'!O51</f>
        <v>2</v>
      </c>
      <c r="F232" s="80" t="str">
        <f>'Project-Level Data'!BL51</f>
        <v>No Response</v>
      </c>
      <c r="G232" s="289" t="str">
        <f t="shared" si="51"/>
        <v>NA</v>
      </c>
      <c r="H232" s="255">
        <f>'Project-Level Data'!N51</f>
        <v>2</v>
      </c>
      <c r="I232" s="152" t="str">
        <f>'Project-Level Data'!BM51</f>
        <v>No Response</v>
      </c>
      <c r="J232" s="289" t="str">
        <f t="shared" si="52"/>
        <v>NA</v>
      </c>
      <c r="K232" s="155" t="str">
        <f>'Project-Level Data'!BN51</f>
        <v>No Response</v>
      </c>
      <c r="L232" s="156" t="str">
        <f>'Project-Level Data'!BO51</f>
        <v>No Response</v>
      </c>
      <c r="N232" s="545"/>
      <c r="O232" s="545"/>
    </row>
    <row r="233" spans="2:15" hidden="1" x14ac:dyDescent="0.25">
      <c r="B233" s="227" t="str">
        <f>'Project-Level Data'!B61</f>
        <v>North City WRP - Project 1</v>
      </c>
      <c r="C233" s="475" t="str">
        <f>'Project-Level Data'!C61</f>
        <v>Recycled Water</v>
      </c>
      <c r="D233" s="477"/>
      <c r="E233" s="255">
        <f>'Project-Level Data'!O61</f>
        <v>2</v>
      </c>
      <c r="F233" s="152" t="str">
        <f>'Project-Level Data'!BL61</f>
        <v>MISSING</v>
      </c>
      <c r="G233" s="289" t="str">
        <f t="shared" si="51"/>
        <v>NA</v>
      </c>
      <c r="H233" s="255">
        <f>'Project-Level Data'!N61</f>
        <v>1</v>
      </c>
      <c r="I233" s="152" t="str">
        <f>'Project-Level Data'!BM61</f>
        <v>MISSING</v>
      </c>
      <c r="J233" s="289" t="str">
        <f t="shared" si="52"/>
        <v>NA</v>
      </c>
      <c r="K233" s="155">
        <f>'Project-Level Data'!BN61</f>
        <v>3</v>
      </c>
      <c r="L233" s="156">
        <f>'Project-Level Data'!BO61</f>
        <v>3</v>
      </c>
      <c r="N233" s="546"/>
      <c r="O233" s="546"/>
    </row>
    <row r="234" spans="2:15" hidden="1" x14ac:dyDescent="0.25">
      <c r="B234" s="227" t="str">
        <f>'Project-Level Data'!B62</f>
        <v>North City WRP - Project 2</v>
      </c>
      <c r="C234" s="475" t="str">
        <f>'Project-Level Data'!C62</f>
        <v>Recycled Water</v>
      </c>
      <c r="D234" s="477"/>
      <c r="E234" s="255">
        <f>'Project-Level Data'!O62</f>
        <v>2</v>
      </c>
      <c r="F234" s="80" t="str">
        <f>'Project-Level Data'!BL62</f>
        <v>MISSING</v>
      </c>
      <c r="G234" s="289" t="str">
        <f t="shared" si="51"/>
        <v>NA</v>
      </c>
      <c r="H234" s="255">
        <f>'Project-Level Data'!N62</f>
        <v>1</v>
      </c>
      <c r="I234" s="152" t="str">
        <f>'Project-Level Data'!BM62</f>
        <v>MISSING</v>
      </c>
      <c r="J234" s="289" t="str">
        <f t="shared" si="52"/>
        <v>NA</v>
      </c>
      <c r="K234" s="155">
        <f>'Project-Level Data'!BN62</f>
        <v>3</v>
      </c>
      <c r="L234" s="156">
        <f>'Project-Level Data'!BO62</f>
        <v>3</v>
      </c>
      <c r="N234" s="545"/>
      <c r="O234" s="545"/>
    </row>
    <row r="235" spans="2:15" hidden="1" x14ac:dyDescent="0.25">
      <c r="B235" s="227" t="str">
        <f>'Project-Level Data'!B63</f>
        <v>North District Recycled System/RW Chapman WRF</v>
      </c>
      <c r="C235" s="475" t="str">
        <f>'Project-Level Data'!C63</f>
        <v>Recycled Water</v>
      </c>
      <c r="D235" s="477"/>
      <c r="E235" s="255">
        <f>'Project-Level Data'!O63</f>
        <v>2</v>
      </c>
      <c r="F235" s="80">
        <f>'Project-Level Data'!BL63</f>
        <v>3</v>
      </c>
      <c r="G235" s="289">
        <f t="shared" si="51"/>
        <v>3</v>
      </c>
      <c r="H235" s="255">
        <f>'Project-Level Data'!N63</f>
        <v>2</v>
      </c>
      <c r="I235" s="152">
        <f>'Project-Level Data'!BM63</f>
        <v>3</v>
      </c>
      <c r="J235" s="289">
        <f t="shared" si="52"/>
        <v>3</v>
      </c>
      <c r="K235" s="155">
        <f>'Project-Level Data'!BN63</f>
        <v>3</v>
      </c>
      <c r="L235" s="156">
        <f>'Project-Level Data'!BO63</f>
        <v>3</v>
      </c>
      <c r="N235" s="545"/>
      <c r="O235" s="545"/>
    </row>
    <row r="236" spans="2:15" ht="25.5" hidden="1" x14ac:dyDescent="0.25">
      <c r="B236" s="227" t="str">
        <f>'Project-Level Data'!B64</f>
        <v>North San Diego County Regional Recycled Water Project-Phase ll</v>
      </c>
      <c r="C236" s="475" t="str">
        <f>'Project-Level Data'!C64</f>
        <v>Recycled Water</v>
      </c>
      <c r="D236" s="477"/>
      <c r="E236" s="255">
        <f>'Project-Level Data'!O64</f>
        <v>1</v>
      </c>
      <c r="F236" s="80">
        <f>'Project-Level Data'!BL64</f>
        <v>3</v>
      </c>
      <c r="G236" s="289">
        <f t="shared" si="51"/>
        <v>3</v>
      </c>
      <c r="H236" s="255">
        <f>'Project-Level Data'!N64</f>
        <v>1</v>
      </c>
      <c r="I236" s="152">
        <f>'Project-Level Data'!BM64</f>
        <v>3</v>
      </c>
      <c r="J236" s="289">
        <f t="shared" si="52"/>
        <v>3</v>
      </c>
      <c r="K236" s="155">
        <f>'Project-Level Data'!BN64</f>
        <v>5</v>
      </c>
      <c r="L236" s="156">
        <f>'Project-Level Data'!BO64</f>
        <v>5</v>
      </c>
      <c r="N236" s="545"/>
      <c r="O236" s="545"/>
    </row>
    <row r="237" spans="2:15" hidden="1" x14ac:dyDescent="0.25">
      <c r="B237" s="227" t="str">
        <f>'Project-Level Data'!B65</f>
        <v>North Village WRF</v>
      </c>
      <c r="C237" s="475" t="str">
        <f>'Project-Level Data'!C65</f>
        <v>Recycled Water</v>
      </c>
      <c r="D237" s="477"/>
      <c r="E237" s="255">
        <f>'Project-Level Data'!O65</f>
        <v>1</v>
      </c>
      <c r="F237" s="152" t="str">
        <f>'Project-Level Data'!BL65</f>
        <v>No Response</v>
      </c>
      <c r="G237" s="289" t="str">
        <f t="shared" si="51"/>
        <v>NA</v>
      </c>
      <c r="H237" s="255">
        <f>'Project-Level Data'!N65</f>
        <v>2</v>
      </c>
      <c r="I237" s="152" t="str">
        <f>'Project-Level Data'!BM65</f>
        <v>No Response</v>
      </c>
      <c r="J237" s="289" t="str">
        <f t="shared" si="52"/>
        <v>NA</v>
      </c>
      <c r="K237" s="155" t="str">
        <f>'Project-Level Data'!BN65</f>
        <v>No Response</v>
      </c>
      <c r="L237" s="156" t="str">
        <f>'Project-Level Data'!BO65</f>
        <v>No Response</v>
      </c>
      <c r="N237" s="545"/>
      <c r="O237" s="545"/>
    </row>
    <row r="238" spans="2:15" hidden="1" x14ac:dyDescent="0.25">
      <c r="B238" s="227" t="str">
        <f>'Project-Level Data'!B66</f>
        <v>North WWTP Landscape Application</v>
      </c>
      <c r="C238" s="475" t="str">
        <f>'Project-Level Data'!C66</f>
        <v>Recycled Water</v>
      </c>
      <c r="D238" s="477"/>
      <c r="E238" s="255">
        <f>'Project-Level Data'!O66</f>
        <v>2</v>
      </c>
      <c r="F238" s="152" t="str">
        <f>'Project-Level Data'!BL66</f>
        <v>MISSING</v>
      </c>
      <c r="G238" s="289" t="str">
        <f t="shared" si="51"/>
        <v>NA</v>
      </c>
      <c r="H238" s="255">
        <f>'Project-Level Data'!N66</f>
        <v>1</v>
      </c>
      <c r="I238" s="152" t="str">
        <f>'Project-Level Data'!BM66</f>
        <v>MISSING</v>
      </c>
      <c r="J238" s="289" t="str">
        <f t="shared" si="52"/>
        <v>NA</v>
      </c>
      <c r="K238" s="155">
        <f>'Project-Level Data'!BN66</f>
        <v>3</v>
      </c>
      <c r="L238" s="156">
        <f>'Project-Level Data'!BO66</f>
        <v>3</v>
      </c>
      <c r="N238" s="545"/>
      <c r="O238" s="545"/>
    </row>
    <row r="239" spans="2:15" hidden="1" x14ac:dyDescent="0.25">
      <c r="B239" s="227" t="str">
        <f>'Project-Level Data'!B78</f>
        <v>Rancho Cielo</v>
      </c>
      <c r="C239" s="475" t="str">
        <f>'Project-Level Data'!C78</f>
        <v>Recycled Water</v>
      </c>
      <c r="D239" s="477"/>
      <c r="E239" s="255">
        <f>'Project-Level Data'!O78</f>
        <v>2</v>
      </c>
      <c r="F239" s="80">
        <f>'Project-Level Data'!BL78</f>
        <v>3</v>
      </c>
      <c r="G239" s="289">
        <f t="shared" si="51"/>
        <v>3</v>
      </c>
      <c r="H239" s="255">
        <f>'Project-Level Data'!N78</f>
        <v>2</v>
      </c>
      <c r="I239" s="152">
        <f>'Project-Level Data'!BM78</f>
        <v>3</v>
      </c>
      <c r="J239" s="289">
        <f t="shared" si="52"/>
        <v>3</v>
      </c>
      <c r="K239" s="155">
        <f>'Project-Level Data'!BN78</f>
        <v>4</v>
      </c>
      <c r="L239" s="156">
        <f>'Project-Level Data'!BO78</f>
        <v>4</v>
      </c>
      <c r="N239" s="545"/>
      <c r="O239" s="545"/>
    </row>
    <row r="240" spans="2:15" hidden="1" x14ac:dyDescent="0.25">
      <c r="B240" s="227" t="str">
        <f>'Project-Level Data'!B80</f>
        <v>Ray Stoyer WRF - Landscape, Irrigation, Dust Control</v>
      </c>
      <c r="C240" s="475" t="str">
        <f>'Project-Level Data'!C80</f>
        <v>Recycled Water</v>
      </c>
      <c r="D240" s="477"/>
      <c r="E240" s="255">
        <f>'Project-Level Data'!O80</f>
        <v>1</v>
      </c>
      <c r="F240" s="80">
        <f>'Project-Level Data'!BL80</f>
        <v>3</v>
      </c>
      <c r="G240" s="289">
        <f t="shared" si="51"/>
        <v>3</v>
      </c>
      <c r="H240" s="255">
        <f>'Project-Level Data'!N80</f>
        <v>2</v>
      </c>
      <c r="I240" s="152">
        <f>'Project-Level Data'!BM80</f>
        <v>3</v>
      </c>
      <c r="J240" s="289">
        <f t="shared" si="52"/>
        <v>3</v>
      </c>
      <c r="K240" s="155">
        <f>'Project-Level Data'!BN80</f>
        <v>3</v>
      </c>
      <c r="L240" s="156">
        <f>'Project-Level Data'!BO80</f>
        <v>3</v>
      </c>
      <c r="N240" s="545"/>
      <c r="O240" s="545"/>
    </row>
    <row r="241" spans="2:15" hidden="1" x14ac:dyDescent="0.25">
      <c r="B241" s="227" t="str">
        <f>'Project-Level Data'!B86</f>
        <v>Safari Drought Response and Outreach</v>
      </c>
      <c r="C241" s="475" t="str">
        <f>'Project-Level Data'!C86</f>
        <v>Recycled Water</v>
      </c>
      <c r="D241" s="477"/>
      <c r="E241" s="255">
        <f>'Project-Level Data'!O86</f>
        <v>1</v>
      </c>
      <c r="F241" s="80" t="str">
        <f>'Project-Level Data'!BL86</f>
        <v>No Response</v>
      </c>
      <c r="G241" s="289" t="str">
        <f t="shared" si="51"/>
        <v>NA</v>
      </c>
      <c r="H241" s="255">
        <f>'Project-Level Data'!N86</f>
        <v>2</v>
      </c>
      <c r="I241" s="152" t="str">
        <f>'Project-Level Data'!BM86</f>
        <v>No Response</v>
      </c>
      <c r="J241" s="289" t="str">
        <f t="shared" si="52"/>
        <v>NA</v>
      </c>
      <c r="K241" s="155" t="str">
        <f>'Project-Level Data'!BN86</f>
        <v>No Response</v>
      </c>
      <c r="L241" s="156" t="str">
        <f>'Project-Level Data'!BO86</f>
        <v>No Response</v>
      </c>
      <c r="N241" s="545"/>
      <c r="O241" s="545"/>
    </row>
    <row r="242" spans="2:15" hidden="1" x14ac:dyDescent="0.25">
      <c r="B242" s="227" t="str">
        <f>'Project-Level Data'!B102</f>
        <v>Santa Maria WRP</v>
      </c>
      <c r="C242" s="475" t="str">
        <f>'Project-Level Data'!C102</f>
        <v>Recycled Water</v>
      </c>
      <c r="D242" s="477"/>
      <c r="E242" s="255">
        <f>'Project-Level Data'!O102</f>
        <v>2</v>
      </c>
      <c r="F242" s="80" t="str">
        <f>'Project-Level Data'!BL102</f>
        <v>No Response</v>
      </c>
      <c r="G242" s="289" t="str">
        <f t="shared" si="51"/>
        <v>NA</v>
      </c>
      <c r="H242" s="255">
        <f>'Project-Level Data'!N102</f>
        <v>2</v>
      </c>
      <c r="I242" s="152" t="str">
        <f>'Project-Level Data'!BM102</f>
        <v>No Response</v>
      </c>
      <c r="J242" s="289" t="str">
        <f t="shared" si="52"/>
        <v>NA</v>
      </c>
      <c r="K242" s="155" t="str">
        <f>'Project-Level Data'!BN102</f>
        <v>No Response</v>
      </c>
      <c r="L242" s="156" t="str">
        <f>'Project-Level Data'!BO102</f>
        <v>No Response</v>
      </c>
      <c r="N242" s="545"/>
      <c r="O242" s="545"/>
    </row>
    <row r="243" spans="2:15" hidden="1" x14ac:dyDescent="0.25">
      <c r="B243" s="227" t="str">
        <f>'Project-Level Data'!B105</f>
        <v>Shadowridge WRP</v>
      </c>
      <c r="C243" s="475" t="str">
        <f>'Project-Level Data'!C105</f>
        <v>Recycled Water</v>
      </c>
      <c r="D243" s="477"/>
      <c r="E243" s="255">
        <f>'Project-Level Data'!O105</f>
        <v>1</v>
      </c>
      <c r="F243" s="80" t="str">
        <f>'Project-Level Data'!BL105</f>
        <v>No Response</v>
      </c>
      <c r="G243" s="289" t="str">
        <f t="shared" si="51"/>
        <v>NA</v>
      </c>
      <c r="H243" s="255">
        <f>'Project-Level Data'!N105</f>
        <v>2</v>
      </c>
      <c r="I243" s="152" t="str">
        <f>'Project-Level Data'!BM105</f>
        <v>No Response</v>
      </c>
      <c r="J243" s="289" t="str">
        <f t="shared" si="52"/>
        <v>NA</v>
      </c>
      <c r="K243" s="155" t="str">
        <f>'Project-Level Data'!BN105</f>
        <v>No Response</v>
      </c>
      <c r="L243" s="156" t="str">
        <f>'Project-Level Data'!BO105</f>
        <v>No Response</v>
      </c>
      <c r="N243" s="545"/>
      <c r="O243" s="545"/>
    </row>
    <row r="244" spans="2:15" ht="25.5" hidden="1" x14ac:dyDescent="0.25">
      <c r="B244" s="227" t="str">
        <f>'Project-Level Data'!B118</f>
        <v>TBD - Evaluation Multiple Options/TBD - Supply/ Source Treatment Plant/Agency for recycled water</v>
      </c>
      <c r="C244" s="475" t="str">
        <f>'Project-Level Data'!C118</f>
        <v>Recycled Water</v>
      </c>
      <c r="D244" s="477"/>
      <c r="E244" s="255">
        <f>'Project-Level Data'!O118</f>
        <v>2</v>
      </c>
      <c r="F244" s="80" t="str">
        <f>'Project-Level Data'!BL118</f>
        <v>MISSING</v>
      </c>
      <c r="G244" s="289" t="str">
        <f t="shared" si="51"/>
        <v>NA</v>
      </c>
      <c r="H244" s="255">
        <f>'Project-Level Data'!N118</f>
        <v>2</v>
      </c>
      <c r="I244" s="152" t="str">
        <f>'Project-Level Data'!BM118</f>
        <v>MISSING</v>
      </c>
      <c r="J244" s="289" t="str">
        <f t="shared" si="52"/>
        <v>NA</v>
      </c>
      <c r="K244" s="155">
        <f>'Project-Level Data'!BN118</f>
        <v>3</v>
      </c>
      <c r="L244" s="156">
        <f>'Project-Level Data'!BO118</f>
        <v>3</v>
      </c>
      <c r="N244" s="545"/>
      <c r="O244" s="545"/>
    </row>
    <row r="245" spans="2:15" hidden="1" x14ac:dyDescent="0.25">
      <c r="B245" s="227" t="str">
        <f>'Project-Level Data'!B122</f>
        <v>Village Park Recycled Water Expansion Project</v>
      </c>
      <c r="C245" s="475" t="str">
        <f>'Project-Level Data'!C122</f>
        <v>Recycled Water</v>
      </c>
      <c r="D245" s="477"/>
      <c r="E245" s="255">
        <f>'Project-Level Data'!O122</f>
        <v>2</v>
      </c>
      <c r="F245" s="80">
        <f>'Project-Level Data'!BL122</f>
        <v>3</v>
      </c>
      <c r="G245" s="289">
        <f t="shared" si="51"/>
        <v>3</v>
      </c>
      <c r="H245" s="255">
        <f>'Project-Level Data'!N122</f>
        <v>2</v>
      </c>
      <c r="I245" s="152">
        <f>'Project-Level Data'!BM122</f>
        <v>3</v>
      </c>
      <c r="J245" s="289">
        <f t="shared" si="52"/>
        <v>3</v>
      </c>
      <c r="K245" s="155">
        <f>'Project-Level Data'!BN122</f>
        <v>5</v>
      </c>
      <c r="L245" s="156">
        <f>'Project-Level Data'!BO122</f>
        <v>5</v>
      </c>
      <c r="N245" s="545"/>
      <c r="O245" s="545"/>
    </row>
    <row r="246" spans="2:15" hidden="1" x14ac:dyDescent="0.25">
      <c r="B246" s="227" t="str">
        <f>'Project-Level Data'!B123</f>
        <v>W+157:181RP/Recycled Water Distribution System</v>
      </c>
      <c r="C246" s="475" t="str">
        <f>'Project-Level Data'!C123</f>
        <v>Recycled Water</v>
      </c>
      <c r="D246" s="477"/>
      <c r="E246" s="255">
        <f>'Project-Level Data'!O123</f>
        <v>2</v>
      </c>
      <c r="F246" s="80" t="str">
        <f>'Project-Level Data'!BL123</f>
        <v>No Response</v>
      </c>
      <c r="G246" s="289" t="str">
        <f t="shared" si="51"/>
        <v>NA</v>
      </c>
      <c r="H246" s="255">
        <f>'Project-Level Data'!N123</f>
        <v>2</v>
      </c>
      <c r="I246" s="152" t="str">
        <f>'Project-Level Data'!BM123</f>
        <v>No Response</v>
      </c>
      <c r="J246" s="289" t="str">
        <f t="shared" si="52"/>
        <v>NA</v>
      </c>
      <c r="K246" s="155" t="str">
        <f>'Project-Level Data'!BN123</f>
        <v>No Response</v>
      </c>
      <c r="L246" s="156" t="str">
        <f>'Project-Level Data'!BO123</f>
        <v>No Response</v>
      </c>
      <c r="N246" s="545"/>
      <c r="O246" s="545"/>
    </row>
    <row r="247" spans="2:15" hidden="1" x14ac:dyDescent="0.25">
      <c r="B247" s="227" t="str">
        <f>'Project-Level Data'!B124</f>
        <v>Welk WRF</v>
      </c>
      <c r="C247" s="475" t="str">
        <f>'Project-Level Data'!C124</f>
        <v>Recycled Water</v>
      </c>
      <c r="D247" s="477"/>
      <c r="E247" s="255">
        <f>'Project-Level Data'!O124</f>
        <v>2</v>
      </c>
      <c r="F247" s="80" t="str">
        <f>'Project-Level Data'!BL124</f>
        <v>No Response</v>
      </c>
      <c r="G247" s="289" t="str">
        <f t="shared" si="51"/>
        <v>NA</v>
      </c>
      <c r="H247" s="255">
        <f>'Project-Level Data'!N124</f>
        <v>2</v>
      </c>
      <c r="I247" s="152" t="str">
        <f>'Project-Level Data'!BM124</f>
        <v>No Response</v>
      </c>
      <c r="J247" s="289" t="str">
        <f t="shared" si="52"/>
        <v>NA</v>
      </c>
      <c r="K247" s="155" t="str">
        <f>'Project-Level Data'!BN124</f>
        <v>No Response</v>
      </c>
      <c r="L247" s="156" t="str">
        <f>'Project-Level Data'!BO124</f>
        <v>No Response</v>
      </c>
      <c r="N247" s="545"/>
      <c r="O247" s="545"/>
    </row>
    <row r="248" spans="2:15" hidden="1" x14ac:dyDescent="0.25">
      <c r="B248" s="227" t="str">
        <f>'Project-Level Data'!B125</f>
        <v>Woods Valley Ranch WRF Phase 3</v>
      </c>
      <c r="C248" s="475" t="str">
        <f>'Project-Level Data'!C125</f>
        <v>Recycled Water</v>
      </c>
      <c r="D248" s="477"/>
      <c r="E248" s="255">
        <f>'Project-Level Data'!O125</f>
        <v>1</v>
      </c>
      <c r="F248" s="80" t="str">
        <f>'Project-Level Data'!BL125</f>
        <v>No Response</v>
      </c>
      <c r="G248" s="289" t="str">
        <f t="shared" si="51"/>
        <v>NA</v>
      </c>
      <c r="H248" s="255">
        <f>'Project-Level Data'!N125</f>
        <v>2</v>
      </c>
      <c r="I248" s="152" t="str">
        <f>'Project-Level Data'!BM125</f>
        <v>No Response</v>
      </c>
      <c r="J248" s="289" t="str">
        <f t="shared" si="52"/>
        <v>NA</v>
      </c>
      <c r="K248" s="155" t="str">
        <f>'Project-Level Data'!BN125</f>
        <v>No Response</v>
      </c>
      <c r="L248" s="156" t="str">
        <f>'Project-Level Data'!BO125</f>
        <v>No Response</v>
      </c>
      <c r="N248" s="545"/>
      <c r="O248" s="545"/>
    </row>
    <row r="249" spans="2:15" hidden="1" x14ac:dyDescent="0.25">
      <c r="B249" s="227" t="str">
        <f>'Project-Level Data'!B15</f>
        <v>Camp Pendleton Desalination Facility</v>
      </c>
      <c r="C249" s="475" t="str">
        <f>'Project-Level Data'!C15</f>
        <v>Seawater Desalination</v>
      </c>
      <c r="D249" s="477"/>
      <c r="E249" s="254">
        <f>'Project-Level Data'!O15</f>
        <v>2</v>
      </c>
      <c r="F249" s="80" t="str">
        <f>'Project-Level Data'!BL15</f>
        <v>MISSING</v>
      </c>
      <c r="G249" s="289" t="str">
        <f t="shared" si="51"/>
        <v>NA</v>
      </c>
      <c r="H249" s="255">
        <f>'Project-Level Data'!N15</f>
        <v>1</v>
      </c>
      <c r="I249" s="152" t="str">
        <f>'Project-Level Data'!BM15</f>
        <v>MISSING</v>
      </c>
      <c r="J249" s="289" t="str">
        <f t="shared" si="52"/>
        <v>NA</v>
      </c>
      <c r="K249" s="155">
        <f>'Project-Level Data'!BN15</f>
        <v>3</v>
      </c>
      <c r="L249" s="156">
        <f>'Project-Level Data'!BO15</f>
        <v>3</v>
      </c>
      <c r="N249" s="545"/>
      <c r="O249" s="545"/>
    </row>
    <row r="250" spans="2:15" hidden="1" x14ac:dyDescent="0.25">
      <c r="B250" s="227" t="str">
        <f>'Project-Level Data'!B83</f>
        <v>Re-rating of Carlsbad Desalination for higher flow</v>
      </c>
      <c r="C250" s="475" t="str">
        <f>'Project-Level Data'!C83</f>
        <v>Seawater Desalination</v>
      </c>
      <c r="D250" s="477"/>
      <c r="E250" s="255">
        <f>'Project-Level Data'!O83</f>
        <v>2</v>
      </c>
      <c r="F250" s="80" t="str">
        <f>'Project-Level Data'!BL83</f>
        <v>No Response</v>
      </c>
      <c r="G250" s="289" t="str">
        <f t="shared" si="51"/>
        <v>NA</v>
      </c>
      <c r="H250" s="255">
        <f>'Project-Level Data'!N83</f>
        <v>1</v>
      </c>
      <c r="I250" s="152" t="str">
        <f>'Project-Level Data'!BM83</f>
        <v>No Response</v>
      </c>
      <c r="J250" s="289" t="str">
        <f t="shared" si="52"/>
        <v>NA</v>
      </c>
      <c r="K250" s="155" t="str">
        <f>'Project-Level Data'!BN83</f>
        <v>No Response</v>
      </c>
      <c r="L250" s="156" t="str">
        <f>'Project-Level Data'!BO83</f>
        <v>No Response</v>
      </c>
      <c r="N250" s="545"/>
      <c r="O250" s="545"/>
    </row>
    <row r="251" spans="2:15" hidden="1" x14ac:dyDescent="0.25">
      <c r="B251" s="227" t="str">
        <f>'Project-Level Data'!B85</f>
        <v>Rosarito Beach Desalination</v>
      </c>
      <c r="C251" s="475" t="str">
        <f>'Project-Level Data'!C85</f>
        <v>Seawater Desalination</v>
      </c>
      <c r="D251" s="477"/>
      <c r="E251" s="255" t="str">
        <f>'Project-Level Data'!O85</f>
        <v>NOT MAPPED</v>
      </c>
      <c r="F251" s="80">
        <f>'Project-Level Data'!BL85</f>
        <v>3</v>
      </c>
      <c r="G251" s="289">
        <f t="shared" si="51"/>
        <v>3</v>
      </c>
      <c r="H251" s="255" t="str">
        <f>'Project-Level Data'!N85</f>
        <v>NOT MAPPED</v>
      </c>
      <c r="I251" s="152">
        <f>'Project-Level Data'!BM85</f>
        <v>3</v>
      </c>
      <c r="J251" s="289">
        <f t="shared" si="52"/>
        <v>3</v>
      </c>
      <c r="K251" s="155">
        <f>'Project-Level Data'!BN85</f>
        <v>3</v>
      </c>
      <c r="L251" s="156">
        <f>'Project-Level Data'!BO85</f>
        <v>3</v>
      </c>
      <c r="N251" s="545"/>
      <c r="O251" s="545"/>
    </row>
    <row r="252" spans="2:15" ht="38.25" hidden="1" x14ac:dyDescent="0.25">
      <c r="B252" s="227" t="str">
        <f>'Project-Level Data'!B9</f>
        <v>Alternative Compliance Retrofit Project El Norte Parkway and Rincon
Villa Drive, Escondido</v>
      </c>
      <c r="C252" s="475" t="str">
        <f>'Project-Level Data'!C9</f>
        <v>Stormwater BMPs</v>
      </c>
      <c r="D252" s="477"/>
      <c r="E252" s="254">
        <f>'Project-Level Data'!O9</f>
        <v>1</v>
      </c>
      <c r="F252" s="80" t="str">
        <f>'Project-Level Data'!BL9</f>
        <v>No Response</v>
      </c>
      <c r="G252" s="289" t="str">
        <f t="shared" ref="G252:G283" si="53">IF(F252=3,3, IF(ISERROR(E252*F252), "NA", IF(AND(F252=1,E252=1),1, IF(AND(F252=1,E252=2),2, IF(AND(F252=5,E252=2),4, IF(AND(F252=5,E252=1),5))))))</f>
        <v>NA</v>
      </c>
      <c r="H252" s="255">
        <f>'Project-Level Data'!N9</f>
        <v>2</v>
      </c>
      <c r="I252" s="152" t="str">
        <f>'Project-Level Data'!BM9</f>
        <v>No Response</v>
      </c>
      <c r="J252" s="289" t="str">
        <f t="shared" ref="J252:J283" si="54">IF(I252=3,3, IF(ISERROR(H252*I252), "NA", IF(AND(I252=1,H252=1),1, IF(AND(I252=1,H252=2),2, IF(AND(I252=5,H252=2),4, IF(AND(I252=5,H252=1),5))))))</f>
        <v>NA</v>
      </c>
      <c r="K252" s="155" t="str">
        <f>'Project-Level Data'!BN9</f>
        <v>No Response</v>
      </c>
      <c r="L252" s="156" t="str">
        <f>'Project-Level Data'!BO9</f>
        <v>No Response</v>
      </c>
      <c r="N252" s="545"/>
      <c r="O252" s="545"/>
    </row>
    <row r="253" spans="2:15" ht="25.5" hidden="1" x14ac:dyDescent="0.25">
      <c r="B253" s="227" t="str">
        <f>'Project-Level Data'!B10</f>
        <v>Alternative Compliance Retrofit Project Mountain View Park, Escondido</v>
      </c>
      <c r="C253" s="475" t="str">
        <f>'Project-Level Data'!C10</f>
        <v>Stormwater BMPs</v>
      </c>
      <c r="D253" s="477"/>
      <c r="E253" s="254">
        <f>'Project-Level Data'!O10</f>
        <v>1</v>
      </c>
      <c r="F253" s="80" t="str">
        <f>'Project-Level Data'!BL10</f>
        <v>No Response</v>
      </c>
      <c r="G253" s="289" t="str">
        <f t="shared" si="53"/>
        <v>NA</v>
      </c>
      <c r="H253" s="255">
        <f>'Project-Level Data'!N10</f>
        <v>2</v>
      </c>
      <c r="I253" s="152" t="str">
        <f>'Project-Level Data'!BM10</f>
        <v>No Response</v>
      </c>
      <c r="J253" s="289" t="str">
        <f t="shared" si="54"/>
        <v>NA</v>
      </c>
      <c r="K253" s="155" t="str">
        <f>'Project-Level Data'!BN10</f>
        <v>No Response</v>
      </c>
      <c r="L253" s="156" t="str">
        <f>'Project-Level Data'!BO10</f>
        <v>No Response</v>
      </c>
      <c r="N253" s="545"/>
      <c r="O253" s="545"/>
    </row>
    <row r="254" spans="2:15" hidden="1" x14ac:dyDescent="0.25">
      <c r="B254" s="227" t="str">
        <f>'Project-Level Data'!B11</f>
        <v>Bakersfield Street and San Altos Channel Restoration</v>
      </c>
      <c r="C254" s="475" t="str">
        <f>'Project-Level Data'!C11</f>
        <v>Stormwater BMPs</v>
      </c>
      <c r="D254" s="477"/>
      <c r="E254" s="254">
        <f>'Project-Level Data'!O11</f>
        <v>2</v>
      </c>
      <c r="F254" s="80">
        <f>'Project-Level Data'!BL11</f>
        <v>5</v>
      </c>
      <c r="G254" s="289">
        <f t="shared" si="53"/>
        <v>4</v>
      </c>
      <c r="H254" s="255">
        <f>'Project-Level Data'!N11</f>
        <v>2</v>
      </c>
      <c r="I254" s="152">
        <f>'Project-Level Data'!BM11</f>
        <v>3</v>
      </c>
      <c r="J254" s="289">
        <f t="shared" si="54"/>
        <v>3</v>
      </c>
      <c r="K254" s="155">
        <f>'Project-Level Data'!BN11</f>
        <v>3</v>
      </c>
      <c r="L254" s="156">
        <f>'Project-Level Data'!BO11</f>
        <v>5</v>
      </c>
      <c r="N254" s="545"/>
      <c r="O254" s="545"/>
    </row>
    <row r="255" spans="2:15" ht="38.25" hidden="1" x14ac:dyDescent="0.25">
      <c r="B255" s="227" t="str">
        <f>'Project-Level Data'!B12</f>
        <v>Broadway Channel Flood Risk Reduction and Water Quality
Improvements</v>
      </c>
      <c r="C255" s="475" t="str">
        <f>'Project-Level Data'!C12</f>
        <v>Stormwater BMPs</v>
      </c>
      <c r="D255" s="477"/>
      <c r="E255" s="254">
        <f>'Project-Level Data'!O12</f>
        <v>2</v>
      </c>
      <c r="F255" s="80" t="str">
        <f>'Project-Level Data'!BL12</f>
        <v>MISSING</v>
      </c>
      <c r="G255" s="289" t="str">
        <f t="shared" si="53"/>
        <v>NA</v>
      </c>
      <c r="H255" s="255">
        <f>'Project-Level Data'!N12</f>
        <v>1</v>
      </c>
      <c r="I255" s="152" t="str">
        <f>'Project-Level Data'!BM12</f>
        <v>MISSING</v>
      </c>
      <c r="J255" s="289" t="str">
        <f t="shared" si="54"/>
        <v>NA</v>
      </c>
      <c r="K255" s="155">
        <f>'Project-Level Data'!BN12</f>
        <v>5</v>
      </c>
      <c r="L255" s="156">
        <f>'Project-Level Data'!BO12</f>
        <v>5</v>
      </c>
      <c r="N255" s="545"/>
      <c r="O255" s="545"/>
    </row>
    <row r="256" spans="2:15" hidden="1" x14ac:dyDescent="0.25">
      <c r="B256" s="227" t="str">
        <f>'Project-Level Data'!B20</f>
        <v>City of Oceanside Loma Alta Slough Restoration Project</v>
      </c>
      <c r="C256" s="475" t="str">
        <f>'Project-Level Data'!C20</f>
        <v>Stormwater BMPs</v>
      </c>
      <c r="D256" s="477"/>
      <c r="E256" s="254">
        <f>'Project-Level Data'!O20</f>
        <v>1</v>
      </c>
      <c r="F256" s="80" t="str">
        <f>'Project-Level Data'!BL20</f>
        <v>No Response</v>
      </c>
      <c r="G256" s="289" t="str">
        <f t="shared" si="53"/>
        <v>NA</v>
      </c>
      <c r="H256" s="255">
        <f>'Project-Level Data'!N20</f>
        <v>2</v>
      </c>
      <c r="I256" s="152" t="str">
        <f>'Project-Level Data'!BM20</f>
        <v>No Response</v>
      </c>
      <c r="J256" s="289" t="str">
        <f t="shared" si="54"/>
        <v>NA</v>
      </c>
      <c r="K256" s="155" t="str">
        <f>'Project-Level Data'!BN20</f>
        <v>No Response</v>
      </c>
      <c r="L256" s="156" t="str">
        <f>'Project-Level Data'!BO20</f>
        <v>No Response</v>
      </c>
      <c r="N256" s="545"/>
      <c r="O256" s="545"/>
    </row>
    <row r="257" spans="2:17" hidden="1" x14ac:dyDescent="0.25">
      <c r="B257" s="227" t="str">
        <f>'Project-Level Data'!B32</f>
        <v>Golden Ave Green Street</v>
      </c>
      <c r="C257" s="475" t="str">
        <f>'Project-Level Data'!C32</f>
        <v>Stormwater BMPs</v>
      </c>
      <c r="D257" s="477"/>
      <c r="E257" s="254">
        <f>'Project-Level Data'!O32</f>
        <v>2</v>
      </c>
      <c r="F257" s="80">
        <f>'Project-Level Data'!BL32</f>
        <v>5</v>
      </c>
      <c r="G257" s="289">
        <f t="shared" si="53"/>
        <v>4</v>
      </c>
      <c r="H257" s="255">
        <f>'Project-Level Data'!N32</f>
        <v>1</v>
      </c>
      <c r="I257" s="152">
        <f>'Project-Level Data'!BM32</f>
        <v>3</v>
      </c>
      <c r="J257" s="289">
        <f t="shared" si="54"/>
        <v>3</v>
      </c>
      <c r="K257" s="155">
        <f>'Project-Level Data'!BN32</f>
        <v>3</v>
      </c>
      <c r="L257" s="156">
        <f>'Project-Level Data'!BO32</f>
        <v>5</v>
      </c>
      <c r="N257" s="545"/>
      <c r="O257" s="545"/>
    </row>
    <row r="258" spans="2:17" hidden="1" x14ac:dyDescent="0.25">
      <c r="B258" s="227" t="str">
        <f>'Project-Level Data'!B39</f>
        <v>Las Colinas Channel Improvments</v>
      </c>
      <c r="C258" s="475" t="str">
        <f>'Project-Level Data'!C39</f>
        <v>Stormwater BMPs</v>
      </c>
      <c r="D258" s="477"/>
      <c r="E258" s="254">
        <f>'Project-Level Data'!O39</f>
        <v>2</v>
      </c>
      <c r="F258" s="80">
        <f>'Project-Level Data'!BL39</f>
        <v>5</v>
      </c>
      <c r="G258" s="289">
        <f t="shared" si="53"/>
        <v>4</v>
      </c>
      <c r="H258" s="255">
        <f>'Project-Level Data'!N39</f>
        <v>2</v>
      </c>
      <c r="I258" s="152">
        <f>'Project-Level Data'!BM39</f>
        <v>3</v>
      </c>
      <c r="J258" s="289">
        <f t="shared" si="54"/>
        <v>3</v>
      </c>
      <c r="K258" s="155">
        <f>'Project-Level Data'!BN39</f>
        <v>5</v>
      </c>
      <c r="L258" s="156">
        <f>'Project-Level Data'!BO39</f>
        <v>3</v>
      </c>
      <c r="N258" s="545"/>
      <c r="O258" s="545"/>
    </row>
    <row r="259" spans="2:17" hidden="1" x14ac:dyDescent="0.25">
      <c r="B259" s="227" t="str">
        <f>'Project-Level Data'!B40</f>
        <v>Lemon Grove Avenue Green Streets</v>
      </c>
      <c r="C259" s="475" t="str">
        <f>'Project-Level Data'!C40</f>
        <v>Stormwater BMPs</v>
      </c>
      <c r="D259" s="477"/>
      <c r="E259" s="254">
        <f>'Project-Level Data'!O40</f>
        <v>2</v>
      </c>
      <c r="F259" s="80">
        <f>'Project-Level Data'!BL40</f>
        <v>5</v>
      </c>
      <c r="G259" s="289">
        <f t="shared" si="53"/>
        <v>4</v>
      </c>
      <c r="H259" s="255">
        <f>'Project-Level Data'!N40</f>
        <v>1</v>
      </c>
      <c r="I259" s="152">
        <f>'Project-Level Data'!BM40</f>
        <v>3</v>
      </c>
      <c r="J259" s="289">
        <f t="shared" si="54"/>
        <v>3</v>
      </c>
      <c r="K259" s="155">
        <f>'Project-Level Data'!BN40</f>
        <v>3</v>
      </c>
      <c r="L259" s="156">
        <f>'Project-Level Data'!BO40</f>
        <v>5</v>
      </c>
      <c r="N259" s="545"/>
      <c r="O259" s="545"/>
    </row>
    <row r="260" spans="2:17" ht="25.5" hidden="1" x14ac:dyDescent="0.25">
      <c r="B260" s="227" t="str">
        <f>'Project-Level Data'!B41</f>
        <v>Leucadia Roadside Park Stormwater Capture/Reuse Project</v>
      </c>
      <c r="C260" s="475" t="str">
        <f>'Project-Level Data'!C41</f>
        <v>Stormwater BMPs</v>
      </c>
      <c r="D260" s="477"/>
      <c r="E260" s="254">
        <f>'Project-Level Data'!O41</f>
        <v>2</v>
      </c>
      <c r="F260" s="80">
        <f>'Project-Level Data'!BL41</f>
        <v>5</v>
      </c>
      <c r="G260" s="289">
        <f t="shared" si="53"/>
        <v>4</v>
      </c>
      <c r="H260" s="255">
        <f>'Project-Level Data'!N41</f>
        <v>2</v>
      </c>
      <c r="I260" s="152">
        <f>'Project-Level Data'!BM41</f>
        <v>5</v>
      </c>
      <c r="J260" s="289">
        <f t="shared" si="54"/>
        <v>4</v>
      </c>
      <c r="K260" s="291">
        <f>'Project-Level Data'!BN41</f>
        <v>3</v>
      </c>
      <c r="L260" s="292">
        <f>'Project-Level Data'!BO41</f>
        <v>5</v>
      </c>
      <c r="N260" s="545"/>
      <c r="O260" s="545"/>
    </row>
    <row r="261" spans="2:17" hidden="1" x14ac:dyDescent="0.25">
      <c r="B261" s="227" t="str">
        <f>'Project-Level Data'!B43</f>
        <v>Lincoln St Green Street</v>
      </c>
      <c r="C261" s="475" t="str">
        <f>'Project-Level Data'!C43</f>
        <v>Stormwater BMPs</v>
      </c>
      <c r="D261" s="477"/>
      <c r="E261" s="254">
        <f>'Project-Level Data'!O43</f>
        <v>2</v>
      </c>
      <c r="F261" s="80">
        <f>'Project-Level Data'!BL43</f>
        <v>5</v>
      </c>
      <c r="G261" s="289">
        <f t="shared" si="53"/>
        <v>4</v>
      </c>
      <c r="H261" s="255">
        <f>'Project-Level Data'!N43</f>
        <v>1</v>
      </c>
      <c r="I261" s="152">
        <f>'Project-Level Data'!BM43</f>
        <v>3</v>
      </c>
      <c r="J261" s="289">
        <f t="shared" si="54"/>
        <v>3</v>
      </c>
      <c r="K261" s="155">
        <f>'Project-Level Data'!BN43</f>
        <v>3</v>
      </c>
      <c r="L261" s="156">
        <f>'Project-Level Data'!BO43</f>
        <v>5</v>
      </c>
      <c r="N261" s="545"/>
      <c r="O261" s="545"/>
    </row>
    <row r="262" spans="2:17" s="84" customFormat="1" ht="25.5" hidden="1" x14ac:dyDescent="0.25">
      <c r="B262" s="227" t="str">
        <f>'Project-Level Data'!B44</f>
        <v xml:space="preserve">Low Impact Development Urban Runoff Control Projects for the Tijuana Estuary </v>
      </c>
      <c r="C262" s="475" t="str">
        <f>'Project-Level Data'!C44</f>
        <v>Stormwater BMPs</v>
      </c>
      <c r="D262" s="477"/>
      <c r="E262" s="254">
        <f>'Project-Level Data'!O44</f>
        <v>1</v>
      </c>
      <c r="F262" s="80">
        <f>'Project-Level Data'!BL44</f>
        <v>5</v>
      </c>
      <c r="G262" s="289">
        <f t="shared" si="53"/>
        <v>5</v>
      </c>
      <c r="H262" s="255">
        <f>'Project-Level Data'!N44</f>
        <v>2</v>
      </c>
      <c r="I262" s="152">
        <f>'Project-Level Data'!BM44</f>
        <v>3</v>
      </c>
      <c r="J262" s="289">
        <f t="shared" si="54"/>
        <v>3</v>
      </c>
      <c r="K262" s="155">
        <f>'Project-Level Data'!BN44</f>
        <v>5</v>
      </c>
      <c r="L262" s="156">
        <f>'Project-Level Data'!BO44</f>
        <v>5</v>
      </c>
      <c r="N262" s="545"/>
      <c r="O262" s="545"/>
      <c r="Q262" s="85"/>
    </row>
    <row r="263" spans="2:17" s="11" customFormat="1" hidden="1" x14ac:dyDescent="0.25">
      <c r="B263" s="227" t="str">
        <f>'Project-Level Data'!B46</f>
        <v>Madera St Green Street</v>
      </c>
      <c r="C263" s="475" t="str">
        <f>'Project-Level Data'!C46</f>
        <v>Stormwater BMPs</v>
      </c>
      <c r="D263" s="477"/>
      <c r="E263" s="254">
        <f>'Project-Level Data'!O46</f>
        <v>2</v>
      </c>
      <c r="F263" s="80">
        <f>'Project-Level Data'!BL46</f>
        <v>5</v>
      </c>
      <c r="G263" s="289">
        <f t="shared" si="53"/>
        <v>4</v>
      </c>
      <c r="H263" s="255">
        <f>'Project-Level Data'!N46</f>
        <v>1</v>
      </c>
      <c r="I263" s="152">
        <f>'Project-Level Data'!BM46</f>
        <v>3</v>
      </c>
      <c r="J263" s="289">
        <f t="shared" si="54"/>
        <v>3</v>
      </c>
      <c r="K263" s="155">
        <f>'Project-Level Data'!BN46</f>
        <v>3</v>
      </c>
      <c r="L263" s="156">
        <f>'Project-Level Data'!BO46</f>
        <v>5</v>
      </c>
      <c r="N263" s="545"/>
      <c r="O263" s="545"/>
      <c r="Q263" s="85"/>
    </row>
    <row r="264" spans="2:17" s="11" customFormat="1" hidden="1" x14ac:dyDescent="0.25">
      <c r="B264" s="227" t="str">
        <f>'Project-Level Data'!B47</f>
        <v>Main Street Promenade Extension</v>
      </c>
      <c r="C264" s="475" t="str">
        <f>'Project-Level Data'!C47</f>
        <v>Stormwater BMPs</v>
      </c>
      <c r="D264" s="477"/>
      <c r="E264" s="254">
        <f>'Project-Level Data'!O47</f>
        <v>2</v>
      </c>
      <c r="F264" s="80">
        <f>'Project-Level Data'!BL47</f>
        <v>5</v>
      </c>
      <c r="G264" s="289">
        <f t="shared" si="53"/>
        <v>4</v>
      </c>
      <c r="H264" s="255">
        <f>'Project-Level Data'!N47</f>
        <v>1</v>
      </c>
      <c r="I264" s="152">
        <f>'Project-Level Data'!BM47</f>
        <v>3</v>
      </c>
      <c r="J264" s="289">
        <f t="shared" si="54"/>
        <v>3</v>
      </c>
      <c r="K264" s="155">
        <f>'Project-Level Data'!BN47</f>
        <v>3</v>
      </c>
      <c r="L264" s="156">
        <f>'Project-Level Data'!BO47</f>
        <v>5</v>
      </c>
      <c r="N264" s="545"/>
      <c r="O264" s="545"/>
      <c r="Q264" s="85"/>
    </row>
    <row r="265" spans="2:17" s="11" customFormat="1" ht="25.5" hidden="1" x14ac:dyDescent="0.25">
      <c r="B265" s="227" t="str">
        <f>'Project-Level Data'!B48</f>
        <v>Mapleview Street ‐ Green Infrastructure and Stormwater QualityImprovement Project</v>
      </c>
      <c r="C265" s="475" t="str">
        <f>'Project-Level Data'!C48</f>
        <v>Stormwater BMPs</v>
      </c>
      <c r="D265" s="477"/>
      <c r="E265" s="254">
        <f>'Project-Level Data'!O48</f>
        <v>2</v>
      </c>
      <c r="F265" s="80">
        <f>'Project-Level Data'!BL48</f>
        <v>5</v>
      </c>
      <c r="G265" s="289">
        <f t="shared" si="53"/>
        <v>4</v>
      </c>
      <c r="H265" s="255">
        <f>'Project-Level Data'!N48</f>
        <v>2</v>
      </c>
      <c r="I265" s="152">
        <f>'Project-Level Data'!BM48</f>
        <v>3</v>
      </c>
      <c r="J265" s="289">
        <f t="shared" si="54"/>
        <v>3</v>
      </c>
      <c r="K265" s="155">
        <f>'Project-Level Data'!BN48</f>
        <v>4</v>
      </c>
      <c r="L265" s="156">
        <f>'Project-Level Data'!BO48</f>
        <v>3</v>
      </c>
      <c r="N265" s="545"/>
      <c r="O265" s="545"/>
      <c r="Q265" s="85"/>
    </row>
    <row r="266" spans="2:17" s="11" customFormat="1" ht="25.5" hidden="1" x14ac:dyDescent="0.25">
      <c r="B266" s="227" t="str">
        <f>'Project-Level Data'!B71</f>
        <v>Paradise Valley Creek Water Quality and Community Enhancement</v>
      </c>
      <c r="C266" s="475" t="str">
        <f>'Project-Level Data'!C71</f>
        <v>Stormwater BMPs</v>
      </c>
      <c r="D266" s="477"/>
      <c r="E266" s="255">
        <f>'Project-Level Data'!O71</f>
        <v>2</v>
      </c>
      <c r="F266" s="80">
        <f>'Project-Level Data'!BL71</f>
        <v>5</v>
      </c>
      <c r="G266" s="289">
        <f t="shared" si="53"/>
        <v>4</v>
      </c>
      <c r="H266" s="255">
        <f>'Project-Level Data'!N71</f>
        <v>2</v>
      </c>
      <c r="I266" s="152">
        <f>'Project-Level Data'!BM71</f>
        <v>5</v>
      </c>
      <c r="J266" s="289">
        <f t="shared" si="54"/>
        <v>4</v>
      </c>
      <c r="K266" s="155">
        <f>'Project-Level Data'!BN71</f>
        <v>5</v>
      </c>
      <c r="L266" s="156">
        <f>'Project-Level Data'!BO71</f>
        <v>5</v>
      </c>
      <c r="N266" s="545"/>
      <c r="O266" s="545"/>
      <c r="Q266" s="85"/>
    </row>
    <row r="267" spans="2:17" s="11" customFormat="1" ht="25.5" hidden="1" x14ac:dyDescent="0.25">
      <c r="B267" s="227" t="str">
        <f>'Project-Level Data'!B74</f>
        <v>Pure Water - Los Penasquitos Creek Urban Dry-Weather Water Harvesting</v>
      </c>
      <c r="C267" s="475" t="str">
        <f>'Project-Level Data'!C74</f>
        <v>Stormwater BMPs</v>
      </c>
      <c r="D267" s="477"/>
      <c r="E267" s="255">
        <f>'Project-Level Data'!O74</f>
        <v>2</v>
      </c>
      <c r="F267" s="80">
        <f>'Project-Level Data'!BL74</f>
        <v>5</v>
      </c>
      <c r="G267" s="289">
        <f t="shared" si="53"/>
        <v>4</v>
      </c>
      <c r="H267" s="255">
        <f>'Project-Level Data'!N74</f>
        <v>2</v>
      </c>
      <c r="I267" s="152">
        <f>'Project-Level Data'!BM74</f>
        <v>3</v>
      </c>
      <c r="J267" s="289">
        <f t="shared" si="54"/>
        <v>3</v>
      </c>
      <c r="K267" s="155">
        <f>'Project-Level Data'!BN74</f>
        <v>5</v>
      </c>
      <c r="L267" s="156">
        <f>'Project-Level Data'!BO74</f>
        <v>4</v>
      </c>
      <c r="N267" s="545"/>
      <c r="O267" s="545"/>
      <c r="Q267" s="85"/>
    </row>
    <row r="268" spans="2:17" s="11" customFormat="1" hidden="1" x14ac:dyDescent="0.25">
      <c r="B268" s="227" t="str">
        <f>'Project-Level Data'!B87</f>
        <v>Safari Park Storm Water Capture and Reuse Project</v>
      </c>
      <c r="C268" s="475" t="str">
        <f>'Project-Level Data'!C87</f>
        <v>Stormwater BMPs</v>
      </c>
      <c r="D268" s="477"/>
      <c r="E268" s="255">
        <f>'Project-Level Data'!O87</f>
        <v>1</v>
      </c>
      <c r="F268" s="80" t="str">
        <f>'Project-Level Data'!BL87</f>
        <v>No Response</v>
      </c>
      <c r="G268" s="289" t="str">
        <f t="shared" si="53"/>
        <v>NA</v>
      </c>
      <c r="H268" s="255">
        <f>'Project-Level Data'!N87</f>
        <v>2</v>
      </c>
      <c r="I268" s="152" t="str">
        <f>'Project-Level Data'!BM87</f>
        <v>No Response</v>
      </c>
      <c r="J268" s="289" t="str">
        <f t="shared" si="54"/>
        <v>NA</v>
      </c>
      <c r="K268" s="155" t="str">
        <f>'Project-Level Data'!BN87</f>
        <v>No Response</v>
      </c>
      <c r="L268" s="156" t="str">
        <f>'Project-Level Data'!BO87</f>
        <v>No Response</v>
      </c>
      <c r="N268" s="545"/>
      <c r="O268" s="545"/>
      <c r="Q268" s="85"/>
    </row>
    <row r="269" spans="2:17" s="11" customFormat="1" ht="25.5" hidden="1" x14ac:dyDescent="0.25">
      <c r="B269" s="227" t="str">
        <f>'Project-Level Data'!B88</f>
        <v>Safari Park Water Reuse Sustainability and Watershed Protection Prgram</v>
      </c>
      <c r="C269" s="475" t="str">
        <f>'Project-Level Data'!C88</f>
        <v>Stormwater BMPs</v>
      </c>
      <c r="D269" s="477"/>
      <c r="E269" s="255">
        <f>'Project-Level Data'!O88</f>
        <v>1</v>
      </c>
      <c r="F269" s="80" t="str">
        <f>'Project-Level Data'!BL88</f>
        <v>No Response</v>
      </c>
      <c r="G269" s="289" t="str">
        <f t="shared" si="53"/>
        <v>NA</v>
      </c>
      <c r="H269" s="255">
        <f>'Project-Level Data'!N88</f>
        <v>2</v>
      </c>
      <c r="I269" s="152" t="str">
        <f>'Project-Level Data'!BM88</f>
        <v>No Response</v>
      </c>
      <c r="J269" s="289" t="str">
        <f t="shared" si="54"/>
        <v>NA</v>
      </c>
      <c r="K269" s="155" t="str">
        <f>'Project-Level Data'!BN88</f>
        <v>No Response</v>
      </c>
      <c r="L269" s="156" t="str">
        <f>'Project-Level Data'!BO88</f>
        <v>No Response</v>
      </c>
      <c r="N269" s="545"/>
      <c r="O269" s="545"/>
      <c r="Q269" s="85"/>
    </row>
    <row r="270" spans="2:17" s="11" customFormat="1" ht="25.5" hidden="1" x14ac:dyDescent="0.25">
      <c r="B270" s="227" t="str">
        <f>'Project-Level Data'!B96</f>
        <v>San Marino Drive Green Street and Dry Weather Flow Management Sweetwater</v>
      </c>
      <c r="C270" s="475" t="str">
        <f>'Project-Level Data'!C96</f>
        <v>Stormwater BMPs</v>
      </c>
      <c r="D270" s="477"/>
      <c r="E270" s="255">
        <f>'Project-Level Data'!O96</f>
        <v>2</v>
      </c>
      <c r="F270" s="80">
        <f>'Project-Level Data'!BL96</f>
        <v>5</v>
      </c>
      <c r="G270" s="289">
        <f t="shared" si="53"/>
        <v>4</v>
      </c>
      <c r="H270" s="255">
        <f>'Project-Level Data'!N96</f>
        <v>1</v>
      </c>
      <c r="I270" s="152">
        <f>'Project-Level Data'!BM96</f>
        <v>3</v>
      </c>
      <c r="J270" s="289">
        <f t="shared" si="54"/>
        <v>3</v>
      </c>
      <c r="K270" s="155">
        <f>'Project-Level Data'!BN96</f>
        <v>4</v>
      </c>
      <c r="L270" s="156">
        <f>'Project-Level Data'!BO96</f>
        <v>3</v>
      </c>
      <c r="N270" s="545"/>
      <c r="O270" s="545"/>
      <c r="Q270" s="85"/>
    </row>
    <row r="271" spans="2:17" s="11" customFormat="1" ht="25.5" hidden="1" x14ac:dyDescent="0.25">
      <c r="B271" s="227" t="str">
        <f>'Project-Level Data'!B97</f>
        <v>San Marino Drive Green Street and Dry Weather Flow Management Vallecitos</v>
      </c>
      <c r="C271" s="475" t="str">
        <f>'Project-Level Data'!C97</f>
        <v>Stormwater BMPs</v>
      </c>
      <c r="D271" s="477"/>
      <c r="E271" s="255">
        <f>'Project-Level Data'!O97</f>
        <v>2</v>
      </c>
      <c r="F271" s="80">
        <f>'Project-Level Data'!BL97</f>
        <v>5</v>
      </c>
      <c r="G271" s="289">
        <f t="shared" si="53"/>
        <v>4</v>
      </c>
      <c r="H271" s="255">
        <f>'Project-Level Data'!N97</f>
        <v>1</v>
      </c>
      <c r="I271" s="152">
        <f>'Project-Level Data'!BM97</f>
        <v>3</v>
      </c>
      <c r="J271" s="289">
        <f t="shared" si="54"/>
        <v>3</v>
      </c>
      <c r="K271" s="155">
        <f>'Project-Level Data'!BN97</f>
        <v>4</v>
      </c>
      <c r="L271" s="156">
        <f>'Project-Level Data'!BO97</f>
        <v>3</v>
      </c>
      <c r="N271" s="545"/>
      <c r="O271" s="545"/>
      <c r="Q271" s="85"/>
    </row>
    <row r="272" spans="2:17" s="11" customFormat="1" hidden="1" x14ac:dyDescent="0.25">
      <c r="B272" s="227" t="str">
        <f>'Project-Level Data'!B98</f>
        <v>San Miguel Green Street</v>
      </c>
      <c r="C272" s="475" t="str">
        <f>'Project-Level Data'!C98</f>
        <v>Stormwater BMPs</v>
      </c>
      <c r="D272" s="477"/>
      <c r="E272" s="255">
        <f>'Project-Level Data'!O98</f>
        <v>2</v>
      </c>
      <c r="F272" s="80" t="str">
        <f>'Project-Level Data'!BL98</f>
        <v>No Response</v>
      </c>
      <c r="G272" s="289" t="str">
        <f t="shared" si="53"/>
        <v>NA</v>
      </c>
      <c r="H272" s="255">
        <f>'Project-Level Data'!N98</f>
        <v>1</v>
      </c>
      <c r="I272" s="152" t="str">
        <f>'Project-Level Data'!BM98</f>
        <v>No Response</v>
      </c>
      <c r="J272" s="289" t="str">
        <f t="shared" si="54"/>
        <v>NA</v>
      </c>
      <c r="K272" s="155" t="str">
        <f>'Project-Level Data'!BN98</f>
        <v>No Response</v>
      </c>
      <c r="L272" s="156" t="str">
        <f>'Project-Level Data'!BO98</f>
        <v>No Response</v>
      </c>
      <c r="N272" s="545"/>
      <c r="O272" s="545"/>
      <c r="Q272" s="85"/>
    </row>
    <row r="273" spans="2:17" s="11" customFormat="1" hidden="1" x14ac:dyDescent="0.25">
      <c r="B273" s="227" t="str">
        <f>'Project-Level Data'!B106</f>
        <v>Skyline Dr and Kempt St Green Streets</v>
      </c>
      <c r="C273" s="475" t="str">
        <f>'Project-Level Data'!C106</f>
        <v>Stormwater BMPs</v>
      </c>
      <c r="D273" s="477"/>
      <c r="E273" s="255">
        <f>'Project-Level Data'!O106</f>
        <v>2</v>
      </c>
      <c r="F273" s="80">
        <f>'Project-Level Data'!BL106</f>
        <v>5</v>
      </c>
      <c r="G273" s="289">
        <f t="shared" si="53"/>
        <v>4</v>
      </c>
      <c r="H273" s="255">
        <f>'Project-Level Data'!N106</f>
        <v>1</v>
      </c>
      <c r="I273" s="152">
        <f>'Project-Level Data'!BM106</f>
        <v>3</v>
      </c>
      <c r="J273" s="289">
        <f t="shared" si="54"/>
        <v>3</v>
      </c>
      <c r="K273" s="155">
        <f>'Project-Level Data'!BN106</f>
        <v>3</v>
      </c>
      <c r="L273" s="156">
        <f>'Project-Level Data'!BO106</f>
        <v>5</v>
      </c>
      <c r="N273" s="545"/>
      <c r="O273" s="545"/>
      <c r="Q273" s="85"/>
    </row>
    <row r="274" spans="2:17" s="11" customFormat="1" hidden="1" x14ac:dyDescent="0.25">
      <c r="B274" s="227" t="str">
        <f>'Project-Level Data'!B107</f>
        <v>South Santa Fe Green Street Project</v>
      </c>
      <c r="C274" s="475" t="str">
        <f>'Project-Level Data'!C107</f>
        <v>Stormwater BMPs</v>
      </c>
      <c r="D274" s="477"/>
      <c r="E274" s="255">
        <f>'Project-Level Data'!O107</f>
        <v>2</v>
      </c>
      <c r="F274" s="80">
        <f>'Project-Level Data'!BL107</f>
        <v>5</v>
      </c>
      <c r="G274" s="289">
        <f t="shared" si="53"/>
        <v>4</v>
      </c>
      <c r="H274" s="255">
        <f>'Project-Level Data'!N107</f>
        <v>2</v>
      </c>
      <c r="I274" s="152">
        <f>'Project-Level Data'!BM107</f>
        <v>3</v>
      </c>
      <c r="J274" s="289">
        <f t="shared" si="54"/>
        <v>3</v>
      </c>
      <c r="K274" s="155">
        <f>'Project-Level Data'!BN107</f>
        <v>5</v>
      </c>
      <c r="L274" s="156">
        <f>'Project-Level Data'!BO107</f>
        <v>5</v>
      </c>
      <c r="N274" s="545"/>
      <c r="O274" s="545"/>
      <c r="Q274" s="85"/>
    </row>
    <row r="275" spans="2:17" s="11" customFormat="1" hidden="1" x14ac:dyDescent="0.25">
      <c r="B275" s="227" t="str">
        <f>'Project-Level Data'!B111</f>
        <v>Spruce Street Channel Improvement Project</v>
      </c>
      <c r="C275" s="475" t="str">
        <f>'Project-Level Data'!C111</f>
        <v>Stormwater BMPs</v>
      </c>
      <c r="D275" s="477"/>
      <c r="E275" s="255">
        <f>'Project-Level Data'!O111</f>
        <v>1</v>
      </c>
      <c r="F275" s="80" t="str">
        <f>'Project-Level Data'!BL111</f>
        <v>No Response</v>
      </c>
      <c r="G275" s="289" t="str">
        <f t="shared" si="53"/>
        <v>NA</v>
      </c>
      <c r="H275" s="255">
        <f>'Project-Level Data'!N111</f>
        <v>1</v>
      </c>
      <c r="I275" s="152" t="str">
        <f>'Project-Level Data'!BM111</f>
        <v>No Response</v>
      </c>
      <c r="J275" s="289" t="str">
        <f t="shared" si="54"/>
        <v>NA</v>
      </c>
      <c r="K275" s="155" t="str">
        <f>'Project-Level Data'!BN111</f>
        <v>No Response</v>
      </c>
      <c r="L275" s="156" t="str">
        <f>'Project-Level Data'!BO111</f>
        <v>No Response</v>
      </c>
      <c r="N275" s="545"/>
      <c r="O275" s="545"/>
      <c r="Q275" s="85"/>
    </row>
    <row r="276" spans="2:17" s="11" customFormat="1" ht="25.5" hidden="1" x14ac:dyDescent="0.25">
      <c r="B276" s="227" t="str">
        <f>'Project-Level Data'!B112</f>
        <v>Storm water Capture off San Diego River along Alvarado Canyon and Fairmont Canyon to Fish and Wildlife site</v>
      </c>
      <c r="C276" s="475" t="str">
        <f>'Project-Level Data'!C112</f>
        <v>Stormwater BMPs</v>
      </c>
      <c r="D276" s="477"/>
      <c r="E276" s="255">
        <f>'Project-Level Data'!O112</f>
        <v>1</v>
      </c>
      <c r="F276" s="80">
        <f>'Project-Level Data'!BL112</f>
        <v>5</v>
      </c>
      <c r="G276" s="289">
        <f t="shared" si="53"/>
        <v>5</v>
      </c>
      <c r="H276" s="255">
        <f>'Project-Level Data'!N112</f>
        <v>1</v>
      </c>
      <c r="I276" s="152">
        <f>'Project-Level Data'!BM112</f>
        <v>5</v>
      </c>
      <c r="J276" s="289">
        <f t="shared" si="54"/>
        <v>5</v>
      </c>
      <c r="K276" s="155">
        <f>'Project-Level Data'!BN112</f>
        <v>5</v>
      </c>
      <c r="L276" s="156">
        <f>'Project-Level Data'!BO112</f>
        <v>4</v>
      </c>
      <c r="N276" s="545"/>
      <c r="O276" s="545"/>
      <c r="Q276" s="85"/>
    </row>
    <row r="277" spans="2:17" s="11" customFormat="1" hidden="1" x14ac:dyDescent="0.25">
      <c r="B277" s="227" t="str">
        <f>'Project-Level Data'!B114</f>
        <v>Sweetwater Rd Green Street</v>
      </c>
      <c r="C277" s="475" t="str">
        <f>'Project-Level Data'!C114</f>
        <v>Stormwater BMPs</v>
      </c>
      <c r="D277" s="477"/>
      <c r="E277" s="255">
        <f>'Project-Level Data'!O114</f>
        <v>2</v>
      </c>
      <c r="F277" s="80">
        <f>'Project-Level Data'!BL114</f>
        <v>5</v>
      </c>
      <c r="G277" s="289">
        <f t="shared" si="53"/>
        <v>4</v>
      </c>
      <c r="H277" s="255">
        <f>'Project-Level Data'!N114</f>
        <v>2</v>
      </c>
      <c r="I277" s="152">
        <f>'Project-Level Data'!BM114</f>
        <v>3</v>
      </c>
      <c r="J277" s="289">
        <f t="shared" si="54"/>
        <v>3</v>
      </c>
      <c r="K277" s="155">
        <f>'Project-Level Data'!BN114</f>
        <v>3</v>
      </c>
      <c r="L277" s="156">
        <f>'Project-Level Data'!BO114</f>
        <v>5</v>
      </c>
      <c r="N277" s="545"/>
      <c r="O277" s="545"/>
      <c r="Q277" s="85"/>
    </row>
    <row r="278" spans="2:17" s="11" customFormat="1" hidden="1" x14ac:dyDescent="0.25">
      <c r="B278" s="227" t="str">
        <f>'Project-Level Data'!B116</f>
        <v>Sweetwater River Park Bioretention</v>
      </c>
      <c r="C278" s="475" t="str">
        <f>'Project-Level Data'!C116</f>
        <v>Stormwater BMPs</v>
      </c>
      <c r="D278" s="477"/>
      <c r="E278" s="255">
        <f>'Project-Level Data'!O116</f>
        <v>2</v>
      </c>
      <c r="F278" s="80" t="str">
        <f>'Project-Level Data'!BL116</f>
        <v>No Response</v>
      </c>
      <c r="G278" s="289" t="str">
        <f t="shared" si="53"/>
        <v>NA</v>
      </c>
      <c r="H278" s="255">
        <f>'Project-Level Data'!N116</f>
        <v>2</v>
      </c>
      <c r="I278" s="152" t="str">
        <f>'Project-Level Data'!BM116</f>
        <v>No Response</v>
      </c>
      <c r="J278" s="289" t="str">
        <f t="shared" si="54"/>
        <v>NA</v>
      </c>
      <c r="K278" s="155" t="str">
        <f>'Project-Level Data'!BN116</f>
        <v>No Response</v>
      </c>
      <c r="L278" s="156" t="str">
        <f>'Project-Level Data'!BO116</f>
        <v>No Response</v>
      </c>
      <c r="N278" s="545"/>
      <c r="O278" s="545"/>
      <c r="Q278" s="85"/>
    </row>
    <row r="279" spans="2:17" s="11" customFormat="1" hidden="1" x14ac:dyDescent="0.25">
      <c r="B279" s="227" t="str">
        <f>'Project-Level Data'!B119</f>
        <v>Telegraph Canyon Channel Improvement Project</v>
      </c>
      <c r="C279" s="475" t="str">
        <f>'Project-Level Data'!C119</f>
        <v>Stormwater BMPs</v>
      </c>
      <c r="D279" s="477"/>
      <c r="E279" s="255">
        <f>'Project-Level Data'!O119</f>
        <v>2</v>
      </c>
      <c r="F279" s="80" t="str">
        <f>'Project-Level Data'!BL119</f>
        <v>No Response</v>
      </c>
      <c r="G279" s="289" t="str">
        <f t="shared" si="53"/>
        <v>NA</v>
      </c>
      <c r="H279" s="255">
        <f>'Project-Level Data'!N119</f>
        <v>2</v>
      </c>
      <c r="I279" s="152" t="str">
        <f>'Project-Level Data'!BM119</f>
        <v>No Response</v>
      </c>
      <c r="J279" s="289" t="str">
        <f t="shared" si="54"/>
        <v>NA</v>
      </c>
      <c r="K279" s="155" t="str">
        <f>'Project-Level Data'!BN119</f>
        <v>No Response</v>
      </c>
      <c r="L279" s="156" t="str">
        <f>'Project-Level Data'!BO119</f>
        <v>No Response</v>
      </c>
      <c r="N279" s="545"/>
      <c r="O279" s="545"/>
      <c r="Q279" s="85"/>
    </row>
    <row r="280" spans="2:17" s="11" customFormat="1" hidden="1" x14ac:dyDescent="0.25">
      <c r="B280" s="227" t="str">
        <f>'Project-Level Data'!B126</f>
        <v>Woodside Avenue Complete Green Street</v>
      </c>
      <c r="C280" s="475" t="str">
        <f>'Project-Level Data'!C126</f>
        <v>Stormwater BMPs</v>
      </c>
      <c r="D280" s="477"/>
      <c r="E280" s="255">
        <f>'Project-Level Data'!O126</f>
        <v>2</v>
      </c>
      <c r="F280" s="80">
        <f>'Project-Level Data'!BL126</f>
        <v>5</v>
      </c>
      <c r="G280" s="289">
        <f t="shared" si="53"/>
        <v>4</v>
      </c>
      <c r="H280" s="255">
        <f>'Project-Level Data'!N126</f>
        <v>2</v>
      </c>
      <c r="I280" s="152">
        <f>'Project-Level Data'!BM126</f>
        <v>3</v>
      </c>
      <c r="J280" s="289">
        <f t="shared" si="54"/>
        <v>3</v>
      </c>
      <c r="K280" s="155">
        <f>'Project-Level Data'!BN126</f>
        <v>4</v>
      </c>
      <c r="L280" s="156">
        <f>'Project-Level Data'!BO126</f>
        <v>3</v>
      </c>
      <c r="N280" s="545"/>
      <c r="O280" s="545"/>
      <c r="Q280" s="85"/>
    </row>
    <row r="281" spans="2:17" s="11" customFormat="1" hidden="1" x14ac:dyDescent="0.25">
      <c r="B281" s="227" t="str">
        <f>'Project-Level Data'!B57</f>
        <v>Murray Urban Runoff Diversion System Capture</v>
      </c>
      <c r="C281" s="475" t="str">
        <f>'Project-Level Data'!C57</f>
        <v>Stormwater Capture</v>
      </c>
      <c r="D281" s="477"/>
      <c r="E281" s="254">
        <f>'Project-Level Data'!O57</f>
        <v>2</v>
      </c>
      <c r="F281" s="80" t="str">
        <f>'Project-Level Data'!BL57</f>
        <v>MISSING</v>
      </c>
      <c r="G281" s="289" t="str">
        <f t="shared" si="53"/>
        <v>NA</v>
      </c>
      <c r="H281" s="255">
        <f>'Project-Level Data'!N57</f>
        <v>2</v>
      </c>
      <c r="I281" s="152">
        <f>'Project-Level Data'!BM57</f>
        <v>3</v>
      </c>
      <c r="J281" s="289">
        <f t="shared" si="54"/>
        <v>3</v>
      </c>
      <c r="K281" s="155">
        <f>'Project-Level Data'!BN57</f>
        <v>5</v>
      </c>
      <c r="L281" s="156">
        <f>'Project-Level Data'!BO57</f>
        <v>4</v>
      </c>
      <c r="N281" s="545"/>
      <c r="O281" s="545"/>
      <c r="Q281" s="85"/>
    </row>
    <row r="282" spans="2:17" s="11" customFormat="1" hidden="1" x14ac:dyDescent="0.25">
      <c r="B282" s="227" t="str">
        <f>'Project-Level Data'!B77</f>
        <v>Rainwater harvesting</v>
      </c>
      <c r="C282" s="475" t="str">
        <f>'Project-Level Data'!C77</f>
        <v>Stormwater Capture</v>
      </c>
      <c r="D282" s="477"/>
      <c r="E282" s="255" t="str">
        <f>'Project-Level Data'!O77</f>
        <v>NOT MAPPED</v>
      </c>
      <c r="F282" s="80">
        <f>'Project-Level Data'!BL77</f>
        <v>3</v>
      </c>
      <c r="G282" s="289">
        <f t="shared" si="53"/>
        <v>3</v>
      </c>
      <c r="H282" s="255" t="str">
        <f>'Project-Level Data'!N77</f>
        <v>NOT MAPPED</v>
      </c>
      <c r="I282" s="152">
        <f>'Project-Level Data'!BM77</f>
        <v>3</v>
      </c>
      <c r="J282" s="289">
        <f t="shared" si="54"/>
        <v>3</v>
      </c>
      <c r="K282" s="155">
        <f>'Project-Level Data'!BN77</f>
        <v>5</v>
      </c>
      <c r="L282" s="156">
        <f>'Project-Level Data'!BO77</f>
        <v>5</v>
      </c>
      <c r="N282" s="545"/>
      <c r="O282" s="545"/>
      <c r="Q282" s="85"/>
    </row>
    <row r="283" spans="2:17" s="11" customFormat="1" hidden="1" x14ac:dyDescent="0.25">
      <c r="B283" s="227" t="str">
        <f>'Project-Level Data'!B55</f>
        <v xml:space="preserve">Ms. Smarty-Plants Grows Water-Wise Schools </v>
      </c>
      <c r="C283" s="475" t="str">
        <f>'Project-Level Data'!C55</f>
        <v>Urban and Agricultural Water Use Efficiency</v>
      </c>
      <c r="D283" s="477"/>
      <c r="E283" s="254">
        <f>'Project-Level Data'!O55</f>
        <v>2</v>
      </c>
      <c r="F283" s="80" t="str">
        <f>'Project-Level Data'!BL55</f>
        <v>No Response</v>
      </c>
      <c r="G283" s="289" t="str">
        <f t="shared" si="53"/>
        <v>NA</v>
      </c>
      <c r="H283" s="255">
        <f>'Project-Level Data'!N55</f>
        <v>2</v>
      </c>
      <c r="I283" s="152" t="str">
        <f>'Project-Level Data'!BM55</f>
        <v>No Response</v>
      </c>
      <c r="J283" s="289" t="str">
        <f t="shared" si="54"/>
        <v>NA</v>
      </c>
      <c r="K283" s="155" t="str">
        <f>'Project-Level Data'!BN55</f>
        <v>No Response</v>
      </c>
      <c r="L283" s="156" t="str">
        <f>'Project-Level Data'!BO55</f>
        <v>No Response</v>
      </c>
      <c r="N283" s="545"/>
      <c r="O283" s="545"/>
      <c r="Q283" s="85"/>
    </row>
    <row r="284" spans="2:17" s="11" customFormat="1" hidden="1" x14ac:dyDescent="0.25">
      <c r="B284" s="227" t="str">
        <f>'Project-Level Data'!B81</f>
        <v>Regional Demand Management Program Expansion</v>
      </c>
      <c r="C284" s="475" t="str">
        <f>'Project-Level Data'!C81</f>
        <v>Urban and Agricultural Water Use Efficiency</v>
      </c>
      <c r="D284" s="477"/>
      <c r="E284" s="255">
        <f>'Project-Level Data'!O81</f>
        <v>2</v>
      </c>
      <c r="F284" s="80" t="str">
        <f>'Project-Level Data'!BL81</f>
        <v>MISSING</v>
      </c>
      <c r="G284" s="289" t="str">
        <f t="shared" ref="G284:G307" si="55">IF(F284=3,3, IF(ISERROR(E284*F284), "NA", IF(AND(F284=1,E284=1),1, IF(AND(F284=1,E284=2),2, IF(AND(F284=5,E284=2),4, IF(AND(F284=5,E284=1),5))))))</f>
        <v>NA</v>
      </c>
      <c r="H284" s="255">
        <f>'Project-Level Data'!N81</f>
        <v>2</v>
      </c>
      <c r="I284" s="152" t="str">
        <f>'Project-Level Data'!BM81</f>
        <v>MISSING</v>
      </c>
      <c r="J284" s="289" t="str">
        <f t="shared" ref="J284:J307" si="56">IF(I284=3,3, IF(ISERROR(H284*I284), "NA", IF(AND(I284=1,H284=1),1, IF(AND(I284=1,H284=2),2, IF(AND(I284=5,H284=2),4, IF(AND(I284=5,H284=1),5))))))</f>
        <v>NA</v>
      </c>
      <c r="K284" s="155">
        <f>'Project-Level Data'!BN81</f>
        <v>3</v>
      </c>
      <c r="L284" s="156">
        <f>'Project-Level Data'!BO81</f>
        <v>3</v>
      </c>
      <c r="N284" s="545"/>
      <c r="O284" s="545"/>
      <c r="Q284" s="85"/>
    </row>
    <row r="285" spans="2:17" s="11" customFormat="1" hidden="1" x14ac:dyDescent="0.25">
      <c r="B285" s="227" t="str">
        <f>'Project-Level Data'!B82</f>
        <v>Regional Drought Resilience Program</v>
      </c>
      <c r="C285" s="475" t="str">
        <f>'Project-Level Data'!C82</f>
        <v>Urban and Agricultural Water Use Efficiency</v>
      </c>
      <c r="D285" s="477"/>
      <c r="E285" s="255">
        <f>'Project-Level Data'!O82</f>
        <v>2</v>
      </c>
      <c r="F285" s="80" t="str">
        <f>'Project-Level Data'!BL82</f>
        <v>MISSING</v>
      </c>
      <c r="G285" s="289" t="str">
        <f t="shared" si="55"/>
        <v>NA</v>
      </c>
      <c r="H285" s="255">
        <f>'Project-Level Data'!N82</f>
        <v>1</v>
      </c>
      <c r="I285" s="152" t="str">
        <f>'Project-Level Data'!BM82</f>
        <v>MISSING</v>
      </c>
      <c r="J285" s="289" t="str">
        <f t="shared" si="56"/>
        <v>NA</v>
      </c>
      <c r="K285" s="155">
        <f>'Project-Level Data'!BN82</f>
        <v>3</v>
      </c>
      <c r="L285" s="156">
        <f>'Project-Level Data'!BO82</f>
        <v>3</v>
      </c>
      <c r="N285" s="545"/>
      <c r="O285" s="545"/>
      <c r="Q285" s="85"/>
    </row>
    <row r="286" spans="2:17" s="11" customFormat="1" hidden="1" x14ac:dyDescent="0.25">
      <c r="B286" s="227" t="str">
        <f>'Project-Level Data'!B84</f>
        <v>Rincon Customer-Driven Demand Management Program</v>
      </c>
      <c r="C286" s="475" t="str">
        <f>'Project-Level Data'!C84</f>
        <v>Urban and Agricultural Water Use Efficiency</v>
      </c>
      <c r="D286" s="477"/>
      <c r="E286" s="255" t="str">
        <f>'Project-Level Data'!O84</f>
        <v>NOT MAPPED</v>
      </c>
      <c r="F286" s="80" t="str">
        <f>'Project-Level Data'!BL84</f>
        <v>No Response</v>
      </c>
      <c r="G286" s="289" t="str">
        <f t="shared" si="55"/>
        <v>NA</v>
      </c>
      <c r="H286" s="255" t="str">
        <f>'Project-Level Data'!N84</f>
        <v>NOT MAPPED</v>
      </c>
      <c r="I286" s="152" t="str">
        <f>'Project-Level Data'!BM84</f>
        <v>No Response</v>
      </c>
      <c r="J286" s="289" t="str">
        <f t="shared" si="56"/>
        <v>NA</v>
      </c>
      <c r="K286" s="155" t="str">
        <f>'Project-Level Data'!BN84</f>
        <v>No Response</v>
      </c>
      <c r="L286" s="156" t="str">
        <f>'Project-Level Data'!BO84</f>
        <v>No Response</v>
      </c>
      <c r="N286" s="545"/>
      <c r="O286" s="545"/>
      <c r="Q286" s="85"/>
    </row>
    <row r="287" spans="2:17" s="11" customFormat="1" hidden="1" x14ac:dyDescent="0.25">
      <c r="B287" s="227" t="str">
        <f>'Project-Level Data'!B92</f>
        <v>San Diego Water Conservation Program</v>
      </c>
      <c r="C287" s="475" t="str">
        <f>'Project-Level Data'!C92</f>
        <v>Urban and Agricultural Water Use Efficiency</v>
      </c>
      <c r="D287" s="477"/>
      <c r="E287" s="255" t="str">
        <f>'Project-Level Data'!O92</f>
        <v>NOT MAPPED</v>
      </c>
      <c r="F287" s="80">
        <f>'Project-Level Data'!BL92</f>
        <v>5</v>
      </c>
      <c r="G287" s="289" t="str">
        <f t="shared" si="55"/>
        <v>NA</v>
      </c>
      <c r="H287" s="255" t="str">
        <f>'Project-Level Data'!N92</f>
        <v>NOT MAPPED</v>
      </c>
      <c r="I287" s="152">
        <f>'Project-Level Data'!BM92</f>
        <v>5</v>
      </c>
      <c r="J287" s="289" t="str">
        <f t="shared" si="56"/>
        <v>NA</v>
      </c>
      <c r="K287" s="155">
        <f>'Project-Level Data'!BN92</f>
        <v>5</v>
      </c>
      <c r="L287" s="156">
        <f>'Project-Level Data'!BO92</f>
        <v>5</v>
      </c>
      <c r="N287" s="545"/>
      <c r="O287" s="545"/>
      <c r="Q287" s="85"/>
    </row>
    <row r="288" spans="2:17" s="11" customFormat="1" hidden="1" x14ac:dyDescent="0.25">
      <c r="B288" s="227" t="str">
        <f>'Project-Level Data'!B93</f>
        <v>San Diego Water Use Reduction Program</v>
      </c>
      <c r="C288" s="475" t="str">
        <f>'Project-Level Data'!C93</f>
        <v>Urban and Agricultural Water Use Efficiency</v>
      </c>
      <c r="D288" s="477"/>
      <c r="E288" s="255" t="str">
        <f>'Project-Level Data'!O93</f>
        <v>NOT MAPPED</v>
      </c>
      <c r="F288" s="80">
        <f>'Project-Level Data'!BL93</f>
        <v>3</v>
      </c>
      <c r="G288" s="289">
        <f t="shared" si="55"/>
        <v>3</v>
      </c>
      <c r="H288" s="255" t="str">
        <f>'Project-Level Data'!N93</f>
        <v>NOT MAPPED</v>
      </c>
      <c r="I288" s="152">
        <f>'Project-Level Data'!BM93</f>
        <v>3</v>
      </c>
      <c r="J288" s="289">
        <f t="shared" si="56"/>
        <v>3</v>
      </c>
      <c r="K288" s="155">
        <f>'Project-Level Data'!BN93</f>
        <v>4</v>
      </c>
      <c r="L288" s="156">
        <f>'Project-Level Data'!BO93</f>
        <v>5</v>
      </c>
      <c r="N288" s="545"/>
      <c r="O288" s="545"/>
      <c r="Q288" s="85"/>
    </row>
    <row r="289" spans="2:17" s="11" customFormat="1" ht="25.5" hidden="1" x14ac:dyDescent="0.25">
      <c r="B289" s="227" t="str">
        <f>'Project-Level Data'!B121</f>
        <v>UC San Diego Water Conservation and Watershed Protection</v>
      </c>
      <c r="C289" s="475" t="str">
        <f>'Project-Level Data'!C121</f>
        <v>Urban and Agricultural Water Use Efficiency</v>
      </c>
      <c r="D289" s="477"/>
      <c r="E289" s="255">
        <f>'Project-Level Data'!O121</f>
        <v>2</v>
      </c>
      <c r="F289" s="80">
        <f>'Project-Level Data'!BL121</f>
        <v>5</v>
      </c>
      <c r="G289" s="289">
        <f t="shared" si="55"/>
        <v>4</v>
      </c>
      <c r="H289" s="255">
        <f>'Project-Level Data'!N121</f>
        <v>2</v>
      </c>
      <c r="I289" s="152">
        <f>'Project-Level Data'!BM121</f>
        <v>3</v>
      </c>
      <c r="J289" s="289">
        <f t="shared" si="56"/>
        <v>3</v>
      </c>
      <c r="K289" s="155">
        <f>'Project-Level Data'!BN121</f>
        <v>4</v>
      </c>
      <c r="L289" s="156">
        <f>'Project-Level Data'!BO121</f>
        <v>5</v>
      </c>
      <c r="N289" s="545"/>
      <c r="O289" s="545"/>
      <c r="Q289" s="85"/>
    </row>
    <row r="290" spans="2:17" s="11" customFormat="1" hidden="1" x14ac:dyDescent="0.25">
      <c r="B290" s="227" t="str">
        <f>'Project-Level Data'!B7</f>
        <v>69th St Green Street</v>
      </c>
      <c r="C290" s="475" t="str">
        <f>'Project-Level Data'!C7</f>
        <v>Watershed and Ecosystem Management</v>
      </c>
      <c r="D290" s="477"/>
      <c r="E290" s="254">
        <f>'Project-Level Data'!O7</f>
        <v>2</v>
      </c>
      <c r="F290" s="80">
        <f>'Project-Level Data'!BL7</f>
        <v>5</v>
      </c>
      <c r="G290" s="289">
        <f t="shared" si="55"/>
        <v>4</v>
      </c>
      <c r="H290" s="255">
        <f>'Project-Level Data'!N7</f>
        <v>1</v>
      </c>
      <c r="I290" s="152">
        <f>'Project-Level Data'!BM7</f>
        <v>3</v>
      </c>
      <c r="J290" s="289">
        <f t="shared" si="56"/>
        <v>3</v>
      </c>
      <c r="K290" s="155">
        <f>'Project-Level Data'!BN7</f>
        <v>3</v>
      </c>
      <c r="L290" s="156">
        <f>'Project-Level Data'!BO7</f>
        <v>5</v>
      </c>
      <c r="N290" s="545"/>
      <c r="O290" s="545"/>
      <c r="Q290" s="85"/>
    </row>
    <row r="291" spans="2:17" s="11" customFormat="1" ht="38.25" hidden="1" x14ac:dyDescent="0.25">
      <c r="B291" s="227" t="str">
        <f>'Project-Level Data'!B8</f>
        <v>Alternative Compliance Retrofit Project Avenida Del Diablo Park,
Escondido</v>
      </c>
      <c r="C291" s="475" t="str">
        <f>'Project-Level Data'!C8</f>
        <v>Watershed and Ecosystem Management</v>
      </c>
      <c r="D291" s="477"/>
      <c r="E291" s="254">
        <f>'Project-Level Data'!O8</f>
        <v>1</v>
      </c>
      <c r="F291" s="80" t="str">
        <f>'Project-Level Data'!BL8</f>
        <v>No Response</v>
      </c>
      <c r="G291" s="289" t="str">
        <f t="shared" si="55"/>
        <v>NA</v>
      </c>
      <c r="H291" s="255">
        <f>'Project-Level Data'!N8</f>
        <v>1</v>
      </c>
      <c r="I291" s="152" t="str">
        <f>'Project-Level Data'!BM8</f>
        <v>No Response</v>
      </c>
      <c r="J291" s="289" t="str">
        <f t="shared" si="56"/>
        <v>NA</v>
      </c>
      <c r="K291" s="155" t="str">
        <f>'Project-Level Data'!BN8</f>
        <v>No Response</v>
      </c>
      <c r="L291" s="156" t="str">
        <f>'Project-Level Data'!BO8</f>
        <v>No Response</v>
      </c>
      <c r="N291" s="545"/>
      <c r="O291" s="545"/>
      <c r="Q291" s="85"/>
    </row>
    <row r="292" spans="2:17" s="11" customFormat="1" hidden="1" x14ac:dyDescent="0.25">
      <c r="B292" s="227" t="str">
        <f>'Project-Level Data'!B13</f>
        <v>Broadway/Federal Blvd Green Street</v>
      </c>
      <c r="C292" s="475" t="str">
        <f>'Project-Level Data'!C13</f>
        <v>Watershed and Ecosystem Management</v>
      </c>
      <c r="D292" s="477"/>
      <c r="E292" s="254">
        <f>'Project-Level Data'!O13</f>
        <v>2</v>
      </c>
      <c r="F292" s="80">
        <f>'Project-Level Data'!BL13</f>
        <v>5</v>
      </c>
      <c r="G292" s="289">
        <f t="shared" si="55"/>
        <v>4</v>
      </c>
      <c r="H292" s="255">
        <f>'Project-Level Data'!N13</f>
        <v>1</v>
      </c>
      <c r="I292" s="152">
        <f>'Project-Level Data'!BM13</f>
        <v>3</v>
      </c>
      <c r="J292" s="289">
        <f t="shared" si="56"/>
        <v>3</v>
      </c>
      <c r="K292" s="155">
        <f>'Project-Level Data'!BN13</f>
        <v>3</v>
      </c>
      <c r="L292" s="156">
        <f>'Project-Level Data'!BO13</f>
        <v>5</v>
      </c>
      <c r="N292" s="545"/>
      <c r="O292" s="545"/>
      <c r="Q292" s="85"/>
    </row>
    <row r="293" spans="2:17" s="11" customFormat="1" hidden="1" x14ac:dyDescent="0.25">
      <c r="B293" s="227" t="str">
        <f>'Project-Level Data'!B16</f>
        <v>Canton Dr Green Street</v>
      </c>
      <c r="C293" s="475" t="str">
        <f>'Project-Level Data'!C16</f>
        <v>Watershed and Ecosystem Management</v>
      </c>
      <c r="D293" s="477"/>
      <c r="E293" s="254">
        <f>'Project-Level Data'!O16</f>
        <v>2</v>
      </c>
      <c r="F293" s="80">
        <f>'Project-Level Data'!BL16</f>
        <v>5</v>
      </c>
      <c r="G293" s="289">
        <f t="shared" si="55"/>
        <v>4</v>
      </c>
      <c r="H293" s="255">
        <f>'Project-Level Data'!N16</f>
        <v>1</v>
      </c>
      <c r="I293" s="152">
        <f>'Project-Level Data'!BM16</f>
        <v>3</v>
      </c>
      <c r="J293" s="289">
        <f t="shared" si="56"/>
        <v>3</v>
      </c>
      <c r="K293" s="155">
        <f>'Project-Level Data'!BN16</f>
        <v>3</v>
      </c>
      <c r="L293" s="156">
        <f>'Project-Level Data'!BO16</f>
        <v>5</v>
      </c>
      <c r="N293" s="545"/>
      <c r="O293" s="545"/>
      <c r="Q293" s="85"/>
    </row>
    <row r="294" spans="2:17" s="11" customFormat="1" hidden="1" x14ac:dyDescent="0.25">
      <c r="B294" s="227" t="str">
        <f>'Project-Level Data'!B19</f>
        <v>Central Avenue Green Street</v>
      </c>
      <c r="C294" s="475" t="str">
        <f>'Project-Level Data'!C19</f>
        <v>Watershed and Ecosystem Management</v>
      </c>
      <c r="D294" s="477"/>
      <c r="E294" s="254">
        <f>'Project-Level Data'!O19</f>
        <v>2</v>
      </c>
      <c r="F294" s="80">
        <f>'Project-Level Data'!BL19</f>
        <v>5</v>
      </c>
      <c r="G294" s="289">
        <f t="shared" si="55"/>
        <v>4</v>
      </c>
      <c r="H294" s="255">
        <f>'Project-Level Data'!N19</f>
        <v>1</v>
      </c>
      <c r="I294" s="152">
        <f>'Project-Level Data'!BM19</f>
        <v>3</v>
      </c>
      <c r="J294" s="289">
        <f t="shared" si="56"/>
        <v>3</v>
      </c>
      <c r="K294" s="155">
        <f>'Project-Level Data'!BN19</f>
        <v>3</v>
      </c>
      <c r="L294" s="156">
        <f>'Project-Level Data'!BO19</f>
        <v>5</v>
      </c>
      <c r="N294" s="547"/>
      <c r="O294" s="547"/>
      <c r="Q294" s="85"/>
    </row>
    <row r="295" spans="2:17" s="11" customFormat="1" hidden="1" x14ac:dyDescent="0.25">
      <c r="B295" s="227" t="str">
        <f>'Project-Level Data'!B30</f>
        <v>Federal Blvd Channel</v>
      </c>
      <c r="C295" s="475" t="str">
        <f>'Project-Level Data'!C30</f>
        <v>Watershed and Ecosystem Management</v>
      </c>
      <c r="D295" s="477"/>
      <c r="E295" s="254">
        <f>'Project-Level Data'!O30</f>
        <v>2</v>
      </c>
      <c r="F295" s="80">
        <f>'Project-Level Data'!BL30</f>
        <v>5</v>
      </c>
      <c r="G295" s="289">
        <f t="shared" si="55"/>
        <v>4</v>
      </c>
      <c r="H295" s="255">
        <f>'Project-Level Data'!N30</f>
        <v>1</v>
      </c>
      <c r="I295" s="152">
        <f>'Project-Level Data'!BM30</f>
        <v>3</v>
      </c>
      <c r="J295" s="289">
        <f t="shared" si="56"/>
        <v>3</v>
      </c>
      <c r="K295" s="155">
        <f>'Project-Level Data'!BN30</f>
        <v>3</v>
      </c>
      <c r="L295" s="156">
        <f>'Project-Level Data'!BO30</f>
        <v>5</v>
      </c>
      <c r="N295" s="545"/>
      <c r="O295" s="545"/>
      <c r="Q295" s="85"/>
    </row>
    <row r="296" spans="2:17" s="11" customFormat="1" hidden="1" x14ac:dyDescent="0.25">
      <c r="B296" s="227" t="str">
        <f>'Project-Level Data'!B31</f>
        <v>Hodges Water Quality Improvement Program</v>
      </c>
      <c r="C296" s="475" t="str">
        <f>'Project-Level Data'!C31</f>
        <v>Watershed and Ecosystem Management</v>
      </c>
      <c r="D296" s="477"/>
      <c r="E296" s="254">
        <f>'Project-Level Data'!O31</f>
        <v>1</v>
      </c>
      <c r="F296" s="80">
        <f>'Project-Level Data'!BL31</f>
        <v>5</v>
      </c>
      <c r="G296" s="289">
        <f t="shared" si="55"/>
        <v>5</v>
      </c>
      <c r="H296" s="255">
        <f>'Project-Level Data'!N31</f>
        <v>2</v>
      </c>
      <c r="I296" s="152">
        <f>'Project-Level Data'!BM31</f>
        <v>3</v>
      </c>
      <c r="J296" s="289">
        <f t="shared" si="56"/>
        <v>3</v>
      </c>
      <c r="K296" s="155">
        <f>'Project-Level Data'!BN31</f>
        <v>3</v>
      </c>
      <c r="L296" s="156">
        <f>'Project-Level Data'!BO31</f>
        <v>3</v>
      </c>
      <c r="N296" s="545"/>
      <c r="O296" s="545"/>
      <c r="Q296" s="85"/>
    </row>
    <row r="297" spans="2:17" s="11" customFormat="1" hidden="1" x14ac:dyDescent="0.25">
      <c r="B297" s="227" t="str">
        <f>'Project-Level Data'!B49</f>
        <v>Massachusetts Blvd Green Street</v>
      </c>
      <c r="C297" s="475" t="str">
        <f>'Project-Level Data'!C49</f>
        <v>Watershed and Ecosystem Management</v>
      </c>
      <c r="D297" s="477"/>
      <c r="E297" s="254">
        <f>'Project-Level Data'!O49</f>
        <v>2</v>
      </c>
      <c r="F297" s="80">
        <f>'Project-Level Data'!BL49</f>
        <v>5</v>
      </c>
      <c r="G297" s="289">
        <f t="shared" si="55"/>
        <v>4</v>
      </c>
      <c r="H297" s="255">
        <f>'Project-Level Data'!N49</f>
        <v>1</v>
      </c>
      <c r="I297" s="152">
        <f>'Project-Level Data'!BM49</f>
        <v>3</v>
      </c>
      <c r="J297" s="289">
        <f t="shared" si="56"/>
        <v>3</v>
      </c>
      <c r="K297" s="155">
        <f>'Project-Level Data'!BN49</f>
        <v>3</v>
      </c>
      <c r="L297" s="156">
        <f>'Project-Level Data'!BO49</f>
        <v>5</v>
      </c>
      <c r="N297" s="545"/>
      <c r="O297" s="545"/>
      <c r="Q297" s="85"/>
    </row>
    <row r="298" spans="2:17" s="11" customFormat="1" hidden="1" x14ac:dyDescent="0.25">
      <c r="B298" s="227" t="str">
        <f>'Project-Level Data'!B56</f>
        <v>Mt. Vernon St Green Street</v>
      </c>
      <c r="C298" s="475" t="str">
        <f>'Project-Level Data'!C56</f>
        <v>Watershed and Ecosystem Management</v>
      </c>
      <c r="D298" s="477"/>
      <c r="E298" s="254">
        <f>'Project-Level Data'!O56</f>
        <v>2</v>
      </c>
      <c r="F298" s="80">
        <f>'Project-Level Data'!BL56</f>
        <v>5</v>
      </c>
      <c r="G298" s="289">
        <f t="shared" si="55"/>
        <v>4</v>
      </c>
      <c r="H298" s="255">
        <f>'Project-Level Data'!N56</f>
        <v>1</v>
      </c>
      <c r="I298" s="152">
        <f>'Project-Level Data'!BM56</f>
        <v>3</v>
      </c>
      <c r="J298" s="289">
        <f t="shared" si="56"/>
        <v>3</v>
      </c>
      <c r="K298" s="155">
        <f>'Project-Level Data'!BN56</f>
        <v>3</v>
      </c>
      <c r="L298" s="156">
        <f>'Project-Level Data'!BO56</f>
        <v>5</v>
      </c>
      <c r="N298" s="545"/>
      <c r="O298" s="545"/>
      <c r="Q298" s="85"/>
    </row>
    <row r="299" spans="2:17" s="11" customFormat="1" hidden="1" x14ac:dyDescent="0.25">
      <c r="B299" s="227" t="str">
        <f>'Project-Level Data'!B58</f>
        <v>Nestor Creek Channel Restoration</v>
      </c>
      <c r="C299" s="475" t="str">
        <f>'Project-Level Data'!C58</f>
        <v>Watershed and Ecosystem Management</v>
      </c>
      <c r="D299" s="477"/>
      <c r="E299" s="254">
        <f>'Project-Level Data'!O58</f>
        <v>2</v>
      </c>
      <c r="F299" s="80" t="str">
        <f>'Project-Level Data'!BL58</f>
        <v>No Response</v>
      </c>
      <c r="G299" s="289" t="str">
        <f t="shared" si="55"/>
        <v>NA</v>
      </c>
      <c r="H299" s="255">
        <f>'Project-Level Data'!N58</f>
        <v>2</v>
      </c>
      <c r="I299" s="152" t="str">
        <f>'Project-Level Data'!BM58</f>
        <v>No Response</v>
      </c>
      <c r="J299" s="289" t="str">
        <f t="shared" si="56"/>
        <v>NA</v>
      </c>
      <c r="K299" s="155" t="str">
        <f>'Project-Level Data'!BN58</f>
        <v>No Response</v>
      </c>
      <c r="L299" s="156" t="str">
        <f>'Project-Level Data'!BO58</f>
        <v>No Response</v>
      </c>
      <c r="N299" s="545"/>
      <c r="O299" s="545"/>
      <c r="Q299" s="85"/>
    </row>
    <row r="300" spans="2:17" s="11" customFormat="1" hidden="1" x14ac:dyDescent="0.25">
      <c r="B300" s="227" t="str">
        <f>'Project-Level Data'!B60</f>
        <v>North Ave and Grove Green Street</v>
      </c>
      <c r="C300" s="475" t="str">
        <f>'Project-Level Data'!C60</f>
        <v>Watershed and Ecosystem Management</v>
      </c>
      <c r="D300" s="477"/>
      <c r="E300" s="254">
        <f>'Project-Level Data'!O60</f>
        <v>2</v>
      </c>
      <c r="F300" s="80">
        <f>'Project-Level Data'!BL60</f>
        <v>5</v>
      </c>
      <c r="G300" s="289">
        <f t="shared" si="55"/>
        <v>4</v>
      </c>
      <c r="H300" s="255">
        <f>'Project-Level Data'!N60</f>
        <v>1</v>
      </c>
      <c r="I300" s="152">
        <f>'Project-Level Data'!BM60</f>
        <v>3</v>
      </c>
      <c r="J300" s="289">
        <f t="shared" si="56"/>
        <v>3</v>
      </c>
      <c r="K300" s="155">
        <f>'Project-Level Data'!BN60</f>
        <v>3</v>
      </c>
      <c r="L300" s="156">
        <f>'Project-Level Data'!BO60</f>
        <v>5</v>
      </c>
      <c r="N300" s="545"/>
      <c r="O300" s="545"/>
      <c r="Q300" s="85"/>
    </row>
    <row r="301" spans="2:17" s="11" customFormat="1" hidden="1" x14ac:dyDescent="0.25">
      <c r="B301" s="227" t="str">
        <f>'Project-Level Data'!B69</f>
        <v>Palm St Green Street</v>
      </c>
      <c r="C301" s="475" t="str">
        <f>'Project-Level Data'!C69</f>
        <v>Watershed and Ecosystem Management</v>
      </c>
      <c r="D301" s="477"/>
      <c r="E301" s="255">
        <f>'Project-Level Data'!O69</f>
        <v>2</v>
      </c>
      <c r="F301" s="80">
        <f>'Project-Level Data'!BL69</f>
        <v>5</v>
      </c>
      <c r="G301" s="289">
        <f t="shared" si="55"/>
        <v>4</v>
      </c>
      <c r="H301" s="255">
        <f>'Project-Level Data'!N69</f>
        <v>1</v>
      </c>
      <c r="I301" s="152">
        <f>'Project-Level Data'!BM69</f>
        <v>3</v>
      </c>
      <c r="J301" s="289">
        <f t="shared" si="56"/>
        <v>3</v>
      </c>
      <c r="K301" s="155">
        <f>'Project-Level Data'!BN69</f>
        <v>3</v>
      </c>
      <c r="L301" s="156">
        <f>'Project-Level Data'!BO69</f>
        <v>5</v>
      </c>
      <c r="N301" s="545"/>
      <c r="O301" s="545"/>
      <c r="Q301" s="85"/>
    </row>
    <row r="302" spans="2:17" s="11" customFormat="1" hidden="1" x14ac:dyDescent="0.25">
      <c r="B302" s="227" t="str">
        <f>'Project-Level Data'!B70</f>
        <v>Paradise Creek Restoration Phase II</v>
      </c>
      <c r="C302" s="475" t="str">
        <f>'Project-Level Data'!C70</f>
        <v>Watershed and Ecosystem Management</v>
      </c>
      <c r="D302" s="477"/>
      <c r="E302" s="255">
        <f>'Project-Level Data'!O70</f>
        <v>2</v>
      </c>
      <c r="F302" s="80">
        <f>'Project-Level Data'!BL70</f>
        <v>5</v>
      </c>
      <c r="G302" s="289">
        <f t="shared" si="55"/>
        <v>4</v>
      </c>
      <c r="H302" s="255">
        <f>'Project-Level Data'!N70</f>
        <v>1</v>
      </c>
      <c r="I302" s="152">
        <f>'Project-Level Data'!BM70</f>
        <v>5</v>
      </c>
      <c r="J302" s="289">
        <f t="shared" si="56"/>
        <v>5</v>
      </c>
      <c r="K302" s="155">
        <f>'Project-Level Data'!BN70</f>
        <v>5</v>
      </c>
      <c r="L302" s="156">
        <f>'Project-Level Data'!BO70</f>
        <v>5</v>
      </c>
      <c r="N302" s="545"/>
      <c r="O302" s="545"/>
      <c r="Q302" s="85"/>
    </row>
    <row r="303" spans="2:17" s="11" customFormat="1" hidden="1" x14ac:dyDescent="0.25">
      <c r="B303" s="227" t="str">
        <f>'Project-Level Data'!B91</f>
        <v>San Diego Healthy Headwaters Restoration</v>
      </c>
      <c r="C303" s="475" t="str">
        <f>'Project-Level Data'!C91</f>
        <v>Watershed and Ecosystem Management</v>
      </c>
      <c r="D303" s="477"/>
      <c r="E303" s="255">
        <f>'Project-Level Data'!O91</f>
        <v>2</v>
      </c>
      <c r="F303" s="80">
        <f>'Project-Level Data'!BL91</f>
        <v>5</v>
      </c>
      <c r="G303" s="289">
        <f t="shared" si="55"/>
        <v>4</v>
      </c>
      <c r="H303" s="255">
        <f>'Project-Level Data'!N91</f>
        <v>2</v>
      </c>
      <c r="I303" s="152">
        <f>'Project-Level Data'!BM91</f>
        <v>5</v>
      </c>
      <c r="J303" s="289">
        <f t="shared" si="56"/>
        <v>4</v>
      </c>
      <c r="K303" s="155">
        <f>'Project-Level Data'!BN91</f>
        <v>3</v>
      </c>
      <c r="L303" s="156">
        <f>'Project-Level Data'!BO91</f>
        <v>3</v>
      </c>
      <c r="N303" s="545"/>
      <c r="O303" s="545"/>
      <c r="Q303" s="85"/>
    </row>
    <row r="304" spans="2:17" s="11" customFormat="1" ht="25.5" hidden="1" x14ac:dyDescent="0.25">
      <c r="B304" s="227" t="str">
        <f>'Project-Level Data'!B113</f>
        <v>Sustaining Healthy Tributaries to the Upper San Diego River and Protecting Local Water Supplies</v>
      </c>
      <c r="C304" s="475" t="str">
        <f>'Project-Level Data'!C113</f>
        <v>Watershed and Ecosystem Management</v>
      </c>
      <c r="D304" s="477"/>
      <c r="E304" s="255">
        <f>'Project-Level Data'!O113</f>
        <v>2</v>
      </c>
      <c r="F304" s="80" t="str">
        <f>'Project-Level Data'!BL113</f>
        <v>No Response</v>
      </c>
      <c r="G304" s="289" t="str">
        <f t="shared" si="55"/>
        <v>NA</v>
      </c>
      <c r="H304" s="255">
        <f>'Project-Level Data'!N113</f>
        <v>2</v>
      </c>
      <c r="I304" s="152" t="str">
        <f>'Project-Level Data'!BM113</f>
        <v>No Response</v>
      </c>
      <c r="J304" s="289" t="str">
        <f t="shared" si="56"/>
        <v>NA</v>
      </c>
      <c r="K304" s="291" t="str">
        <f>'Project-Level Data'!BN113</f>
        <v>No Response</v>
      </c>
      <c r="L304" s="292" t="str">
        <f>'Project-Level Data'!BO113</f>
        <v>No Response</v>
      </c>
      <c r="N304" s="545"/>
      <c r="O304" s="545"/>
      <c r="Q304" s="85"/>
    </row>
    <row r="305" spans="2:17" s="11" customFormat="1" hidden="1" x14ac:dyDescent="0.25">
      <c r="B305" s="227" t="str">
        <f>'Project-Level Data'!B115</f>
        <v>Sweetwater Reservoir Wetlands Habitat Recovery</v>
      </c>
      <c r="C305" s="475" t="str">
        <f>'Project-Level Data'!C115</f>
        <v>Watershed and Ecosystem Management</v>
      </c>
      <c r="D305" s="477"/>
      <c r="E305" s="255">
        <f>'Project-Level Data'!O115</f>
        <v>1</v>
      </c>
      <c r="F305" s="80">
        <f>'Project-Level Data'!BL115</f>
        <v>5</v>
      </c>
      <c r="G305" s="289">
        <f t="shared" si="55"/>
        <v>5</v>
      </c>
      <c r="H305" s="255">
        <f>'Project-Level Data'!N115</f>
        <v>2</v>
      </c>
      <c r="I305" s="152">
        <f>'Project-Level Data'!BM115</f>
        <v>3</v>
      </c>
      <c r="J305" s="289">
        <f t="shared" si="56"/>
        <v>3</v>
      </c>
      <c r="K305" s="155">
        <f>'Project-Level Data'!BN115</f>
        <v>4</v>
      </c>
      <c r="L305" s="156">
        <f>'Project-Level Data'!BO115</f>
        <v>3</v>
      </c>
      <c r="N305" s="545"/>
      <c r="O305" s="545"/>
      <c r="Q305" s="85"/>
    </row>
    <row r="306" spans="2:17" s="11" customFormat="1" hidden="1" x14ac:dyDescent="0.25">
      <c r="B306" s="227" t="str">
        <f>'Project-Level Data'!B117</f>
        <v>Sycamore Creek Restoration</v>
      </c>
      <c r="C306" s="475" t="str">
        <f>'Project-Level Data'!C117</f>
        <v>Watershed and Ecosystem Management</v>
      </c>
      <c r="D306" s="477"/>
      <c r="E306" s="255">
        <f>'Project-Level Data'!O117</f>
        <v>1</v>
      </c>
      <c r="F306" s="80">
        <f>'Project-Level Data'!BL117</f>
        <v>3</v>
      </c>
      <c r="G306" s="289">
        <f t="shared" si="55"/>
        <v>3</v>
      </c>
      <c r="H306" s="255">
        <f>'Project-Level Data'!N117</f>
        <v>2</v>
      </c>
      <c r="I306" s="152">
        <f>'Project-Level Data'!BM117</f>
        <v>3</v>
      </c>
      <c r="J306" s="289">
        <f t="shared" si="56"/>
        <v>3</v>
      </c>
      <c r="K306" s="155">
        <f>'Project-Level Data'!BN117</f>
        <v>3</v>
      </c>
      <c r="L306" s="156">
        <f>'Project-Level Data'!BO117</f>
        <v>3</v>
      </c>
      <c r="N306" s="545"/>
      <c r="O306" s="545"/>
      <c r="Q306" s="85"/>
    </row>
    <row r="307" spans="2:17" s="11" customFormat="1" ht="40.5" hidden="1" customHeight="1" thickBot="1" x14ac:dyDescent="0.3">
      <c r="B307" s="508" t="str">
        <f>'Project-Level Data'!B120</f>
        <v>Tijuana River Floating Trash Capture System</v>
      </c>
      <c r="C307" s="509" t="str">
        <f>'Project-Level Data'!C120</f>
        <v>Watershed and Ecosystem Management</v>
      </c>
      <c r="D307" s="510"/>
      <c r="E307" s="536">
        <f>'Project-Level Data'!O120</f>
        <v>2</v>
      </c>
      <c r="F307" s="537" t="str">
        <f>'Project-Level Data'!BL120</f>
        <v>No Response</v>
      </c>
      <c r="G307" s="538" t="str">
        <f t="shared" si="55"/>
        <v>NA</v>
      </c>
      <c r="H307" s="536">
        <f>'Project-Level Data'!N120</f>
        <v>2</v>
      </c>
      <c r="I307" s="539" t="str">
        <f>'Project-Level Data'!BM120</f>
        <v>No Response</v>
      </c>
      <c r="J307" s="538" t="str">
        <f t="shared" si="56"/>
        <v>NA</v>
      </c>
      <c r="K307" s="540" t="str">
        <f>'Project-Level Data'!BN120</f>
        <v>No Response</v>
      </c>
      <c r="L307" s="541" t="str">
        <f>'Project-Level Data'!BO120</f>
        <v>No Response</v>
      </c>
      <c r="N307" s="545"/>
      <c r="O307" s="545"/>
      <c r="Q307" s="85"/>
    </row>
    <row r="308" spans="2:17" s="11" customFormat="1" hidden="1" x14ac:dyDescent="0.25">
      <c r="B308" s="370"/>
      <c r="C308" s="533" t="s">
        <v>860</v>
      </c>
      <c r="D308" s="515"/>
      <c r="E308" s="490">
        <f>COUNTIFS(E188:E307, "=NOT MAPPED")</f>
        <v>9</v>
      </c>
      <c r="F308" s="486">
        <f>COUNTIFS(F188:F307, "=MISSING")</f>
        <v>17</v>
      </c>
      <c r="G308" s="542"/>
      <c r="H308" s="490">
        <f>COUNTIFS(H188:H307, "=NOT MAPPED")</f>
        <v>9</v>
      </c>
      <c r="I308" s="486">
        <f>COUNTIFS(I188:I307, "=MISSING")</f>
        <v>16</v>
      </c>
      <c r="J308" s="542"/>
      <c r="K308" s="543">
        <f>COUNTIFS(K188:K307, "=MISSING")</f>
        <v>2</v>
      </c>
      <c r="L308" s="544">
        <f>COUNTIFS(L188:L307, "=MISSING")</f>
        <v>2</v>
      </c>
      <c r="N308" s="545"/>
      <c r="O308" s="545"/>
      <c r="Q308" s="85"/>
    </row>
    <row r="309" spans="2:17" s="11" customFormat="1" hidden="1" x14ac:dyDescent="0.25">
      <c r="B309" s="227"/>
      <c r="C309" s="516" t="s">
        <v>856</v>
      </c>
      <c r="D309" s="516"/>
      <c r="E309" s="395">
        <f>COUNTIFS(E188:E307, "=No Response")</f>
        <v>0</v>
      </c>
      <c r="F309" s="379">
        <f>COUNTIFS(F188:F307, "=No Response")</f>
        <v>33</v>
      </c>
      <c r="G309" s="289"/>
      <c r="H309" s="395">
        <f>COUNTIFS(H188:H307, "=No Response")</f>
        <v>0</v>
      </c>
      <c r="I309" s="379">
        <f>COUNTIFS(I188:I307, "=No Response")</f>
        <v>33</v>
      </c>
      <c r="J309" s="289"/>
      <c r="K309" s="155">
        <f>COUNTIFS(K188:K307, "=No Response")</f>
        <v>33</v>
      </c>
      <c r="L309" s="156">
        <f>COUNTIFS(L188:L307, "=No Response")</f>
        <v>33</v>
      </c>
      <c r="N309" s="545"/>
      <c r="O309" s="545"/>
      <c r="Q309" s="85"/>
    </row>
    <row r="310" spans="2:17" s="11" customFormat="1" hidden="1" x14ac:dyDescent="0.25">
      <c r="B310" s="227"/>
      <c r="C310" s="516" t="s">
        <v>858</v>
      </c>
      <c r="D310" s="516"/>
      <c r="E310" s="395">
        <f>COUNTIFS(E188:E307, "=REMOVED")</f>
        <v>0</v>
      </c>
      <c r="F310" s="379">
        <f>COUNTIFS(F188:F307, "=REMOVED")</f>
        <v>1</v>
      </c>
      <c r="G310" s="289"/>
      <c r="H310" s="395">
        <f>COUNTIFS(H188:H307, "=REMOVED")</f>
        <v>0</v>
      </c>
      <c r="I310" s="379">
        <f>COUNTIFS(I188:I307, "=REMOVED")</f>
        <v>1</v>
      </c>
      <c r="J310" s="289"/>
      <c r="K310" s="155">
        <f>COUNTIFS(K188:K307, "=REMOVED")</f>
        <v>1</v>
      </c>
      <c r="L310" s="156">
        <f>COUNTIFS(L188:L307, "=REMOVED")</f>
        <v>1</v>
      </c>
      <c r="N310" s="545"/>
      <c r="O310" s="545"/>
      <c r="Q310" s="85"/>
    </row>
    <row r="311" spans="2:17" s="11" customFormat="1" ht="15.75" hidden="1" thickBot="1" x14ac:dyDescent="0.3">
      <c r="B311" s="328"/>
      <c r="C311" s="517" t="s">
        <v>859</v>
      </c>
      <c r="D311" s="517"/>
      <c r="E311" s="396">
        <f>COUNTIFS(E188:E307, "&gt;0")</f>
        <v>111</v>
      </c>
      <c r="F311" s="383">
        <f>COUNTIFS(F188:F307, "&gt;0")</f>
        <v>69</v>
      </c>
      <c r="G311" s="401"/>
      <c r="H311" s="396">
        <f>COUNTIFS(H188:H307, "&gt;0")</f>
        <v>111</v>
      </c>
      <c r="I311" s="383">
        <f>COUNTIFS(I188:I307, "&gt;0")</f>
        <v>70</v>
      </c>
      <c r="J311" s="401"/>
      <c r="K311" s="159">
        <f>COUNTIFS(K188:K307, "&gt;0")</f>
        <v>84</v>
      </c>
      <c r="L311" s="160">
        <f>COUNTIFS(L188:L307, "&gt;0")</f>
        <v>84</v>
      </c>
      <c r="N311" s="545"/>
      <c r="O311" s="545"/>
      <c r="Q311" s="85"/>
    </row>
    <row r="312" spans="2:17" s="11" customFormat="1" hidden="1" x14ac:dyDescent="0.25">
      <c r="C312" s="84"/>
      <c r="D312" s="84"/>
      <c r="Q312" s="85"/>
    </row>
    <row r="313" spans="2:17" ht="15.75" hidden="1" thickBot="1" x14ac:dyDescent="0.3">
      <c r="B313" s="1" t="s">
        <v>394</v>
      </c>
      <c r="P313" s="2"/>
    </row>
    <row r="314" spans="2:17" ht="30" hidden="1" customHeight="1" x14ac:dyDescent="0.25">
      <c r="B314" s="800" t="s">
        <v>374</v>
      </c>
      <c r="C314" s="838" t="s">
        <v>6</v>
      </c>
      <c r="D314" s="839"/>
      <c r="E314" s="842" t="s">
        <v>203</v>
      </c>
      <c r="F314" s="843"/>
    </row>
    <row r="315" spans="2:17" ht="60.75" hidden="1" thickBot="1" x14ac:dyDescent="0.3">
      <c r="B315" s="837"/>
      <c r="C315" s="840"/>
      <c r="D315" s="841"/>
      <c r="E315" s="352" t="s">
        <v>198</v>
      </c>
      <c r="F315" s="353" t="s">
        <v>200</v>
      </c>
    </row>
    <row r="316" spans="2:17" s="11" customFormat="1" ht="15" hidden="1" customHeight="1" x14ac:dyDescent="0.25">
      <c r="B316" s="370" t="s">
        <v>375</v>
      </c>
      <c r="C316" s="805" t="s">
        <v>7</v>
      </c>
      <c r="D316" s="806"/>
      <c r="E316" s="366">
        <v>3</v>
      </c>
      <c r="F316" s="365">
        <v>3</v>
      </c>
      <c r="Q316" s="85"/>
    </row>
    <row r="317" spans="2:17" s="11" customFormat="1" ht="15" hidden="1" customHeight="1" x14ac:dyDescent="0.25">
      <c r="B317" s="227" t="s">
        <v>375</v>
      </c>
      <c r="C317" s="793" t="s">
        <v>376</v>
      </c>
      <c r="D317" s="794"/>
      <c r="E317" s="367">
        <v>4</v>
      </c>
      <c r="F317" s="249">
        <v>4</v>
      </c>
      <c r="Q317" s="85"/>
    </row>
    <row r="318" spans="2:17" s="11" customFormat="1" ht="15" hidden="1" customHeight="1" x14ac:dyDescent="0.25">
      <c r="B318" s="227" t="s">
        <v>375</v>
      </c>
      <c r="C318" s="793" t="s">
        <v>377</v>
      </c>
      <c r="D318" s="794"/>
      <c r="E318" s="367">
        <v>3</v>
      </c>
      <c r="F318" s="249">
        <v>3</v>
      </c>
      <c r="Q318" s="85"/>
    </row>
    <row r="319" spans="2:17" s="11" customFormat="1" ht="15" hidden="1" customHeight="1" x14ac:dyDescent="0.25">
      <c r="B319" s="227" t="s">
        <v>375</v>
      </c>
      <c r="C319" s="793" t="s">
        <v>8</v>
      </c>
      <c r="D319" s="794"/>
      <c r="E319" s="367">
        <v>3</v>
      </c>
      <c r="F319" s="249">
        <v>3</v>
      </c>
      <c r="Q319" s="85"/>
    </row>
    <row r="320" spans="2:17" s="11" customFormat="1" ht="15" hidden="1" customHeight="1" x14ac:dyDescent="0.25">
      <c r="B320" s="227" t="s">
        <v>375</v>
      </c>
      <c r="C320" s="793" t="s">
        <v>9</v>
      </c>
      <c r="D320" s="794"/>
      <c r="E320" s="367">
        <v>5</v>
      </c>
      <c r="F320" s="249">
        <v>5</v>
      </c>
      <c r="Q320" s="85"/>
    </row>
    <row r="321" spans="2:17" s="11" customFormat="1" hidden="1" x14ac:dyDescent="0.25">
      <c r="B321" s="227" t="s">
        <v>375</v>
      </c>
      <c r="C321" s="793" t="s">
        <v>10</v>
      </c>
      <c r="D321" s="794"/>
      <c r="E321" s="367">
        <v>3</v>
      </c>
      <c r="F321" s="249">
        <v>3</v>
      </c>
      <c r="Q321" s="85"/>
    </row>
    <row r="322" spans="2:17" s="11" customFormat="1" ht="15" hidden="1" customHeight="1" x14ac:dyDescent="0.25">
      <c r="B322" s="227" t="s">
        <v>375</v>
      </c>
      <c r="C322" s="793" t="s">
        <v>378</v>
      </c>
      <c r="D322" s="794"/>
      <c r="E322" s="367">
        <v>5</v>
      </c>
      <c r="F322" s="249">
        <v>5</v>
      </c>
      <c r="Q322" s="85"/>
    </row>
    <row r="323" spans="2:17" s="11" customFormat="1" ht="15" hidden="1" customHeight="1" x14ac:dyDescent="0.25">
      <c r="B323" s="227" t="s">
        <v>375</v>
      </c>
      <c r="C323" s="793" t="s">
        <v>11</v>
      </c>
      <c r="D323" s="794"/>
      <c r="E323" s="367">
        <v>5</v>
      </c>
      <c r="F323" s="249">
        <v>5</v>
      </c>
      <c r="Q323" s="85"/>
    </row>
    <row r="324" spans="2:17" s="11" customFormat="1" ht="15" hidden="1" customHeight="1" x14ac:dyDescent="0.25">
      <c r="B324" s="227" t="s">
        <v>375</v>
      </c>
      <c r="C324" s="793" t="s">
        <v>12</v>
      </c>
      <c r="D324" s="794"/>
      <c r="E324" s="367">
        <v>5</v>
      </c>
      <c r="F324" s="249">
        <v>5</v>
      </c>
      <c r="Q324" s="85"/>
    </row>
    <row r="325" spans="2:17" s="11" customFormat="1" ht="15" hidden="1" customHeight="1" x14ac:dyDescent="0.25">
      <c r="B325" s="227" t="s">
        <v>375</v>
      </c>
      <c r="C325" s="793" t="s">
        <v>13</v>
      </c>
      <c r="D325" s="794"/>
      <c r="E325" s="368">
        <v>3</v>
      </c>
      <c r="F325" s="250">
        <v>3</v>
      </c>
      <c r="G325" s="81"/>
      <c r="Q325" s="85"/>
    </row>
    <row r="326" spans="2:17" s="11" customFormat="1" ht="15" hidden="1" customHeight="1" x14ac:dyDescent="0.25">
      <c r="B326" s="227" t="s">
        <v>375</v>
      </c>
      <c r="C326" s="793" t="s">
        <v>14</v>
      </c>
      <c r="D326" s="794"/>
      <c r="E326" s="367">
        <v>5</v>
      </c>
      <c r="F326" s="249">
        <v>5</v>
      </c>
      <c r="G326"/>
      <c r="H326"/>
      <c r="I326"/>
      <c r="J326"/>
      <c r="K326"/>
      <c r="L326"/>
      <c r="M326"/>
      <c r="N326"/>
      <c r="O326"/>
      <c r="Q326" s="85"/>
    </row>
    <row r="327" spans="2:17" s="11" customFormat="1" ht="15" hidden="1" customHeight="1" x14ac:dyDescent="0.25">
      <c r="B327" s="227" t="s">
        <v>375</v>
      </c>
      <c r="C327" s="793" t="s">
        <v>15</v>
      </c>
      <c r="D327" s="794"/>
      <c r="E327" s="367">
        <v>5</v>
      </c>
      <c r="F327" s="249">
        <v>5</v>
      </c>
      <c r="G327"/>
      <c r="H327"/>
      <c r="I327"/>
      <c r="J327"/>
      <c r="K327"/>
      <c r="L327"/>
      <c r="M327"/>
      <c r="N327"/>
      <c r="O327"/>
      <c r="Q327" s="85"/>
    </row>
    <row r="328" spans="2:17" s="11" customFormat="1" hidden="1" x14ac:dyDescent="0.25">
      <c r="B328" s="227" t="s">
        <v>375</v>
      </c>
      <c r="C328" s="793" t="s">
        <v>16</v>
      </c>
      <c r="D328" s="794"/>
      <c r="E328" s="367">
        <v>5</v>
      </c>
      <c r="F328" s="249">
        <v>5</v>
      </c>
      <c r="G328"/>
      <c r="H328"/>
      <c r="I328"/>
      <c r="J328"/>
      <c r="K328"/>
      <c r="L328"/>
      <c r="M328"/>
      <c r="N328"/>
      <c r="O328"/>
      <c r="Q328" s="85"/>
    </row>
    <row r="329" spans="2:17" s="11" customFormat="1" hidden="1" x14ac:dyDescent="0.25">
      <c r="B329" s="227" t="s">
        <v>375</v>
      </c>
      <c r="C329" s="793" t="s">
        <v>17</v>
      </c>
      <c r="D329" s="794"/>
      <c r="E329" s="367">
        <v>5</v>
      </c>
      <c r="F329" s="249">
        <v>5</v>
      </c>
      <c r="G329"/>
      <c r="H329"/>
      <c r="I329"/>
      <c r="J329"/>
      <c r="K329"/>
      <c r="L329"/>
      <c r="M329"/>
      <c r="N329"/>
      <c r="O329"/>
      <c r="Q329" s="85"/>
    </row>
    <row r="330" spans="2:17" s="11" customFormat="1" ht="15.75" hidden="1" customHeight="1" x14ac:dyDescent="0.25">
      <c r="B330" s="227" t="s">
        <v>379</v>
      </c>
      <c r="C330" s="793" t="s">
        <v>7</v>
      </c>
      <c r="D330" s="794"/>
      <c r="E330" s="367">
        <v>3</v>
      </c>
      <c r="F330" s="249">
        <v>3</v>
      </c>
      <c r="G330"/>
      <c r="H330"/>
      <c r="I330"/>
      <c r="J330"/>
      <c r="K330"/>
      <c r="L330"/>
      <c r="M330"/>
      <c r="N330"/>
      <c r="O330"/>
      <c r="Q330" s="85"/>
    </row>
    <row r="331" spans="2:17" s="11" customFormat="1" hidden="1" x14ac:dyDescent="0.25">
      <c r="B331" s="227" t="s">
        <v>379</v>
      </c>
      <c r="C331" s="793" t="s">
        <v>376</v>
      </c>
      <c r="D331" s="794"/>
      <c r="E331" s="367">
        <v>4</v>
      </c>
      <c r="F331" s="249">
        <v>4</v>
      </c>
      <c r="G331"/>
      <c r="H331"/>
      <c r="I331"/>
      <c r="J331"/>
      <c r="K331"/>
      <c r="L331"/>
      <c r="M331"/>
      <c r="N331"/>
      <c r="O331"/>
      <c r="Q331" s="85"/>
    </row>
    <row r="332" spans="2:17" hidden="1" x14ac:dyDescent="0.25">
      <c r="B332" s="227" t="s">
        <v>379</v>
      </c>
      <c r="C332" s="793" t="s">
        <v>377</v>
      </c>
      <c r="D332" s="794"/>
      <c r="E332" s="367">
        <v>3</v>
      </c>
      <c r="F332" s="249">
        <v>3</v>
      </c>
    </row>
    <row r="333" spans="2:17" hidden="1" x14ac:dyDescent="0.25">
      <c r="B333" s="227" t="s">
        <v>379</v>
      </c>
      <c r="C333" s="793" t="s">
        <v>8</v>
      </c>
      <c r="D333" s="794"/>
      <c r="E333" s="367">
        <v>4</v>
      </c>
      <c r="F333" s="249">
        <v>4</v>
      </c>
    </row>
    <row r="334" spans="2:17" hidden="1" x14ac:dyDescent="0.25">
      <c r="B334" s="227" t="s">
        <v>379</v>
      </c>
      <c r="C334" s="793" t="s">
        <v>9</v>
      </c>
      <c r="D334" s="794"/>
      <c r="E334" s="367">
        <v>4</v>
      </c>
      <c r="F334" s="249">
        <v>4</v>
      </c>
    </row>
    <row r="335" spans="2:17" hidden="1" x14ac:dyDescent="0.25">
      <c r="B335" s="227" t="s">
        <v>379</v>
      </c>
      <c r="C335" s="793" t="s">
        <v>10</v>
      </c>
      <c r="D335" s="794"/>
      <c r="E335" s="367">
        <v>3</v>
      </c>
      <c r="F335" s="249">
        <v>3</v>
      </c>
    </row>
    <row r="336" spans="2:17" hidden="1" x14ac:dyDescent="0.25">
      <c r="B336" s="227" t="s">
        <v>379</v>
      </c>
      <c r="C336" s="793" t="s">
        <v>378</v>
      </c>
      <c r="D336" s="794"/>
      <c r="E336" s="367">
        <v>3</v>
      </c>
      <c r="F336" s="249">
        <v>3</v>
      </c>
    </row>
    <row r="337" spans="2:6" hidden="1" x14ac:dyDescent="0.25">
      <c r="B337" s="227" t="s">
        <v>379</v>
      </c>
      <c r="C337" s="793" t="s">
        <v>11</v>
      </c>
      <c r="D337" s="794"/>
      <c r="E337" s="367">
        <v>4</v>
      </c>
      <c r="F337" s="249">
        <v>4</v>
      </c>
    </row>
    <row r="338" spans="2:6" hidden="1" x14ac:dyDescent="0.25">
      <c r="B338" s="227" t="s">
        <v>379</v>
      </c>
      <c r="C338" s="793" t="s">
        <v>12</v>
      </c>
      <c r="D338" s="794"/>
      <c r="E338" s="367">
        <v>4</v>
      </c>
      <c r="F338" s="249">
        <v>4</v>
      </c>
    </row>
    <row r="339" spans="2:6" hidden="1" x14ac:dyDescent="0.25">
      <c r="B339" s="227" t="s">
        <v>379</v>
      </c>
      <c r="C339" s="793" t="s">
        <v>13</v>
      </c>
      <c r="D339" s="794"/>
      <c r="E339" s="367">
        <v>3</v>
      </c>
      <c r="F339" s="249">
        <v>3</v>
      </c>
    </row>
    <row r="340" spans="2:6" hidden="1" x14ac:dyDescent="0.25">
      <c r="B340" s="227" t="s">
        <v>379</v>
      </c>
      <c r="C340" s="793" t="s">
        <v>14</v>
      </c>
      <c r="D340" s="794"/>
      <c r="E340" s="367">
        <v>4</v>
      </c>
      <c r="F340" s="249">
        <v>4</v>
      </c>
    </row>
    <row r="341" spans="2:6" hidden="1" x14ac:dyDescent="0.25">
      <c r="B341" s="227" t="s">
        <v>379</v>
      </c>
      <c r="C341" s="793" t="s">
        <v>15</v>
      </c>
      <c r="D341" s="794"/>
      <c r="E341" s="367">
        <v>4</v>
      </c>
      <c r="F341" s="249">
        <v>4</v>
      </c>
    </row>
    <row r="342" spans="2:6" hidden="1" x14ac:dyDescent="0.25">
      <c r="B342" s="227" t="s">
        <v>379</v>
      </c>
      <c r="C342" s="793" t="s">
        <v>16</v>
      </c>
      <c r="D342" s="794"/>
      <c r="E342" s="367">
        <v>4</v>
      </c>
      <c r="F342" s="249">
        <v>4</v>
      </c>
    </row>
    <row r="343" spans="2:6" hidden="1" x14ac:dyDescent="0.25">
      <c r="B343" s="227" t="s">
        <v>379</v>
      </c>
      <c r="C343" s="793" t="s">
        <v>17</v>
      </c>
      <c r="D343" s="794"/>
      <c r="E343" s="367">
        <v>4</v>
      </c>
      <c r="F343" s="249">
        <v>4</v>
      </c>
    </row>
    <row r="344" spans="2:6" hidden="1" x14ac:dyDescent="0.25">
      <c r="B344" s="227" t="s">
        <v>380</v>
      </c>
      <c r="C344" s="793" t="s">
        <v>7</v>
      </c>
      <c r="D344" s="794"/>
      <c r="E344" s="367">
        <v>3</v>
      </c>
      <c r="F344" s="249">
        <v>3</v>
      </c>
    </row>
    <row r="345" spans="2:6" hidden="1" x14ac:dyDescent="0.25">
      <c r="B345" s="227" t="s">
        <v>380</v>
      </c>
      <c r="C345" s="793" t="s">
        <v>376</v>
      </c>
      <c r="D345" s="794"/>
      <c r="E345" s="367">
        <v>4</v>
      </c>
      <c r="F345" s="249">
        <v>4</v>
      </c>
    </row>
    <row r="346" spans="2:6" hidden="1" x14ac:dyDescent="0.25">
      <c r="B346" s="227" t="s">
        <v>380</v>
      </c>
      <c r="C346" s="793" t="s">
        <v>377</v>
      </c>
      <c r="D346" s="794"/>
      <c r="E346" s="367">
        <v>3</v>
      </c>
      <c r="F346" s="249">
        <v>3</v>
      </c>
    </row>
    <row r="347" spans="2:6" hidden="1" x14ac:dyDescent="0.25">
      <c r="B347" s="227" t="s">
        <v>380</v>
      </c>
      <c r="C347" s="793" t="s">
        <v>8</v>
      </c>
      <c r="D347" s="794"/>
      <c r="E347" s="367">
        <v>4</v>
      </c>
      <c r="F347" s="249">
        <v>4</v>
      </c>
    </row>
    <row r="348" spans="2:6" hidden="1" x14ac:dyDescent="0.25">
      <c r="B348" s="227" t="s">
        <v>380</v>
      </c>
      <c r="C348" s="793" t="s">
        <v>9</v>
      </c>
      <c r="D348" s="794"/>
      <c r="E348" s="367">
        <v>3</v>
      </c>
      <c r="F348" s="249">
        <v>3</v>
      </c>
    </row>
    <row r="349" spans="2:6" hidden="1" x14ac:dyDescent="0.25">
      <c r="B349" s="227" t="s">
        <v>380</v>
      </c>
      <c r="C349" s="793" t="s">
        <v>10</v>
      </c>
      <c r="D349" s="794"/>
      <c r="E349" s="367">
        <v>3</v>
      </c>
      <c r="F349" s="249">
        <v>3</v>
      </c>
    </row>
    <row r="350" spans="2:6" hidden="1" x14ac:dyDescent="0.25">
      <c r="B350" s="227" t="s">
        <v>380</v>
      </c>
      <c r="C350" s="793" t="s">
        <v>378</v>
      </c>
      <c r="D350" s="794"/>
      <c r="E350" s="367">
        <v>3</v>
      </c>
      <c r="F350" s="249">
        <v>4</v>
      </c>
    </row>
    <row r="351" spans="2:6" hidden="1" x14ac:dyDescent="0.25">
      <c r="B351" s="227" t="s">
        <v>380</v>
      </c>
      <c r="C351" s="793" t="s">
        <v>11</v>
      </c>
      <c r="D351" s="794"/>
      <c r="E351" s="367">
        <v>3</v>
      </c>
      <c r="F351" s="249">
        <v>3</v>
      </c>
    </row>
    <row r="352" spans="2:6" hidden="1" x14ac:dyDescent="0.25">
      <c r="B352" s="227" t="s">
        <v>380</v>
      </c>
      <c r="C352" s="793" t="s">
        <v>12</v>
      </c>
      <c r="D352" s="794"/>
      <c r="E352" s="367">
        <v>5</v>
      </c>
      <c r="F352" s="249">
        <v>5</v>
      </c>
    </row>
    <row r="353" spans="2:6" hidden="1" x14ac:dyDescent="0.25">
      <c r="B353" s="227" t="s">
        <v>380</v>
      </c>
      <c r="C353" s="793" t="s">
        <v>13</v>
      </c>
      <c r="D353" s="794"/>
      <c r="E353" s="367">
        <v>3</v>
      </c>
      <c r="F353" s="249">
        <v>2</v>
      </c>
    </row>
    <row r="354" spans="2:6" hidden="1" x14ac:dyDescent="0.25">
      <c r="B354" s="227" t="s">
        <v>380</v>
      </c>
      <c r="C354" s="793" t="s">
        <v>14</v>
      </c>
      <c r="D354" s="794"/>
      <c r="E354" s="367">
        <v>4</v>
      </c>
      <c r="F354" s="249">
        <v>4</v>
      </c>
    </row>
    <row r="355" spans="2:6" hidden="1" x14ac:dyDescent="0.25">
      <c r="B355" s="227" t="s">
        <v>380</v>
      </c>
      <c r="C355" s="793" t="s">
        <v>15</v>
      </c>
      <c r="D355" s="794"/>
      <c r="E355" s="367">
        <v>5</v>
      </c>
      <c r="F355" s="249">
        <v>5</v>
      </c>
    </row>
    <row r="356" spans="2:6" hidden="1" x14ac:dyDescent="0.25">
      <c r="B356" s="227" t="s">
        <v>380</v>
      </c>
      <c r="C356" s="793" t="s">
        <v>16</v>
      </c>
      <c r="D356" s="794"/>
      <c r="E356" s="367">
        <v>4</v>
      </c>
      <c r="F356" s="249">
        <v>4</v>
      </c>
    </row>
    <row r="357" spans="2:6" hidden="1" x14ac:dyDescent="0.25">
      <c r="B357" s="227" t="s">
        <v>380</v>
      </c>
      <c r="C357" s="793" t="s">
        <v>17</v>
      </c>
      <c r="D357" s="794"/>
      <c r="E357" s="367">
        <v>4</v>
      </c>
      <c r="F357" s="249">
        <v>4</v>
      </c>
    </row>
    <row r="358" spans="2:6" hidden="1" x14ac:dyDescent="0.25">
      <c r="B358" s="227" t="s">
        <v>381</v>
      </c>
      <c r="C358" s="793" t="s">
        <v>7</v>
      </c>
      <c r="D358" s="794"/>
      <c r="E358" s="367">
        <v>4</v>
      </c>
      <c r="F358" s="249">
        <v>4</v>
      </c>
    </row>
    <row r="359" spans="2:6" hidden="1" x14ac:dyDescent="0.25">
      <c r="B359" s="227" t="s">
        <v>381</v>
      </c>
      <c r="C359" s="793" t="s">
        <v>376</v>
      </c>
      <c r="D359" s="794"/>
      <c r="E359" s="367">
        <v>4</v>
      </c>
      <c r="F359" s="249">
        <v>4</v>
      </c>
    </row>
    <row r="360" spans="2:6" hidden="1" x14ac:dyDescent="0.25">
      <c r="B360" s="227" t="s">
        <v>381</v>
      </c>
      <c r="C360" s="793" t="s">
        <v>377</v>
      </c>
      <c r="D360" s="794"/>
      <c r="E360" s="367">
        <v>3</v>
      </c>
      <c r="F360" s="249">
        <v>3</v>
      </c>
    </row>
    <row r="361" spans="2:6" hidden="1" x14ac:dyDescent="0.25">
      <c r="B361" s="227" t="s">
        <v>381</v>
      </c>
      <c r="C361" s="793" t="s">
        <v>8</v>
      </c>
      <c r="D361" s="794"/>
      <c r="E361" s="367">
        <v>5</v>
      </c>
      <c r="F361" s="249">
        <v>5</v>
      </c>
    </row>
    <row r="362" spans="2:6" hidden="1" x14ac:dyDescent="0.25">
      <c r="B362" s="227" t="s">
        <v>381</v>
      </c>
      <c r="C362" s="793" t="s">
        <v>9</v>
      </c>
      <c r="D362" s="794"/>
      <c r="E362" s="367">
        <v>5</v>
      </c>
      <c r="F362" s="249">
        <v>5</v>
      </c>
    </row>
    <row r="363" spans="2:6" hidden="1" x14ac:dyDescent="0.25">
      <c r="B363" s="227" t="s">
        <v>381</v>
      </c>
      <c r="C363" s="793" t="s">
        <v>10</v>
      </c>
      <c r="D363" s="794"/>
      <c r="E363" s="367">
        <v>2</v>
      </c>
      <c r="F363" s="249">
        <v>3</v>
      </c>
    </row>
    <row r="364" spans="2:6" hidden="1" x14ac:dyDescent="0.25">
      <c r="B364" s="227" t="s">
        <v>381</v>
      </c>
      <c r="C364" s="793" t="s">
        <v>378</v>
      </c>
      <c r="D364" s="794"/>
      <c r="E364" s="367">
        <v>3</v>
      </c>
      <c r="F364" s="249">
        <v>3</v>
      </c>
    </row>
    <row r="365" spans="2:6" hidden="1" x14ac:dyDescent="0.25">
      <c r="B365" s="227" t="s">
        <v>381</v>
      </c>
      <c r="C365" s="793" t="s">
        <v>11</v>
      </c>
      <c r="D365" s="794"/>
      <c r="E365" s="367">
        <v>5</v>
      </c>
      <c r="F365" s="249">
        <v>3</v>
      </c>
    </row>
    <row r="366" spans="2:6" hidden="1" x14ac:dyDescent="0.25">
      <c r="B366" s="227" t="s">
        <v>381</v>
      </c>
      <c r="C366" s="793" t="s">
        <v>12</v>
      </c>
      <c r="D366" s="794"/>
      <c r="E366" s="367">
        <v>5</v>
      </c>
      <c r="F366" s="249">
        <v>3</v>
      </c>
    </row>
    <row r="367" spans="2:6" hidden="1" x14ac:dyDescent="0.25">
      <c r="B367" s="227" t="s">
        <v>381</v>
      </c>
      <c r="C367" s="793" t="s">
        <v>13</v>
      </c>
      <c r="D367" s="794"/>
      <c r="E367" s="367">
        <v>3</v>
      </c>
      <c r="F367" s="249">
        <v>3</v>
      </c>
    </row>
    <row r="368" spans="2:6" hidden="1" x14ac:dyDescent="0.25">
      <c r="B368" s="227" t="s">
        <v>381</v>
      </c>
      <c r="C368" s="793" t="s">
        <v>14</v>
      </c>
      <c r="D368" s="794"/>
      <c r="E368" s="367">
        <v>5</v>
      </c>
      <c r="F368" s="249">
        <v>5</v>
      </c>
    </row>
    <row r="369" spans="2:6" hidden="1" x14ac:dyDescent="0.25">
      <c r="B369" s="227" t="s">
        <v>381</v>
      </c>
      <c r="C369" s="793" t="s">
        <v>15</v>
      </c>
      <c r="D369" s="794"/>
      <c r="E369" s="367">
        <v>5</v>
      </c>
      <c r="F369" s="249">
        <v>5</v>
      </c>
    </row>
    <row r="370" spans="2:6" hidden="1" x14ac:dyDescent="0.25">
      <c r="B370" s="227" t="s">
        <v>381</v>
      </c>
      <c r="C370" s="793" t="s">
        <v>16</v>
      </c>
      <c r="D370" s="794"/>
      <c r="E370" s="367">
        <v>5</v>
      </c>
      <c r="F370" s="249">
        <v>3</v>
      </c>
    </row>
    <row r="371" spans="2:6" hidden="1" x14ac:dyDescent="0.25">
      <c r="B371" s="227" t="s">
        <v>381</v>
      </c>
      <c r="C371" s="793" t="s">
        <v>17</v>
      </c>
      <c r="D371" s="794"/>
      <c r="E371" s="367">
        <v>5</v>
      </c>
      <c r="F371" s="249">
        <v>3</v>
      </c>
    </row>
    <row r="372" spans="2:6" hidden="1" x14ac:dyDescent="0.25">
      <c r="B372" s="227" t="s">
        <v>382</v>
      </c>
      <c r="C372" s="793" t="s">
        <v>7</v>
      </c>
      <c r="D372" s="794"/>
      <c r="E372" s="367">
        <v>2</v>
      </c>
      <c r="F372" s="249">
        <v>2</v>
      </c>
    </row>
    <row r="373" spans="2:6" hidden="1" x14ac:dyDescent="0.25">
      <c r="B373" s="227" t="s">
        <v>382</v>
      </c>
      <c r="C373" s="793" t="s">
        <v>376</v>
      </c>
      <c r="D373" s="794"/>
      <c r="E373" s="367">
        <v>4</v>
      </c>
      <c r="F373" s="249">
        <v>4</v>
      </c>
    </row>
    <row r="374" spans="2:6" hidden="1" x14ac:dyDescent="0.25">
      <c r="B374" s="227" t="s">
        <v>382</v>
      </c>
      <c r="C374" s="793" t="s">
        <v>377</v>
      </c>
      <c r="D374" s="794"/>
      <c r="E374" s="367">
        <v>3</v>
      </c>
      <c r="F374" s="249">
        <v>3</v>
      </c>
    </row>
    <row r="375" spans="2:6" hidden="1" x14ac:dyDescent="0.25">
      <c r="B375" s="227" t="s">
        <v>382</v>
      </c>
      <c r="C375" s="793" t="s">
        <v>8</v>
      </c>
      <c r="D375" s="794"/>
      <c r="E375" s="367">
        <v>5</v>
      </c>
      <c r="F375" s="249">
        <v>5</v>
      </c>
    </row>
    <row r="376" spans="2:6" hidden="1" x14ac:dyDescent="0.25">
      <c r="B376" s="227" t="s">
        <v>382</v>
      </c>
      <c r="C376" s="793" t="s">
        <v>9</v>
      </c>
      <c r="D376" s="794"/>
      <c r="E376" s="367">
        <v>3</v>
      </c>
      <c r="F376" s="249">
        <v>3</v>
      </c>
    </row>
    <row r="377" spans="2:6" hidden="1" x14ac:dyDescent="0.25">
      <c r="B377" s="227" t="s">
        <v>382</v>
      </c>
      <c r="C377" s="793" t="s">
        <v>10</v>
      </c>
      <c r="D377" s="794"/>
      <c r="E377" s="367">
        <v>3</v>
      </c>
      <c r="F377" s="249">
        <v>3</v>
      </c>
    </row>
    <row r="378" spans="2:6" hidden="1" x14ac:dyDescent="0.25">
      <c r="B378" s="227" t="s">
        <v>382</v>
      </c>
      <c r="C378" s="793" t="s">
        <v>378</v>
      </c>
      <c r="D378" s="794"/>
      <c r="E378" s="367">
        <v>5</v>
      </c>
      <c r="F378" s="249">
        <v>5</v>
      </c>
    </row>
    <row r="379" spans="2:6" hidden="1" x14ac:dyDescent="0.25">
      <c r="B379" s="227" t="s">
        <v>382</v>
      </c>
      <c r="C379" s="793" t="s">
        <v>11</v>
      </c>
      <c r="D379" s="794"/>
      <c r="E379" s="367">
        <v>5</v>
      </c>
      <c r="F379" s="249">
        <v>5</v>
      </c>
    </row>
    <row r="380" spans="2:6" hidden="1" x14ac:dyDescent="0.25">
      <c r="B380" s="227" t="s">
        <v>382</v>
      </c>
      <c r="C380" s="793" t="s">
        <v>12</v>
      </c>
      <c r="D380" s="794"/>
      <c r="E380" s="367">
        <v>5</v>
      </c>
      <c r="F380" s="249">
        <v>5</v>
      </c>
    </row>
    <row r="381" spans="2:6" hidden="1" x14ac:dyDescent="0.25">
      <c r="B381" s="227" t="s">
        <v>382</v>
      </c>
      <c r="C381" s="793" t="s">
        <v>13</v>
      </c>
      <c r="D381" s="794"/>
      <c r="E381" s="367">
        <v>1</v>
      </c>
      <c r="F381" s="249">
        <v>1</v>
      </c>
    </row>
    <row r="382" spans="2:6" hidden="1" x14ac:dyDescent="0.25">
      <c r="B382" s="227" t="s">
        <v>382</v>
      </c>
      <c r="C382" s="793" t="s">
        <v>14</v>
      </c>
      <c r="D382" s="794"/>
      <c r="E382" s="367">
        <v>5</v>
      </c>
      <c r="F382" s="249">
        <v>5</v>
      </c>
    </row>
    <row r="383" spans="2:6" hidden="1" x14ac:dyDescent="0.25">
      <c r="B383" s="227" t="s">
        <v>382</v>
      </c>
      <c r="C383" s="793" t="s">
        <v>15</v>
      </c>
      <c r="D383" s="794"/>
      <c r="E383" s="367">
        <v>5</v>
      </c>
      <c r="F383" s="249">
        <v>5</v>
      </c>
    </row>
    <row r="384" spans="2:6" hidden="1" x14ac:dyDescent="0.25">
      <c r="B384" s="227" t="s">
        <v>382</v>
      </c>
      <c r="C384" s="793" t="s">
        <v>16</v>
      </c>
      <c r="D384" s="794"/>
      <c r="E384" s="367">
        <v>5</v>
      </c>
      <c r="F384" s="249">
        <v>5</v>
      </c>
    </row>
    <row r="385" spans="2:6" hidden="1" x14ac:dyDescent="0.25">
      <c r="B385" s="227" t="s">
        <v>382</v>
      </c>
      <c r="C385" s="793" t="s">
        <v>17</v>
      </c>
      <c r="D385" s="794"/>
      <c r="E385" s="367">
        <v>5</v>
      </c>
      <c r="F385" s="249">
        <v>5</v>
      </c>
    </row>
    <row r="386" spans="2:6" hidden="1" x14ac:dyDescent="0.25">
      <c r="B386" s="227" t="s">
        <v>383</v>
      </c>
      <c r="C386" s="793" t="s">
        <v>7</v>
      </c>
      <c r="D386" s="794"/>
      <c r="E386" s="367">
        <v>3</v>
      </c>
      <c r="F386" s="249">
        <v>3</v>
      </c>
    </row>
    <row r="387" spans="2:6" hidden="1" x14ac:dyDescent="0.25">
      <c r="B387" s="227" t="s">
        <v>383</v>
      </c>
      <c r="C387" s="793" t="s">
        <v>376</v>
      </c>
      <c r="D387" s="794"/>
      <c r="E387" s="367">
        <v>4</v>
      </c>
      <c r="F387" s="249">
        <v>2</v>
      </c>
    </row>
    <row r="388" spans="2:6" hidden="1" x14ac:dyDescent="0.25">
      <c r="B388" s="227" t="s">
        <v>383</v>
      </c>
      <c r="C388" s="793" t="s">
        <v>377</v>
      </c>
      <c r="D388" s="794"/>
      <c r="E388" s="367">
        <v>3</v>
      </c>
      <c r="F388" s="249">
        <v>3</v>
      </c>
    </row>
    <row r="389" spans="2:6" hidden="1" x14ac:dyDescent="0.25">
      <c r="B389" s="227" t="s">
        <v>383</v>
      </c>
      <c r="C389" s="793" t="s">
        <v>8</v>
      </c>
      <c r="D389" s="794"/>
      <c r="E389" s="367">
        <v>5</v>
      </c>
      <c r="F389" s="249">
        <v>5</v>
      </c>
    </row>
    <row r="390" spans="2:6" hidden="1" x14ac:dyDescent="0.25">
      <c r="B390" s="227" t="s">
        <v>383</v>
      </c>
      <c r="C390" s="793" t="s">
        <v>9</v>
      </c>
      <c r="D390" s="794"/>
      <c r="E390" s="367">
        <v>3</v>
      </c>
      <c r="F390" s="249">
        <v>3</v>
      </c>
    </row>
    <row r="391" spans="2:6" hidden="1" x14ac:dyDescent="0.25">
      <c r="B391" s="227" t="s">
        <v>383</v>
      </c>
      <c r="C391" s="793" t="s">
        <v>10</v>
      </c>
      <c r="D391" s="794"/>
      <c r="E391" s="367">
        <v>1</v>
      </c>
      <c r="F391" s="249">
        <v>1</v>
      </c>
    </row>
    <row r="392" spans="2:6" hidden="1" x14ac:dyDescent="0.25">
      <c r="B392" s="227" t="s">
        <v>383</v>
      </c>
      <c r="C392" s="793" t="s">
        <v>378</v>
      </c>
      <c r="D392" s="794"/>
      <c r="E392" s="367">
        <v>4</v>
      </c>
      <c r="F392" s="249">
        <v>4</v>
      </c>
    </row>
    <row r="393" spans="2:6" hidden="1" x14ac:dyDescent="0.25">
      <c r="B393" s="227" t="s">
        <v>383</v>
      </c>
      <c r="C393" s="793" t="s">
        <v>11</v>
      </c>
      <c r="D393" s="794"/>
      <c r="E393" s="367">
        <v>4</v>
      </c>
      <c r="F393" s="249">
        <v>4</v>
      </c>
    </row>
    <row r="394" spans="2:6" hidden="1" x14ac:dyDescent="0.25">
      <c r="B394" s="227" t="s">
        <v>383</v>
      </c>
      <c r="C394" s="793" t="s">
        <v>12</v>
      </c>
      <c r="D394" s="794"/>
      <c r="E394" s="367">
        <v>4</v>
      </c>
      <c r="F394" s="249">
        <v>4</v>
      </c>
    </row>
    <row r="395" spans="2:6" hidden="1" x14ac:dyDescent="0.25">
      <c r="B395" s="227" t="s">
        <v>383</v>
      </c>
      <c r="C395" s="793" t="s">
        <v>13</v>
      </c>
      <c r="D395" s="794"/>
      <c r="E395" s="367">
        <v>3</v>
      </c>
      <c r="F395" s="249">
        <v>3</v>
      </c>
    </row>
    <row r="396" spans="2:6" hidden="1" x14ac:dyDescent="0.25">
      <c r="B396" s="227" t="s">
        <v>383</v>
      </c>
      <c r="C396" s="793" t="s">
        <v>14</v>
      </c>
      <c r="D396" s="794"/>
      <c r="E396" s="367">
        <v>5</v>
      </c>
      <c r="F396" s="249">
        <v>5</v>
      </c>
    </row>
    <row r="397" spans="2:6" hidden="1" x14ac:dyDescent="0.25">
      <c r="B397" s="227" t="s">
        <v>383</v>
      </c>
      <c r="C397" s="793" t="s">
        <v>15</v>
      </c>
      <c r="D397" s="794"/>
      <c r="E397" s="367">
        <v>5</v>
      </c>
      <c r="F397" s="249">
        <v>5</v>
      </c>
    </row>
    <row r="398" spans="2:6" hidden="1" x14ac:dyDescent="0.25">
      <c r="B398" s="227" t="s">
        <v>383</v>
      </c>
      <c r="C398" s="793" t="s">
        <v>16</v>
      </c>
      <c r="D398" s="794"/>
      <c r="E398" s="367">
        <v>4</v>
      </c>
      <c r="F398" s="249">
        <v>4</v>
      </c>
    </row>
    <row r="399" spans="2:6" hidden="1" x14ac:dyDescent="0.25">
      <c r="B399" s="227" t="s">
        <v>383</v>
      </c>
      <c r="C399" s="793" t="s">
        <v>17</v>
      </c>
      <c r="D399" s="794"/>
      <c r="E399" s="367">
        <v>1</v>
      </c>
      <c r="F399" s="249">
        <v>1</v>
      </c>
    </row>
    <row r="400" spans="2:6" hidden="1" x14ac:dyDescent="0.25">
      <c r="B400" s="227" t="s">
        <v>384</v>
      </c>
      <c r="C400" s="793" t="s">
        <v>7</v>
      </c>
      <c r="D400" s="794"/>
      <c r="E400" s="367">
        <v>4</v>
      </c>
      <c r="F400" s="249">
        <v>4</v>
      </c>
    </row>
    <row r="401" spans="2:6" hidden="1" x14ac:dyDescent="0.25">
      <c r="B401" s="227" t="s">
        <v>384</v>
      </c>
      <c r="C401" s="793" t="s">
        <v>376</v>
      </c>
      <c r="D401" s="794"/>
      <c r="E401" s="367">
        <v>4</v>
      </c>
      <c r="F401" s="249">
        <v>4</v>
      </c>
    </row>
    <row r="402" spans="2:6" hidden="1" x14ac:dyDescent="0.25">
      <c r="B402" s="227" t="s">
        <v>384</v>
      </c>
      <c r="C402" s="793" t="s">
        <v>377</v>
      </c>
      <c r="D402" s="794"/>
      <c r="E402" s="367">
        <v>3</v>
      </c>
      <c r="F402" s="249">
        <v>3</v>
      </c>
    </row>
    <row r="403" spans="2:6" hidden="1" x14ac:dyDescent="0.25">
      <c r="B403" s="227" t="s">
        <v>384</v>
      </c>
      <c r="C403" s="793" t="s">
        <v>8</v>
      </c>
      <c r="D403" s="794"/>
      <c r="E403" s="367">
        <v>1</v>
      </c>
      <c r="F403" s="249">
        <v>1</v>
      </c>
    </row>
    <row r="404" spans="2:6" hidden="1" x14ac:dyDescent="0.25">
      <c r="B404" s="227" t="s">
        <v>384</v>
      </c>
      <c r="C404" s="793" t="s">
        <v>9</v>
      </c>
      <c r="D404" s="794"/>
      <c r="E404" s="367">
        <v>2</v>
      </c>
      <c r="F404" s="249">
        <v>2</v>
      </c>
    </row>
    <row r="405" spans="2:6" hidden="1" x14ac:dyDescent="0.25">
      <c r="B405" s="227" t="s">
        <v>384</v>
      </c>
      <c r="C405" s="793" t="s">
        <v>10</v>
      </c>
      <c r="D405" s="794"/>
      <c r="E405" s="367">
        <v>3</v>
      </c>
      <c r="F405" s="249">
        <v>3</v>
      </c>
    </row>
    <row r="406" spans="2:6" hidden="1" x14ac:dyDescent="0.25">
      <c r="B406" s="227" t="s">
        <v>384</v>
      </c>
      <c r="C406" s="793" t="s">
        <v>378</v>
      </c>
      <c r="D406" s="794"/>
      <c r="E406" s="367">
        <v>5</v>
      </c>
      <c r="F406" s="249">
        <v>5</v>
      </c>
    </row>
    <row r="407" spans="2:6" hidden="1" x14ac:dyDescent="0.25">
      <c r="B407" s="227" t="s">
        <v>384</v>
      </c>
      <c r="C407" s="793" t="s">
        <v>11</v>
      </c>
      <c r="D407" s="794"/>
      <c r="E407" s="367">
        <v>4</v>
      </c>
      <c r="F407" s="249">
        <v>5</v>
      </c>
    </row>
    <row r="408" spans="2:6" hidden="1" x14ac:dyDescent="0.25">
      <c r="B408" s="227" t="s">
        <v>384</v>
      </c>
      <c r="C408" s="793" t="s">
        <v>12</v>
      </c>
      <c r="D408" s="794"/>
      <c r="E408" s="367">
        <v>4</v>
      </c>
      <c r="F408" s="249">
        <v>4</v>
      </c>
    </row>
    <row r="409" spans="2:6" hidden="1" x14ac:dyDescent="0.25">
      <c r="B409" s="227" t="s">
        <v>384</v>
      </c>
      <c r="C409" s="793" t="s">
        <v>13</v>
      </c>
      <c r="D409" s="794"/>
      <c r="E409" s="367">
        <v>3</v>
      </c>
      <c r="F409" s="249">
        <v>1</v>
      </c>
    </row>
    <row r="410" spans="2:6" hidden="1" x14ac:dyDescent="0.25">
      <c r="B410" s="227" t="s">
        <v>384</v>
      </c>
      <c r="C410" s="793" t="s">
        <v>14</v>
      </c>
      <c r="D410" s="794"/>
      <c r="E410" s="367">
        <v>5</v>
      </c>
      <c r="F410" s="249">
        <v>5</v>
      </c>
    </row>
    <row r="411" spans="2:6" hidden="1" x14ac:dyDescent="0.25">
      <c r="B411" s="227" t="s">
        <v>384</v>
      </c>
      <c r="C411" s="793" t="s">
        <v>15</v>
      </c>
      <c r="D411" s="794"/>
      <c r="E411" s="367">
        <v>5</v>
      </c>
      <c r="F411" s="249">
        <v>5</v>
      </c>
    </row>
    <row r="412" spans="2:6" hidden="1" x14ac:dyDescent="0.25">
      <c r="B412" s="227" t="s">
        <v>384</v>
      </c>
      <c r="C412" s="793" t="s">
        <v>16</v>
      </c>
      <c r="D412" s="794"/>
      <c r="E412" s="367">
        <v>5</v>
      </c>
      <c r="F412" s="249">
        <v>5</v>
      </c>
    </row>
    <row r="413" spans="2:6" hidden="1" x14ac:dyDescent="0.25">
      <c r="B413" s="227" t="s">
        <v>384</v>
      </c>
      <c r="C413" s="793" t="s">
        <v>17</v>
      </c>
      <c r="D413" s="794"/>
      <c r="E413" s="367">
        <v>5</v>
      </c>
      <c r="F413" s="249">
        <v>5</v>
      </c>
    </row>
    <row r="414" spans="2:6" hidden="1" x14ac:dyDescent="0.25">
      <c r="B414" s="227" t="s">
        <v>385</v>
      </c>
      <c r="C414" s="793" t="s">
        <v>7</v>
      </c>
      <c r="D414" s="794"/>
      <c r="E414" s="367" t="s">
        <v>311</v>
      </c>
      <c r="F414" s="249" t="s">
        <v>311</v>
      </c>
    </row>
    <row r="415" spans="2:6" hidden="1" x14ac:dyDescent="0.25">
      <c r="B415" s="227" t="s">
        <v>385</v>
      </c>
      <c r="C415" s="793" t="s">
        <v>376</v>
      </c>
      <c r="D415" s="794"/>
      <c r="E415" s="367" t="s">
        <v>311</v>
      </c>
      <c r="F415" s="249" t="s">
        <v>311</v>
      </c>
    </row>
    <row r="416" spans="2:6" hidden="1" x14ac:dyDescent="0.25">
      <c r="B416" s="227" t="s">
        <v>385</v>
      </c>
      <c r="C416" s="793" t="s">
        <v>377</v>
      </c>
      <c r="D416" s="794"/>
      <c r="E416" s="367" t="s">
        <v>311</v>
      </c>
      <c r="F416" s="249" t="s">
        <v>311</v>
      </c>
    </row>
    <row r="417" spans="2:6" hidden="1" x14ac:dyDescent="0.25">
      <c r="B417" s="227" t="s">
        <v>385</v>
      </c>
      <c r="C417" s="793" t="s">
        <v>8</v>
      </c>
      <c r="D417" s="794"/>
      <c r="E417" s="367" t="s">
        <v>311</v>
      </c>
      <c r="F417" s="249" t="s">
        <v>311</v>
      </c>
    </row>
    <row r="418" spans="2:6" hidden="1" x14ac:dyDescent="0.25">
      <c r="B418" s="227" t="s">
        <v>385</v>
      </c>
      <c r="C418" s="793" t="s">
        <v>9</v>
      </c>
      <c r="D418" s="794"/>
      <c r="E418" s="367" t="s">
        <v>311</v>
      </c>
      <c r="F418" s="249" t="s">
        <v>311</v>
      </c>
    </row>
    <row r="419" spans="2:6" hidden="1" x14ac:dyDescent="0.25">
      <c r="B419" s="227" t="s">
        <v>385</v>
      </c>
      <c r="C419" s="793" t="s">
        <v>10</v>
      </c>
      <c r="D419" s="794"/>
      <c r="E419" s="367" t="s">
        <v>311</v>
      </c>
      <c r="F419" s="249" t="s">
        <v>311</v>
      </c>
    </row>
    <row r="420" spans="2:6" hidden="1" x14ac:dyDescent="0.25">
      <c r="B420" s="227" t="s">
        <v>385</v>
      </c>
      <c r="C420" s="793" t="s">
        <v>378</v>
      </c>
      <c r="D420" s="794"/>
      <c r="E420" s="367" t="s">
        <v>311</v>
      </c>
      <c r="F420" s="249" t="s">
        <v>311</v>
      </c>
    </row>
    <row r="421" spans="2:6" hidden="1" x14ac:dyDescent="0.25">
      <c r="B421" s="227" t="s">
        <v>385</v>
      </c>
      <c r="C421" s="793" t="s">
        <v>11</v>
      </c>
      <c r="D421" s="794"/>
      <c r="E421" s="367" t="s">
        <v>311</v>
      </c>
      <c r="F421" s="249" t="s">
        <v>311</v>
      </c>
    </row>
    <row r="422" spans="2:6" hidden="1" x14ac:dyDescent="0.25">
      <c r="B422" s="227" t="s">
        <v>385</v>
      </c>
      <c r="C422" s="793" t="s">
        <v>12</v>
      </c>
      <c r="D422" s="794"/>
      <c r="E422" s="367" t="s">
        <v>311</v>
      </c>
      <c r="F422" s="249" t="s">
        <v>311</v>
      </c>
    </row>
    <row r="423" spans="2:6" hidden="1" x14ac:dyDescent="0.25">
      <c r="B423" s="227" t="s">
        <v>385</v>
      </c>
      <c r="C423" s="793" t="s">
        <v>13</v>
      </c>
      <c r="D423" s="794"/>
      <c r="E423" s="367" t="s">
        <v>311</v>
      </c>
      <c r="F423" s="249" t="s">
        <v>311</v>
      </c>
    </row>
    <row r="424" spans="2:6" hidden="1" x14ac:dyDescent="0.25">
      <c r="B424" s="227" t="s">
        <v>385</v>
      </c>
      <c r="C424" s="793" t="s">
        <v>14</v>
      </c>
      <c r="D424" s="794"/>
      <c r="E424" s="367" t="s">
        <v>311</v>
      </c>
      <c r="F424" s="249" t="s">
        <v>311</v>
      </c>
    </row>
    <row r="425" spans="2:6" hidden="1" x14ac:dyDescent="0.25">
      <c r="B425" s="227" t="s">
        <v>385</v>
      </c>
      <c r="C425" s="793" t="s">
        <v>15</v>
      </c>
      <c r="D425" s="794"/>
      <c r="E425" s="367" t="s">
        <v>311</v>
      </c>
      <c r="F425" s="249" t="s">
        <v>311</v>
      </c>
    </row>
    <row r="426" spans="2:6" hidden="1" x14ac:dyDescent="0.25">
      <c r="B426" s="227" t="s">
        <v>385</v>
      </c>
      <c r="C426" s="793" t="s">
        <v>16</v>
      </c>
      <c r="D426" s="794"/>
      <c r="E426" s="367" t="s">
        <v>311</v>
      </c>
      <c r="F426" s="249" t="s">
        <v>311</v>
      </c>
    </row>
    <row r="427" spans="2:6" hidden="1" x14ac:dyDescent="0.25">
      <c r="B427" s="227" t="s">
        <v>385</v>
      </c>
      <c r="C427" s="793" t="s">
        <v>17</v>
      </c>
      <c r="D427" s="794"/>
      <c r="E427" s="367" t="s">
        <v>311</v>
      </c>
      <c r="F427" s="249" t="s">
        <v>311</v>
      </c>
    </row>
    <row r="428" spans="2:6" hidden="1" x14ac:dyDescent="0.25">
      <c r="B428" s="227" t="s">
        <v>386</v>
      </c>
      <c r="C428" s="793" t="s">
        <v>7</v>
      </c>
      <c r="D428" s="794"/>
      <c r="E428" s="367">
        <v>5</v>
      </c>
      <c r="F428" s="249">
        <v>5</v>
      </c>
    </row>
    <row r="429" spans="2:6" hidden="1" x14ac:dyDescent="0.25">
      <c r="B429" s="227" t="s">
        <v>386</v>
      </c>
      <c r="C429" s="793" t="s">
        <v>376</v>
      </c>
      <c r="D429" s="794"/>
      <c r="E429" s="367">
        <v>5</v>
      </c>
      <c r="F429" s="249">
        <v>5</v>
      </c>
    </row>
    <row r="430" spans="2:6" hidden="1" x14ac:dyDescent="0.25">
      <c r="B430" s="227" t="s">
        <v>386</v>
      </c>
      <c r="C430" s="793" t="s">
        <v>377</v>
      </c>
      <c r="D430" s="794"/>
      <c r="E430" s="367">
        <v>3</v>
      </c>
      <c r="F430" s="249">
        <v>3</v>
      </c>
    </row>
    <row r="431" spans="2:6" hidden="1" x14ac:dyDescent="0.25">
      <c r="B431" s="227" t="s">
        <v>386</v>
      </c>
      <c r="C431" s="793" t="s">
        <v>8</v>
      </c>
      <c r="D431" s="794"/>
      <c r="E431" s="367">
        <v>2</v>
      </c>
      <c r="F431" s="249">
        <v>2</v>
      </c>
    </row>
    <row r="432" spans="2:6" hidden="1" x14ac:dyDescent="0.25">
      <c r="B432" s="227" t="s">
        <v>386</v>
      </c>
      <c r="C432" s="793" t="s">
        <v>9</v>
      </c>
      <c r="D432" s="794"/>
      <c r="E432" s="367">
        <v>3</v>
      </c>
      <c r="F432" s="249">
        <v>3</v>
      </c>
    </row>
    <row r="433" spans="2:6" hidden="1" x14ac:dyDescent="0.25">
      <c r="B433" s="227" t="s">
        <v>386</v>
      </c>
      <c r="C433" s="793" t="s">
        <v>10</v>
      </c>
      <c r="D433" s="794"/>
      <c r="E433" s="367">
        <v>3</v>
      </c>
      <c r="F433" s="249">
        <v>3</v>
      </c>
    </row>
    <row r="434" spans="2:6" hidden="1" x14ac:dyDescent="0.25">
      <c r="B434" s="227" t="s">
        <v>386</v>
      </c>
      <c r="C434" s="793" t="s">
        <v>378</v>
      </c>
      <c r="D434" s="794"/>
      <c r="E434" s="367">
        <v>1</v>
      </c>
      <c r="F434" s="249">
        <v>4</v>
      </c>
    </row>
    <row r="435" spans="2:6" hidden="1" x14ac:dyDescent="0.25">
      <c r="B435" s="227" t="s">
        <v>386</v>
      </c>
      <c r="C435" s="793" t="s">
        <v>11</v>
      </c>
      <c r="D435" s="794"/>
      <c r="E435" s="367">
        <v>1</v>
      </c>
      <c r="F435" s="249">
        <v>5</v>
      </c>
    </row>
    <row r="436" spans="2:6" hidden="1" x14ac:dyDescent="0.25">
      <c r="B436" s="227" t="s">
        <v>386</v>
      </c>
      <c r="C436" s="793" t="s">
        <v>12</v>
      </c>
      <c r="D436" s="794"/>
      <c r="E436" s="367">
        <v>2</v>
      </c>
      <c r="F436" s="249">
        <v>2</v>
      </c>
    </row>
    <row r="437" spans="2:6" hidden="1" x14ac:dyDescent="0.25">
      <c r="B437" s="227" t="s">
        <v>386</v>
      </c>
      <c r="C437" s="793" t="s">
        <v>13</v>
      </c>
      <c r="D437" s="794"/>
      <c r="E437" s="367">
        <v>1</v>
      </c>
      <c r="F437" s="249">
        <v>1</v>
      </c>
    </row>
    <row r="438" spans="2:6" hidden="1" x14ac:dyDescent="0.25">
      <c r="B438" s="227" t="s">
        <v>386</v>
      </c>
      <c r="C438" s="793" t="s">
        <v>14</v>
      </c>
      <c r="D438" s="794"/>
      <c r="E438" s="367">
        <v>5</v>
      </c>
      <c r="F438" s="249">
        <v>5</v>
      </c>
    </row>
    <row r="439" spans="2:6" hidden="1" x14ac:dyDescent="0.25">
      <c r="B439" s="227" t="s">
        <v>386</v>
      </c>
      <c r="C439" s="793" t="s">
        <v>15</v>
      </c>
      <c r="D439" s="794"/>
      <c r="E439" s="367">
        <v>5</v>
      </c>
      <c r="F439" s="249">
        <v>5</v>
      </c>
    </row>
    <row r="440" spans="2:6" hidden="1" x14ac:dyDescent="0.25">
      <c r="B440" s="227" t="s">
        <v>386</v>
      </c>
      <c r="C440" s="793" t="s">
        <v>16</v>
      </c>
      <c r="D440" s="794"/>
      <c r="E440" s="367">
        <v>5</v>
      </c>
      <c r="F440" s="249">
        <v>5</v>
      </c>
    </row>
    <row r="441" spans="2:6" hidden="1" x14ac:dyDescent="0.25">
      <c r="B441" s="227" t="s">
        <v>386</v>
      </c>
      <c r="C441" s="793" t="s">
        <v>17</v>
      </c>
      <c r="D441" s="794"/>
      <c r="E441" s="367">
        <v>5</v>
      </c>
      <c r="F441" s="249">
        <v>5</v>
      </c>
    </row>
    <row r="442" spans="2:6" hidden="1" x14ac:dyDescent="0.25">
      <c r="B442" s="251" t="s">
        <v>387</v>
      </c>
      <c r="C442" s="793" t="s">
        <v>7</v>
      </c>
      <c r="D442" s="794"/>
      <c r="E442" s="367">
        <v>3</v>
      </c>
      <c r="F442" s="249">
        <v>3</v>
      </c>
    </row>
    <row r="443" spans="2:6" hidden="1" x14ac:dyDescent="0.25">
      <c r="B443" s="251" t="s">
        <v>387</v>
      </c>
      <c r="C443" s="793" t="s">
        <v>376</v>
      </c>
      <c r="D443" s="794"/>
      <c r="E443" s="367">
        <v>3</v>
      </c>
      <c r="F443" s="249">
        <v>3</v>
      </c>
    </row>
    <row r="444" spans="2:6" hidden="1" x14ac:dyDescent="0.25">
      <c r="B444" s="251" t="s">
        <v>387</v>
      </c>
      <c r="C444" s="793" t="s">
        <v>377</v>
      </c>
      <c r="D444" s="794"/>
      <c r="E444" s="367">
        <v>3</v>
      </c>
      <c r="F444" s="249">
        <v>3</v>
      </c>
    </row>
    <row r="445" spans="2:6" hidden="1" x14ac:dyDescent="0.25">
      <c r="B445" s="251" t="s">
        <v>387</v>
      </c>
      <c r="C445" s="793" t="s">
        <v>8</v>
      </c>
      <c r="D445" s="794"/>
      <c r="E445" s="367">
        <v>4</v>
      </c>
      <c r="F445" s="249">
        <v>4</v>
      </c>
    </row>
    <row r="446" spans="2:6" hidden="1" x14ac:dyDescent="0.25">
      <c r="B446" s="251" t="s">
        <v>387</v>
      </c>
      <c r="C446" s="793" t="s">
        <v>9</v>
      </c>
      <c r="D446" s="794"/>
      <c r="E446" s="367">
        <v>4</v>
      </c>
      <c r="F446" s="249">
        <v>4</v>
      </c>
    </row>
    <row r="447" spans="2:6" hidden="1" x14ac:dyDescent="0.25">
      <c r="B447" s="251" t="s">
        <v>387</v>
      </c>
      <c r="C447" s="793" t="s">
        <v>10</v>
      </c>
      <c r="D447" s="794"/>
      <c r="E447" s="367">
        <v>3</v>
      </c>
      <c r="F447" s="249">
        <v>3</v>
      </c>
    </row>
    <row r="448" spans="2:6" hidden="1" x14ac:dyDescent="0.25">
      <c r="B448" s="251" t="s">
        <v>387</v>
      </c>
      <c r="C448" s="793" t="s">
        <v>378</v>
      </c>
      <c r="D448" s="794"/>
      <c r="E448" s="367">
        <v>5</v>
      </c>
      <c r="F448" s="249">
        <v>5</v>
      </c>
    </row>
    <row r="449" spans="2:6" hidden="1" x14ac:dyDescent="0.25">
      <c r="B449" s="251" t="s">
        <v>387</v>
      </c>
      <c r="C449" s="793" t="s">
        <v>11</v>
      </c>
      <c r="D449" s="794"/>
      <c r="E449" s="367">
        <v>3</v>
      </c>
      <c r="F449" s="249">
        <v>5</v>
      </c>
    </row>
    <row r="450" spans="2:6" hidden="1" x14ac:dyDescent="0.25">
      <c r="B450" s="251" t="s">
        <v>387</v>
      </c>
      <c r="C450" s="793" t="s">
        <v>12</v>
      </c>
      <c r="D450" s="794"/>
      <c r="E450" s="367">
        <v>5</v>
      </c>
      <c r="F450" s="249">
        <v>5</v>
      </c>
    </row>
    <row r="451" spans="2:6" hidden="1" x14ac:dyDescent="0.25">
      <c r="B451" s="251" t="s">
        <v>387</v>
      </c>
      <c r="C451" s="793" t="s">
        <v>13</v>
      </c>
      <c r="D451" s="794"/>
      <c r="E451" s="367">
        <v>3</v>
      </c>
      <c r="F451" s="249">
        <v>3</v>
      </c>
    </row>
    <row r="452" spans="2:6" hidden="1" x14ac:dyDescent="0.25">
      <c r="B452" s="251" t="s">
        <v>387</v>
      </c>
      <c r="C452" s="793" t="s">
        <v>14</v>
      </c>
      <c r="D452" s="794"/>
      <c r="E452" s="367">
        <v>5</v>
      </c>
      <c r="F452" s="249">
        <v>5</v>
      </c>
    </row>
    <row r="453" spans="2:6" hidden="1" x14ac:dyDescent="0.25">
      <c r="B453" s="251" t="s">
        <v>387</v>
      </c>
      <c r="C453" s="793" t="s">
        <v>15</v>
      </c>
      <c r="D453" s="794"/>
      <c r="E453" s="367">
        <v>5</v>
      </c>
      <c r="F453" s="249">
        <v>5</v>
      </c>
    </row>
    <row r="454" spans="2:6" hidden="1" x14ac:dyDescent="0.25">
      <c r="B454" s="251" t="s">
        <v>387</v>
      </c>
      <c r="C454" s="793" t="s">
        <v>16</v>
      </c>
      <c r="D454" s="794"/>
      <c r="E454" s="367">
        <v>5</v>
      </c>
      <c r="F454" s="249">
        <v>5</v>
      </c>
    </row>
    <row r="455" spans="2:6" hidden="1" x14ac:dyDescent="0.25">
      <c r="B455" s="251" t="s">
        <v>387</v>
      </c>
      <c r="C455" s="793" t="s">
        <v>17</v>
      </c>
      <c r="D455" s="794"/>
      <c r="E455" s="367">
        <v>5</v>
      </c>
      <c r="F455" s="249">
        <v>5</v>
      </c>
    </row>
    <row r="456" spans="2:6" hidden="1" x14ac:dyDescent="0.25">
      <c r="B456" s="251" t="s">
        <v>388</v>
      </c>
      <c r="C456" s="793" t="s">
        <v>7</v>
      </c>
      <c r="D456" s="794"/>
      <c r="E456" s="367">
        <v>3</v>
      </c>
      <c r="F456" s="249">
        <v>5</v>
      </c>
    </row>
    <row r="457" spans="2:6" hidden="1" x14ac:dyDescent="0.25">
      <c r="B457" s="251" t="s">
        <v>388</v>
      </c>
      <c r="C457" s="793" t="s">
        <v>376</v>
      </c>
      <c r="D457" s="794"/>
      <c r="E457" s="367">
        <v>3</v>
      </c>
      <c r="F457" s="249">
        <v>3</v>
      </c>
    </row>
    <row r="458" spans="2:6" hidden="1" x14ac:dyDescent="0.25">
      <c r="B458" s="251" t="s">
        <v>388</v>
      </c>
      <c r="C458" s="793" t="s">
        <v>377</v>
      </c>
      <c r="D458" s="794"/>
      <c r="E458" s="367">
        <v>3</v>
      </c>
      <c r="F458" s="249">
        <v>3</v>
      </c>
    </row>
    <row r="459" spans="2:6" hidden="1" x14ac:dyDescent="0.25">
      <c r="B459" s="251" t="s">
        <v>388</v>
      </c>
      <c r="C459" s="793" t="s">
        <v>8</v>
      </c>
      <c r="D459" s="794"/>
      <c r="E459" s="367">
        <v>2</v>
      </c>
      <c r="F459" s="249">
        <v>4</v>
      </c>
    </row>
    <row r="460" spans="2:6" hidden="1" x14ac:dyDescent="0.25">
      <c r="B460" s="251" t="s">
        <v>388</v>
      </c>
      <c r="C460" s="793" t="s">
        <v>9</v>
      </c>
      <c r="D460" s="794"/>
      <c r="E460" s="367">
        <v>4</v>
      </c>
      <c r="F460" s="249">
        <v>4</v>
      </c>
    </row>
    <row r="461" spans="2:6" hidden="1" x14ac:dyDescent="0.25">
      <c r="B461" s="251" t="s">
        <v>388</v>
      </c>
      <c r="C461" s="793" t="s">
        <v>10</v>
      </c>
      <c r="D461" s="794"/>
      <c r="E461" s="367">
        <v>3</v>
      </c>
      <c r="F461" s="249">
        <v>3</v>
      </c>
    </row>
    <row r="462" spans="2:6" hidden="1" x14ac:dyDescent="0.25">
      <c r="B462" s="251" t="s">
        <v>388</v>
      </c>
      <c r="C462" s="793" t="s">
        <v>378</v>
      </c>
      <c r="D462" s="794"/>
      <c r="E462" s="367">
        <v>3</v>
      </c>
      <c r="F462" s="249">
        <v>3</v>
      </c>
    </row>
    <row r="463" spans="2:6" hidden="1" x14ac:dyDescent="0.25">
      <c r="B463" s="251" t="s">
        <v>388</v>
      </c>
      <c r="C463" s="793" t="s">
        <v>11</v>
      </c>
      <c r="D463" s="794"/>
      <c r="E463" s="367">
        <v>1</v>
      </c>
      <c r="F463" s="249">
        <v>1</v>
      </c>
    </row>
    <row r="464" spans="2:6" hidden="1" x14ac:dyDescent="0.25">
      <c r="B464" s="251" t="s">
        <v>388</v>
      </c>
      <c r="C464" s="793" t="s">
        <v>12</v>
      </c>
      <c r="D464" s="794"/>
      <c r="E464" s="367">
        <v>1</v>
      </c>
      <c r="F464" s="249">
        <v>1</v>
      </c>
    </row>
    <row r="465" spans="2:6" hidden="1" x14ac:dyDescent="0.25">
      <c r="B465" s="251" t="s">
        <v>388</v>
      </c>
      <c r="C465" s="793" t="s">
        <v>13</v>
      </c>
      <c r="D465" s="794"/>
      <c r="E465" s="367">
        <v>3</v>
      </c>
      <c r="F465" s="249">
        <v>3</v>
      </c>
    </row>
    <row r="466" spans="2:6" hidden="1" x14ac:dyDescent="0.25">
      <c r="B466" s="251" t="s">
        <v>388</v>
      </c>
      <c r="C466" s="793" t="s">
        <v>14</v>
      </c>
      <c r="D466" s="794"/>
      <c r="E466" s="367">
        <v>1</v>
      </c>
      <c r="F466" s="249">
        <v>1</v>
      </c>
    </row>
    <row r="467" spans="2:6" hidden="1" x14ac:dyDescent="0.25">
      <c r="B467" s="251" t="s">
        <v>388</v>
      </c>
      <c r="C467" s="793" t="s">
        <v>15</v>
      </c>
      <c r="D467" s="794"/>
      <c r="E467" s="367">
        <v>1</v>
      </c>
      <c r="F467" s="249">
        <v>1</v>
      </c>
    </row>
    <row r="468" spans="2:6" hidden="1" x14ac:dyDescent="0.25">
      <c r="B468" s="251" t="s">
        <v>388</v>
      </c>
      <c r="C468" s="793" t="s">
        <v>16</v>
      </c>
      <c r="D468" s="794"/>
      <c r="E468" s="367">
        <v>2</v>
      </c>
      <c r="F468" s="249">
        <v>2</v>
      </c>
    </row>
    <row r="469" spans="2:6" hidden="1" x14ac:dyDescent="0.25">
      <c r="B469" s="251" t="s">
        <v>388</v>
      </c>
      <c r="C469" s="793" t="s">
        <v>17</v>
      </c>
      <c r="D469" s="794"/>
      <c r="E469" s="367">
        <v>1</v>
      </c>
      <c r="F469" s="249">
        <v>1</v>
      </c>
    </row>
    <row r="470" spans="2:6" hidden="1" x14ac:dyDescent="0.25">
      <c r="B470" s="251" t="s">
        <v>389</v>
      </c>
      <c r="C470" s="793" t="s">
        <v>7</v>
      </c>
      <c r="D470" s="794"/>
      <c r="E470" s="367">
        <v>3</v>
      </c>
      <c r="F470" s="249">
        <v>3</v>
      </c>
    </row>
    <row r="471" spans="2:6" hidden="1" x14ac:dyDescent="0.25">
      <c r="B471" s="251" t="s">
        <v>389</v>
      </c>
      <c r="C471" s="793" t="s">
        <v>376</v>
      </c>
      <c r="D471" s="794"/>
      <c r="E471" s="367">
        <v>2</v>
      </c>
      <c r="F471" s="249">
        <v>2</v>
      </c>
    </row>
    <row r="472" spans="2:6" hidden="1" x14ac:dyDescent="0.25">
      <c r="B472" s="251" t="s">
        <v>389</v>
      </c>
      <c r="C472" s="793" t="s">
        <v>377</v>
      </c>
      <c r="D472" s="794"/>
      <c r="E472" s="367">
        <v>3</v>
      </c>
      <c r="F472" s="249">
        <v>3</v>
      </c>
    </row>
    <row r="473" spans="2:6" hidden="1" x14ac:dyDescent="0.25">
      <c r="B473" s="251" t="s">
        <v>389</v>
      </c>
      <c r="C473" s="793" t="s">
        <v>8</v>
      </c>
      <c r="D473" s="794"/>
      <c r="E473" s="367">
        <v>3</v>
      </c>
      <c r="F473" s="249">
        <v>3</v>
      </c>
    </row>
    <row r="474" spans="2:6" hidden="1" x14ac:dyDescent="0.25">
      <c r="B474" s="251" t="s">
        <v>389</v>
      </c>
      <c r="C474" s="793" t="s">
        <v>9</v>
      </c>
      <c r="D474" s="794"/>
      <c r="E474" s="367">
        <v>3</v>
      </c>
      <c r="F474" s="249">
        <v>3</v>
      </c>
    </row>
    <row r="475" spans="2:6" hidden="1" x14ac:dyDescent="0.25">
      <c r="B475" s="251" t="s">
        <v>389</v>
      </c>
      <c r="C475" s="793" t="s">
        <v>10</v>
      </c>
      <c r="D475" s="794"/>
      <c r="E475" s="367">
        <v>2</v>
      </c>
      <c r="F475" s="249">
        <v>2</v>
      </c>
    </row>
    <row r="476" spans="2:6" hidden="1" x14ac:dyDescent="0.25">
      <c r="B476" s="251" t="s">
        <v>389</v>
      </c>
      <c r="C476" s="793" t="s">
        <v>378</v>
      </c>
      <c r="D476" s="794"/>
      <c r="E476" s="367">
        <v>3</v>
      </c>
      <c r="F476" s="249">
        <v>3</v>
      </c>
    </row>
    <row r="477" spans="2:6" hidden="1" x14ac:dyDescent="0.25">
      <c r="B477" s="251" t="s">
        <v>389</v>
      </c>
      <c r="C477" s="793" t="s">
        <v>11</v>
      </c>
      <c r="D477" s="794"/>
      <c r="E477" s="367">
        <v>5</v>
      </c>
      <c r="F477" s="249">
        <v>5</v>
      </c>
    </row>
    <row r="478" spans="2:6" hidden="1" x14ac:dyDescent="0.25">
      <c r="B478" s="251" t="s">
        <v>389</v>
      </c>
      <c r="C478" s="793" t="s">
        <v>12</v>
      </c>
      <c r="D478" s="794"/>
      <c r="E478" s="367">
        <v>5</v>
      </c>
      <c r="F478" s="249">
        <v>5</v>
      </c>
    </row>
    <row r="479" spans="2:6" hidden="1" x14ac:dyDescent="0.25">
      <c r="B479" s="251" t="s">
        <v>389</v>
      </c>
      <c r="C479" s="793" t="s">
        <v>13</v>
      </c>
      <c r="D479" s="794"/>
      <c r="E479" s="367">
        <v>3</v>
      </c>
      <c r="F479" s="249">
        <v>3</v>
      </c>
    </row>
    <row r="480" spans="2:6" hidden="1" x14ac:dyDescent="0.25">
      <c r="B480" s="251" t="s">
        <v>389</v>
      </c>
      <c r="C480" s="793" t="s">
        <v>14</v>
      </c>
      <c r="D480" s="794"/>
      <c r="E480" s="367">
        <v>5</v>
      </c>
      <c r="F480" s="249">
        <v>5</v>
      </c>
    </row>
    <row r="481" spans="2:6" hidden="1" x14ac:dyDescent="0.25">
      <c r="B481" s="251" t="s">
        <v>389</v>
      </c>
      <c r="C481" s="793" t="s">
        <v>15</v>
      </c>
      <c r="D481" s="794"/>
      <c r="E481" s="367">
        <v>5</v>
      </c>
      <c r="F481" s="249">
        <v>5</v>
      </c>
    </row>
    <row r="482" spans="2:6" hidden="1" x14ac:dyDescent="0.25">
      <c r="B482" s="251" t="s">
        <v>389</v>
      </c>
      <c r="C482" s="793" t="s">
        <v>16</v>
      </c>
      <c r="D482" s="794"/>
      <c r="E482" s="367">
        <v>5</v>
      </c>
      <c r="F482" s="249">
        <v>5</v>
      </c>
    </row>
    <row r="483" spans="2:6" hidden="1" x14ac:dyDescent="0.25">
      <c r="B483" s="251" t="s">
        <v>389</v>
      </c>
      <c r="C483" s="793" t="s">
        <v>17</v>
      </c>
      <c r="D483" s="794"/>
      <c r="E483" s="367" t="s">
        <v>311</v>
      </c>
      <c r="F483" s="249">
        <v>3</v>
      </c>
    </row>
    <row r="484" spans="2:6" hidden="1" x14ac:dyDescent="0.25">
      <c r="B484" s="251" t="s">
        <v>390</v>
      </c>
      <c r="C484" s="793" t="s">
        <v>7</v>
      </c>
      <c r="D484" s="794"/>
      <c r="E484" s="367">
        <v>3</v>
      </c>
      <c r="F484" s="249">
        <v>3</v>
      </c>
    </row>
    <row r="485" spans="2:6" hidden="1" x14ac:dyDescent="0.25">
      <c r="B485" s="251" t="s">
        <v>390</v>
      </c>
      <c r="C485" s="793" t="s">
        <v>376</v>
      </c>
      <c r="D485" s="794"/>
      <c r="E485" s="367">
        <v>5</v>
      </c>
      <c r="F485" s="249">
        <v>4</v>
      </c>
    </row>
    <row r="486" spans="2:6" hidden="1" x14ac:dyDescent="0.25">
      <c r="B486" s="251" t="s">
        <v>390</v>
      </c>
      <c r="C486" s="793" t="s">
        <v>377</v>
      </c>
      <c r="D486" s="794"/>
      <c r="E486" s="367">
        <v>3</v>
      </c>
      <c r="F486" s="249">
        <v>3</v>
      </c>
    </row>
    <row r="487" spans="2:6" hidden="1" x14ac:dyDescent="0.25">
      <c r="B487" s="251" t="s">
        <v>390</v>
      </c>
      <c r="C487" s="793" t="s">
        <v>8</v>
      </c>
      <c r="D487" s="794"/>
      <c r="E487" s="367">
        <v>3</v>
      </c>
      <c r="F487" s="249">
        <v>3</v>
      </c>
    </row>
    <row r="488" spans="2:6" hidden="1" x14ac:dyDescent="0.25">
      <c r="B488" s="251" t="s">
        <v>390</v>
      </c>
      <c r="C488" s="793" t="s">
        <v>9</v>
      </c>
      <c r="D488" s="794"/>
      <c r="E488" s="367">
        <v>3</v>
      </c>
      <c r="F488" s="249">
        <v>3</v>
      </c>
    </row>
    <row r="489" spans="2:6" hidden="1" x14ac:dyDescent="0.25">
      <c r="B489" s="251" t="s">
        <v>390</v>
      </c>
      <c r="C489" s="793" t="s">
        <v>10</v>
      </c>
      <c r="D489" s="794"/>
      <c r="E489" s="367">
        <v>3</v>
      </c>
      <c r="F489" s="249">
        <v>3</v>
      </c>
    </row>
    <row r="490" spans="2:6" hidden="1" x14ac:dyDescent="0.25">
      <c r="B490" s="251" t="s">
        <v>390</v>
      </c>
      <c r="C490" s="793" t="s">
        <v>378</v>
      </c>
      <c r="D490" s="794"/>
      <c r="E490" s="367">
        <v>4</v>
      </c>
      <c r="F490" s="249">
        <v>3</v>
      </c>
    </row>
    <row r="491" spans="2:6" hidden="1" x14ac:dyDescent="0.25">
      <c r="B491" s="251" t="s">
        <v>390</v>
      </c>
      <c r="C491" s="793" t="s">
        <v>11</v>
      </c>
      <c r="D491" s="794"/>
      <c r="E491" s="367">
        <v>3</v>
      </c>
      <c r="F491" s="249">
        <v>3</v>
      </c>
    </row>
    <row r="492" spans="2:6" hidden="1" x14ac:dyDescent="0.25">
      <c r="B492" s="251" t="s">
        <v>390</v>
      </c>
      <c r="C492" s="793" t="s">
        <v>12</v>
      </c>
      <c r="D492" s="794"/>
      <c r="E492" s="367">
        <v>3</v>
      </c>
      <c r="F492" s="249">
        <v>3</v>
      </c>
    </row>
    <row r="493" spans="2:6" hidden="1" x14ac:dyDescent="0.25">
      <c r="B493" s="251" t="s">
        <v>390</v>
      </c>
      <c r="C493" s="793" t="s">
        <v>13</v>
      </c>
      <c r="D493" s="794"/>
      <c r="E493" s="367">
        <v>3</v>
      </c>
      <c r="F493" s="249">
        <v>1</v>
      </c>
    </row>
    <row r="494" spans="2:6" hidden="1" x14ac:dyDescent="0.25">
      <c r="B494" s="251" t="s">
        <v>390</v>
      </c>
      <c r="C494" s="793" t="s">
        <v>14</v>
      </c>
      <c r="D494" s="794"/>
      <c r="E494" s="367">
        <v>5</v>
      </c>
      <c r="F494" s="249">
        <v>3</v>
      </c>
    </row>
    <row r="495" spans="2:6" hidden="1" x14ac:dyDescent="0.25">
      <c r="B495" s="251" t="s">
        <v>390</v>
      </c>
      <c r="C495" s="793" t="s">
        <v>15</v>
      </c>
      <c r="D495" s="794"/>
      <c r="E495" s="367">
        <v>5</v>
      </c>
      <c r="F495" s="249">
        <v>5</v>
      </c>
    </row>
    <row r="496" spans="2:6" hidden="1" x14ac:dyDescent="0.25">
      <c r="B496" s="251" t="s">
        <v>390</v>
      </c>
      <c r="C496" s="793" t="s">
        <v>16</v>
      </c>
      <c r="D496" s="794"/>
      <c r="E496" s="367">
        <v>4</v>
      </c>
      <c r="F496" s="249">
        <v>3</v>
      </c>
    </row>
    <row r="497" spans="2:6" hidden="1" x14ac:dyDescent="0.25">
      <c r="B497" s="251" t="s">
        <v>390</v>
      </c>
      <c r="C497" s="793" t="s">
        <v>17</v>
      </c>
      <c r="D497" s="794"/>
      <c r="E497" s="367">
        <v>5</v>
      </c>
      <c r="F497" s="249">
        <v>4</v>
      </c>
    </row>
    <row r="498" spans="2:6" hidden="1" x14ac:dyDescent="0.25">
      <c r="B498" s="251" t="s">
        <v>391</v>
      </c>
      <c r="C498" s="793" t="s">
        <v>7</v>
      </c>
      <c r="D498" s="794"/>
      <c r="E498" s="367">
        <v>3</v>
      </c>
      <c r="F498" s="249">
        <v>3</v>
      </c>
    </row>
    <row r="499" spans="2:6" hidden="1" x14ac:dyDescent="0.25">
      <c r="B499" s="251" t="s">
        <v>391</v>
      </c>
      <c r="C499" s="793" t="s">
        <v>376</v>
      </c>
      <c r="D499" s="794"/>
      <c r="E499" s="367">
        <v>3</v>
      </c>
      <c r="F499" s="249">
        <v>1</v>
      </c>
    </row>
    <row r="500" spans="2:6" hidden="1" x14ac:dyDescent="0.25">
      <c r="B500" s="251" t="s">
        <v>391</v>
      </c>
      <c r="C500" s="793" t="s">
        <v>377</v>
      </c>
      <c r="D500" s="794"/>
      <c r="E500" s="367">
        <v>3</v>
      </c>
      <c r="F500" s="249">
        <v>3</v>
      </c>
    </row>
    <row r="501" spans="2:6" hidden="1" x14ac:dyDescent="0.25">
      <c r="B501" s="251" t="s">
        <v>391</v>
      </c>
      <c r="C501" s="793" t="s">
        <v>8</v>
      </c>
      <c r="D501" s="794"/>
      <c r="E501" s="367">
        <v>5</v>
      </c>
      <c r="F501" s="249">
        <v>5</v>
      </c>
    </row>
    <row r="502" spans="2:6" hidden="1" x14ac:dyDescent="0.25">
      <c r="B502" s="251" t="s">
        <v>391</v>
      </c>
      <c r="C502" s="793" t="s">
        <v>9</v>
      </c>
      <c r="D502" s="794"/>
      <c r="E502" s="367">
        <v>3</v>
      </c>
      <c r="F502" s="249">
        <v>3</v>
      </c>
    </row>
    <row r="503" spans="2:6" hidden="1" x14ac:dyDescent="0.25">
      <c r="B503" s="251" t="s">
        <v>391</v>
      </c>
      <c r="C503" s="793" t="s">
        <v>10</v>
      </c>
      <c r="D503" s="794"/>
      <c r="E503" s="367">
        <v>3</v>
      </c>
      <c r="F503" s="249">
        <v>3</v>
      </c>
    </row>
    <row r="504" spans="2:6" hidden="1" x14ac:dyDescent="0.25">
      <c r="B504" s="251" t="s">
        <v>391</v>
      </c>
      <c r="C504" s="793" t="s">
        <v>378</v>
      </c>
      <c r="D504" s="794"/>
      <c r="E504" s="367">
        <v>5</v>
      </c>
      <c r="F504" s="249">
        <v>5</v>
      </c>
    </row>
    <row r="505" spans="2:6" hidden="1" x14ac:dyDescent="0.25">
      <c r="B505" s="251" t="s">
        <v>391</v>
      </c>
      <c r="C505" s="793" t="s">
        <v>11</v>
      </c>
      <c r="D505" s="794"/>
      <c r="E505" s="367">
        <v>5</v>
      </c>
      <c r="F505" s="249">
        <v>5</v>
      </c>
    </row>
    <row r="506" spans="2:6" hidden="1" x14ac:dyDescent="0.25">
      <c r="B506" s="251" t="s">
        <v>391</v>
      </c>
      <c r="C506" s="793" t="s">
        <v>12</v>
      </c>
      <c r="D506" s="794"/>
      <c r="E506" s="367">
        <v>5</v>
      </c>
      <c r="F506" s="249">
        <v>5</v>
      </c>
    </row>
    <row r="507" spans="2:6" hidden="1" x14ac:dyDescent="0.25">
      <c r="B507" s="251" t="s">
        <v>391</v>
      </c>
      <c r="C507" s="793" t="s">
        <v>13</v>
      </c>
      <c r="D507" s="794"/>
      <c r="E507" s="367">
        <v>1</v>
      </c>
      <c r="F507" s="249">
        <v>1</v>
      </c>
    </row>
    <row r="508" spans="2:6" hidden="1" x14ac:dyDescent="0.25">
      <c r="B508" s="251" t="s">
        <v>391</v>
      </c>
      <c r="C508" s="793" t="s">
        <v>14</v>
      </c>
      <c r="D508" s="794"/>
      <c r="E508" s="367">
        <v>5</v>
      </c>
      <c r="F508" s="249">
        <v>5</v>
      </c>
    </row>
    <row r="509" spans="2:6" hidden="1" x14ac:dyDescent="0.25">
      <c r="B509" s="251" t="s">
        <v>391</v>
      </c>
      <c r="C509" s="793" t="s">
        <v>15</v>
      </c>
      <c r="D509" s="794"/>
      <c r="E509" s="367">
        <v>5</v>
      </c>
      <c r="F509" s="249">
        <v>5</v>
      </c>
    </row>
    <row r="510" spans="2:6" hidden="1" x14ac:dyDescent="0.25">
      <c r="B510" s="251" t="s">
        <v>391</v>
      </c>
      <c r="C510" s="793" t="s">
        <v>16</v>
      </c>
      <c r="D510" s="794"/>
      <c r="E510" s="367">
        <v>4</v>
      </c>
      <c r="F510" s="249">
        <v>4</v>
      </c>
    </row>
    <row r="511" spans="2:6" hidden="1" x14ac:dyDescent="0.25">
      <c r="B511" s="251" t="s">
        <v>391</v>
      </c>
      <c r="C511" s="793" t="s">
        <v>17</v>
      </c>
      <c r="D511" s="794"/>
      <c r="E511" s="367">
        <v>5</v>
      </c>
      <c r="F511" s="249">
        <v>5</v>
      </c>
    </row>
    <row r="512" spans="2:6" hidden="1" x14ac:dyDescent="0.25">
      <c r="B512" s="251" t="s">
        <v>392</v>
      </c>
      <c r="C512" s="793" t="s">
        <v>7</v>
      </c>
      <c r="D512" s="794"/>
      <c r="E512" s="367">
        <v>3</v>
      </c>
      <c r="F512" s="249">
        <v>3</v>
      </c>
    </row>
    <row r="513" spans="2:6" hidden="1" x14ac:dyDescent="0.25">
      <c r="B513" s="251" t="s">
        <v>392</v>
      </c>
      <c r="C513" s="793" t="s">
        <v>376</v>
      </c>
      <c r="D513" s="794"/>
      <c r="E513" s="367">
        <v>5</v>
      </c>
      <c r="F513" s="249">
        <v>5</v>
      </c>
    </row>
    <row r="514" spans="2:6" hidden="1" x14ac:dyDescent="0.25">
      <c r="B514" s="251" t="s">
        <v>392</v>
      </c>
      <c r="C514" s="793" t="s">
        <v>377</v>
      </c>
      <c r="D514" s="794"/>
      <c r="E514" s="367">
        <v>3</v>
      </c>
      <c r="F514" s="249">
        <v>3</v>
      </c>
    </row>
    <row r="515" spans="2:6" hidden="1" x14ac:dyDescent="0.25">
      <c r="B515" s="251" t="s">
        <v>392</v>
      </c>
      <c r="C515" s="793" t="s">
        <v>8</v>
      </c>
      <c r="D515" s="794"/>
      <c r="E515" s="367">
        <v>4</v>
      </c>
      <c r="F515" s="249">
        <v>4</v>
      </c>
    </row>
    <row r="516" spans="2:6" hidden="1" x14ac:dyDescent="0.25">
      <c r="B516" s="251" t="s">
        <v>392</v>
      </c>
      <c r="C516" s="793" t="s">
        <v>9</v>
      </c>
      <c r="D516" s="794"/>
      <c r="E516" s="367">
        <v>3</v>
      </c>
      <c r="F516" s="249">
        <v>3</v>
      </c>
    </row>
    <row r="517" spans="2:6" hidden="1" x14ac:dyDescent="0.25">
      <c r="B517" s="251" t="s">
        <v>392</v>
      </c>
      <c r="C517" s="793" t="s">
        <v>10</v>
      </c>
      <c r="D517" s="794"/>
      <c r="E517" s="367">
        <v>3</v>
      </c>
      <c r="F517" s="249">
        <v>3</v>
      </c>
    </row>
    <row r="518" spans="2:6" hidden="1" x14ac:dyDescent="0.25">
      <c r="B518" s="251" t="s">
        <v>392</v>
      </c>
      <c r="C518" s="793" t="s">
        <v>378</v>
      </c>
      <c r="D518" s="794"/>
      <c r="E518" s="367">
        <v>3</v>
      </c>
      <c r="F518" s="249">
        <v>3</v>
      </c>
    </row>
    <row r="519" spans="2:6" hidden="1" x14ac:dyDescent="0.25">
      <c r="B519" s="251" t="s">
        <v>392</v>
      </c>
      <c r="C519" s="793" t="s">
        <v>11</v>
      </c>
      <c r="D519" s="794"/>
      <c r="E519" s="367">
        <v>3</v>
      </c>
      <c r="F519" s="249">
        <v>5</v>
      </c>
    </row>
    <row r="520" spans="2:6" hidden="1" x14ac:dyDescent="0.25">
      <c r="B520" s="251" t="s">
        <v>392</v>
      </c>
      <c r="C520" s="793" t="s">
        <v>12</v>
      </c>
      <c r="D520" s="794"/>
      <c r="E520" s="367">
        <v>3</v>
      </c>
      <c r="F520" s="249">
        <v>5</v>
      </c>
    </row>
    <row r="521" spans="2:6" hidden="1" x14ac:dyDescent="0.25">
      <c r="B521" s="251" t="s">
        <v>392</v>
      </c>
      <c r="C521" s="793" t="s">
        <v>13</v>
      </c>
      <c r="D521" s="794"/>
      <c r="E521" s="367">
        <v>3</v>
      </c>
      <c r="F521" s="249">
        <v>3</v>
      </c>
    </row>
    <row r="522" spans="2:6" hidden="1" x14ac:dyDescent="0.25">
      <c r="B522" s="251" t="s">
        <v>392</v>
      </c>
      <c r="C522" s="793" t="s">
        <v>14</v>
      </c>
      <c r="D522" s="794"/>
      <c r="E522" s="367">
        <v>5</v>
      </c>
      <c r="F522" s="249">
        <v>5</v>
      </c>
    </row>
    <row r="523" spans="2:6" hidden="1" x14ac:dyDescent="0.25">
      <c r="B523" s="251" t="s">
        <v>392</v>
      </c>
      <c r="C523" s="793" t="s">
        <v>15</v>
      </c>
      <c r="D523" s="794"/>
      <c r="E523" s="367">
        <v>5</v>
      </c>
      <c r="F523" s="249">
        <v>5</v>
      </c>
    </row>
    <row r="524" spans="2:6" hidden="1" x14ac:dyDescent="0.25">
      <c r="B524" s="251" t="s">
        <v>392</v>
      </c>
      <c r="C524" s="793" t="s">
        <v>16</v>
      </c>
      <c r="D524" s="794"/>
      <c r="E524" s="367">
        <v>3</v>
      </c>
      <c r="F524" s="249">
        <v>5</v>
      </c>
    </row>
    <row r="525" spans="2:6" hidden="1" x14ac:dyDescent="0.25">
      <c r="B525" s="251" t="s">
        <v>392</v>
      </c>
      <c r="C525" s="793" t="s">
        <v>17</v>
      </c>
      <c r="D525" s="794"/>
      <c r="E525" s="367">
        <v>5</v>
      </c>
      <c r="F525" s="249">
        <v>5</v>
      </c>
    </row>
    <row r="526" spans="2:6" hidden="1" x14ac:dyDescent="0.25">
      <c r="B526" s="251" t="s">
        <v>393</v>
      </c>
      <c r="C526" s="793" t="s">
        <v>7</v>
      </c>
      <c r="D526" s="794"/>
      <c r="E526" s="367">
        <v>3</v>
      </c>
      <c r="F526" s="249">
        <v>3</v>
      </c>
    </row>
    <row r="527" spans="2:6" hidden="1" x14ac:dyDescent="0.25">
      <c r="B527" s="251" t="s">
        <v>393</v>
      </c>
      <c r="C527" s="793" t="s">
        <v>376</v>
      </c>
      <c r="D527" s="794"/>
      <c r="E527" s="367">
        <v>3</v>
      </c>
      <c r="F527" s="249">
        <v>3</v>
      </c>
    </row>
    <row r="528" spans="2:6" hidden="1" x14ac:dyDescent="0.25">
      <c r="B528" s="251" t="s">
        <v>393</v>
      </c>
      <c r="C528" s="793" t="s">
        <v>377</v>
      </c>
      <c r="D528" s="794"/>
      <c r="E528" s="367">
        <v>3</v>
      </c>
      <c r="F528" s="249">
        <v>3</v>
      </c>
    </row>
    <row r="529" spans="2:6" hidden="1" x14ac:dyDescent="0.25">
      <c r="B529" s="251" t="s">
        <v>393</v>
      </c>
      <c r="C529" s="793" t="s">
        <v>8</v>
      </c>
      <c r="D529" s="794"/>
      <c r="E529" s="367">
        <v>3</v>
      </c>
      <c r="F529" s="249">
        <v>3</v>
      </c>
    </row>
    <row r="530" spans="2:6" hidden="1" x14ac:dyDescent="0.25">
      <c r="B530" s="251" t="s">
        <v>393</v>
      </c>
      <c r="C530" s="793" t="s">
        <v>9</v>
      </c>
      <c r="D530" s="794"/>
      <c r="E530" s="367">
        <v>3</v>
      </c>
      <c r="F530" s="249">
        <v>3</v>
      </c>
    </row>
    <row r="531" spans="2:6" hidden="1" x14ac:dyDescent="0.25">
      <c r="B531" s="251" t="s">
        <v>393</v>
      </c>
      <c r="C531" s="793" t="s">
        <v>10</v>
      </c>
      <c r="D531" s="794"/>
      <c r="E531" s="367">
        <v>3</v>
      </c>
      <c r="F531" s="249">
        <v>3</v>
      </c>
    </row>
    <row r="532" spans="2:6" hidden="1" x14ac:dyDescent="0.25">
      <c r="B532" s="251" t="s">
        <v>393</v>
      </c>
      <c r="C532" s="793" t="s">
        <v>378</v>
      </c>
      <c r="D532" s="794"/>
      <c r="E532" s="367">
        <v>3</v>
      </c>
      <c r="F532" s="249">
        <v>3</v>
      </c>
    </row>
    <row r="533" spans="2:6" hidden="1" x14ac:dyDescent="0.25">
      <c r="B533" s="251" t="s">
        <v>393</v>
      </c>
      <c r="C533" s="793" t="s">
        <v>11</v>
      </c>
      <c r="D533" s="794"/>
      <c r="E533" s="367">
        <v>3</v>
      </c>
      <c r="F533" s="249">
        <v>3</v>
      </c>
    </row>
    <row r="534" spans="2:6" hidden="1" x14ac:dyDescent="0.25">
      <c r="B534" s="251" t="s">
        <v>393</v>
      </c>
      <c r="C534" s="793" t="s">
        <v>12</v>
      </c>
      <c r="D534" s="794"/>
      <c r="E534" s="367">
        <v>3</v>
      </c>
      <c r="F534" s="249">
        <v>3</v>
      </c>
    </row>
    <row r="535" spans="2:6" hidden="1" x14ac:dyDescent="0.25">
      <c r="B535" s="251" t="s">
        <v>393</v>
      </c>
      <c r="C535" s="793" t="s">
        <v>13</v>
      </c>
      <c r="D535" s="794"/>
      <c r="E535" s="367">
        <v>3</v>
      </c>
      <c r="F535" s="249">
        <v>3</v>
      </c>
    </row>
    <row r="536" spans="2:6" hidden="1" x14ac:dyDescent="0.25">
      <c r="B536" s="251" t="s">
        <v>393</v>
      </c>
      <c r="C536" s="793" t="s">
        <v>14</v>
      </c>
      <c r="D536" s="794"/>
      <c r="E536" s="367">
        <v>3</v>
      </c>
      <c r="F536" s="249">
        <v>3</v>
      </c>
    </row>
    <row r="537" spans="2:6" hidden="1" x14ac:dyDescent="0.25">
      <c r="B537" s="251" t="s">
        <v>393</v>
      </c>
      <c r="C537" s="793" t="s">
        <v>15</v>
      </c>
      <c r="D537" s="794"/>
      <c r="E537" s="367">
        <v>3</v>
      </c>
      <c r="F537" s="249">
        <v>3</v>
      </c>
    </row>
    <row r="538" spans="2:6" hidden="1" x14ac:dyDescent="0.25">
      <c r="B538" s="251" t="s">
        <v>393</v>
      </c>
      <c r="C538" s="793" t="s">
        <v>16</v>
      </c>
      <c r="D538" s="794"/>
      <c r="E538" s="367">
        <v>3</v>
      </c>
      <c r="F538" s="249">
        <v>3</v>
      </c>
    </row>
    <row r="539" spans="2:6" ht="15.75" hidden="1" thickBot="1" x14ac:dyDescent="0.3">
      <c r="B539" s="252" t="s">
        <v>393</v>
      </c>
      <c r="C539" s="791" t="s">
        <v>17</v>
      </c>
      <c r="D539" s="792"/>
      <c r="E539" s="369">
        <v>3</v>
      </c>
      <c r="F539" s="253">
        <v>3</v>
      </c>
    </row>
    <row r="540" spans="2:6" hidden="1" x14ac:dyDescent="0.25">
      <c r="B540" s="548"/>
      <c r="C540" s="515" t="s">
        <v>855</v>
      </c>
      <c r="D540" s="515"/>
      <c r="E540" s="552">
        <f>COUNTIFS(E316:E539, "=MISSING")</f>
        <v>15</v>
      </c>
      <c r="F540" s="553">
        <f>COUNTIFS(F316:F539, "=MISSING")</f>
        <v>14</v>
      </c>
    </row>
    <row r="541" spans="2:6" hidden="1" x14ac:dyDescent="0.25">
      <c r="B541" s="549"/>
      <c r="C541" s="516" t="s">
        <v>856</v>
      </c>
      <c r="D541" s="516"/>
      <c r="E541" s="367">
        <f>COUNTIFS(E316:E539, "=No Response")</f>
        <v>0</v>
      </c>
      <c r="F541" s="249">
        <f>COUNTIFS(F316:F539, "=No Response")</f>
        <v>0</v>
      </c>
    </row>
    <row r="542" spans="2:6" hidden="1" x14ac:dyDescent="0.25">
      <c r="B542" s="549"/>
      <c r="C542" s="516" t="s">
        <v>858</v>
      </c>
      <c r="D542" s="516"/>
      <c r="E542" s="367">
        <f>COUNTIFS(E316:E539, "=REMOVED")</f>
        <v>0</v>
      </c>
      <c r="F542" s="249">
        <f>COUNTIFS(F316:F539, "=REMOVED")</f>
        <v>0</v>
      </c>
    </row>
    <row r="543" spans="2:6" ht="15.75" hidden="1" thickBot="1" x14ac:dyDescent="0.3">
      <c r="B543" s="550"/>
      <c r="C543" s="517" t="s">
        <v>859</v>
      </c>
      <c r="D543" s="517"/>
      <c r="E543" s="369">
        <f>COUNTIFS(E316:E539, "&gt;0")</f>
        <v>209</v>
      </c>
      <c r="F543" s="253">
        <f>COUNTIFS(F316:F539, "&gt;0")</f>
        <v>210</v>
      </c>
    </row>
  </sheetData>
  <sheetProtection algorithmName="SHA-512" hashValue="1BpJbX2DekrX9HATXEI/NMtOYx2YXbyFbxDqj1uypvIzbjI3oEOqtVmN7cdQVeaLplx1VMs3zQYx/F6eYTkDGA==" saltValue="YKIiPrz39oiG77+1X6R5UQ==" spinCount="100000" sheet="1" objects="1" scenarios="1"/>
  <autoFilter ref="B187:M307" xr:uid="{0E090E12-A8A2-4151-8154-BB2A0FE48BED}">
    <sortState ref="B188:M307">
      <sortCondition ref="C187:C307"/>
    </sortState>
  </autoFilter>
  <mergeCells count="230">
    <mergeCell ref="C316:D316"/>
    <mergeCell ref="C317:D317"/>
    <mergeCell ref="C318:D318"/>
    <mergeCell ref="B314:B315"/>
    <mergeCell ref="C314:D315"/>
    <mergeCell ref="E314:F314"/>
    <mergeCell ref="E186:G186"/>
    <mergeCell ref="H186:J186"/>
    <mergeCell ref="K186:L186"/>
    <mergeCell ref="C324:D324"/>
    <mergeCell ref="C325:D325"/>
    <mergeCell ref="C326:D326"/>
    <mergeCell ref="C327:D327"/>
    <mergeCell ref="C328:D328"/>
    <mergeCell ref="C319:D319"/>
    <mergeCell ref="C320:D320"/>
    <mergeCell ref="C321:D321"/>
    <mergeCell ref="C322:D322"/>
    <mergeCell ref="C323:D323"/>
    <mergeCell ref="C334:D334"/>
    <mergeCell ref="C335:D335"/>
    <mergeCell ref="C336:D336"/>
    <mergeCell ref="C337:D337"/>
    <mergeCell ref="C338:D338"/>
    <mergeCell ref="C329:D329"/>
    <mergeCell ref="C330:D330"/>
    <mergeCell ref="C331:D331"/>
    <mergeCell ref="C332:D332"/>
    <mergeCell ref="C333:D333"/>
    <mergeCell ref="C344:D344"/>
    <mergeCell ref="C345:D345"/>
    <mergeCell ref="C346:D346"/>
    <mergeCell ref="C347:D347"/>
    <mergeCell ref="C348:D348"/>
    <mergeCell ref="C339:D339"/>
    <mergeCell ref="C340:D340"/>
    <mergeCell ref="C341:D341"/>
    <mergeCell ref="C342:D342"/>
    <mergeCell ref="C343:D343"/>
    <mergeCell ref="C354:D354"/>
    <mergeCell ref="C355:D355"/>
    <mergeCell ref="C356:D356"/>
    <mergeCell ref="C357:D357"/>
    <mergeCell ref="C358:D358"/>
    <mergeCell ref="C349:D349"/>
    <mergeCell ref="C350:D350"/>
    <mergeCell ref="C351:D351"/>
    <mergeCell ref="C352:D352"/>
    <mergeCell ref="C353:D353"/>
    <mergeCell ref="C364:D364"/>
    <mergeCell ref="C365:D365"/>
    <mergeCell ref="C366:D366"/>
    <mergeCell ref="C367:D367"/>
    <mergeCell ref="C368:D368"/>
    <mergeCell ref="C359:D359"/>
    <mergeCell ref="C360:D360"/>
    <mergeCell ref="C361:D361"/>
    <mergeCell ref="C362:D362"/>
    <mergeCell ref="C363:D363"/>
    <mergeCell ref="C374:D374"/>
    <mergeCell ref="C375:D375"/>
    <mergeCell ref="C376:D376"/>
    <mergeCell ref="C377:D377"/>
    <mergeCell ref="C378:D378"/>
    <mergeCell ref="C369:D369"/>
    <mergeCell ref="C370:D370"/>
    <mergeCell ref="C371:D371"/>
    <mergeCell ref="C372:D372"/>
    <mergeCell ref="C373:D373"/>
    <mergeCell ref="C384:D384"/>
    <mergeCell ref="C385:D385"/>
    <mergeCell ref="C386:D386"/>
    <mergeCell ref="C387:D387"/>
    <mergeCell ref="C388:D388"/>
    <mergeCell ref="C379:D379"/>
    <mergeCell ref="C380:D380"/>
    <mergeCell ref="C381:D381"/>
    <mergeCell ref="C382:D382"/>
    <mergeCell ref="C383:D383"/>
    <mergeCell ref="C394:D394"/>
    <mergeCell ref="C395:D395"/>
    <mergeCell ref="C396:D396"/>
    <mergeCell ref="C397:D397"/>
    <mergeCell ref="C398:D398"/>
    <mergeCell ref="C389:D389"/>
    <mergeCell ref="C390:D390"/>
    <mergeCell ref="C391:D391"/>
    <mergeCell ref="C392:D392"/>
    <mergeCell ref="C393:D393"/>
    <mergeCell ref="C404:D404"/>
    <mergeCell ref="C405:D405"/>
    <mergeCell ref="C406:D406"/>
    <mergeCell ref="C407:D407"/>
    <mergeCell ref="C408:D408"/>
    <mergeCell ref="C399:D399"/>
    <mergeCell ref="C400:D400"/>
    <mergeCell ref="C401:D401"/>
    <mergeCell ref="C402:D402"/>
    <mergeCell ref="C403:D403"/>
    <mergeCell ref="C414:D414"/>
    <mergeCell ref="C415:D415"/>
    <mergeCell ref="C416:D416"/>
    <mergeCell ref="C417:D417"/>
    <mergeCell ref="C418:D418"/>
    <mergeCell ref="C409:D409"/>
    <mergeCell ref="C410:D410"/>
    <mergeCell ref="C411:D411"/>
    <mergeCell ref="C412:D412"/>
    <mergeCell ref="C413:D413"/>
    <mergeCell ref="C424:D424"/>
    <mergeCell ref="C425:D425"/>
    <mergeCell ref="C426:D426"/>
    <mergeCell ref="C427:D427"/>
    <mergeCell ref="C428:D428"/>
    <mergeCell ref="C419:D419"/>
    <mergeCell ref="C420:D420"/>
    <mergeCell ref="C421:D421"/>
    <mergeCell ref="C422:D422"/>
    <mergeCell ref="C423:D423"/>
    <mergeCell ref="C434:D434"/>
    <mergeCell ref="C435:D435"/>
    <mergeCell ref="C436:D436"/>
    <mergeCell ref="C437:D437"/>
    <mergeCell ref="C438:D438"/>
    <mergeCell ref="C429:D429"/>
    <mergeCell ref="C430:D430"/>
    <mergeCell ref="C431:D431"/>
    <mergeCell ref="C432:D432"/>
    <mergeCell ref="C433:D433"/>
    <mergeCell ref="C444:D444"/>
    <mergeCell ref="C445:D445"/>
    <mergeCell ref="C446:D446"/>
    <mergeCell ref="C447:D447"/>
    <mergeCell ref="C448:D448"/>
    <mergeCell ref="C439:D439"/>
    <mergeCell ref="C440:D440"/>
    <mergeCell ref="C441:D441"/>
    <mergeCell ref="C442:D442"/>
    <mergeCell ref="C443:D443"/>
    <mergeCell ref="C454:D454"/>
    <mergeCell ref="C455:D455"/>
    <mergeCell ref="C456:D456"/>
    <mergeCell ref="C457:D457"/>
    <mergeCell ref="C458:D458"/>
    <mergeCell ref="C449:D449"/>
    <mergeCell ref="C450:D450"/>
    <mergeCell ref="C451:D451"/>
    <mergeCell ref="C452:D452"/>
    <mergeCell ref="C453:D453"/>
    <mergeCell ref="C464:D464"/>
    <mergeCell ref="C465:D465"/>
    <mergeCell ref="C466:D466"/>
    <mergeCell ref="C467:D467"/>
    <mergeCell ref="C468:D468"/>
    <mergeCell ref="C459:D459"/>
    <mergeCell ref="C460:D460"/>
    <mergeCell ref="C461:D461"/>
    <mergeCell ref="C462:D462"/>
    <mergeCell ref="C463:D463"/>
    <mergeCell ref="C474:D474"/>
    <mergeCell ref="C475:D475"/>
    <mergeCell ref="C476:D476"/>
    <mergeCell ref="C477:D477"/>
    <mergeCell ref="C478:D478"/>
    <mergeCell ref="C469:D469"/>
    <mergeCell ref="C470:D470"/>
    <mergeCell ref="C471:D471"/>
    <mergeCell ref="C472:D472"/>
    <mergeCell ref="C473:D473"/>
    <mergeCell ref="C484:D484"/>
    <mergeCell ref="C485:D485"/>
    <mergeCell ref="C486:D486"/>
    <mergeCell ref="C487:D487"/>
    <mergeCell ref="C488:D488"/>
    <mergeCell ref="C479:D479"/>
    <mergeCell ref="C480:D480"/>
    <mergeCell ref="C481:D481"/>
    <mergeCell ref="C482:D482"/>
    <mergeCell ref="C483:D483"/>
    <mergeCell ref="C494:D494"/>
    <mergeCell ref="C495:D495"/>
    <mergeCell ref="C496:D496"/>
    <mergeCell ref="C497:D497"/>
    <mergeCell ref="C498:D498"/>
    <mergeCell ref="C489:D489"/>
    <mergeCell ref="C490:D490"/>
    <mergeCell ref="C491:D491"/>
    <mergeCell ref="C492:D492"/>
    <mergeCell ref="C493:D493"/>
    <mergeCell ref="C504:D504"/>
    <mergeCell ref="C505:D505"/>
    <mergeCell ref="C506:D506"/>
    <mergeCell ref="C507:D507"/>
    <mergeCell ref="C508:D508"/>
    <mergeCell ref="C499:D499"/>
    <mergeCell ref="C500:D500"/>
    <mergeCell ref="C501:D501"/>
    <mergeCell ref="C502:D502"/>
    <mergeCell ref="C503:D503"/>
    <mergeCell ref="C514:D514"/>
    <mergeCell ref="C515:D515"/>
    <mergeCell ref="C516:D516"/>
    <mergeCell ref="C517:D517"/>
    <mergeCell ref="C518:D518"/>
    <mergeCell ref="C509:D509"/>
    <mergeCell ref="C510:D510"/>
    <mergeCell ref="C511:D511"/>
    <mergeCell ref="C512:D512"/>
    <mergeCell ref="C513:D513"/>
    <mergeCell ref="C524:D524"/>
    <mergeCell ref="C525:D525"/>
    <mergeCell ref="C526:D526"/>
    <mergeCell ref="C527:D527"/>
    <mergeCell ref="C528:D528"/>
    <mergeCell ref="C519:D519"/>
    <mergeCell ref="C520:D520"/>
    <mergeCell ref="C521:D521"/>
    <mergeCell ref="C522:D522"/>
    <mergeCell ref="C523:D523"/>
    <mergeCell ref="C539:D539"/>
    <mergeCell ref="C534:D534"/>
    <mergeCell ref="C535:D535"/>
    <mergeCell ref="C536:D536"/>
    <mergeCell ref="C537:D537"/>
    <mergeCell ref="C538:D538"/>
    <mergeCell ref="C529:D529"/>
    <mergeCell ref="C530:D530"/>
    <mergeCell ref="C531:D531"/>
    <mergeCell ref="C532:D532"/>
    <mergeCell ref="C533:D533"/>
  </mergeCells>
  <pageMargins left="0.7" right="0.7" top="0.75" bottom="0.75" header="0.3" footer="0.3"/>
  <pageSetup paperSize="3" scale="38" orientation="landscape" r:id="rId1"/>
  <headerFooter>
    <oddHeader>&amp;A</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'Data Validation Sheet'!$B$3:$B$4</xm:f>
          </x14:formula1>
          <xm:sqref>H8:H19 H23:H34</xm:sqref>
        </x14:dataValidation>
        <x14:dataValidation type="list" allowBlank="1" showInputMessage="1" showErrorMessage="1" xr:uid="{00000000-0002-0000-1400-000001000000}">
          <x14:formula1>
            <xm:f>'Data Validation Sheet'!$C$3:$C$4</xm:f>
          </x14:formula1>
          <xm:sqref>N8:N19 N23:N34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theme="8" tint="0.59999389629810485"/>
    <pageSetUpPr fitToPage="1"/>
  </sheetPr>
  <dimension ref="B2:M37"/>
  <sheetViews>
    <sheetView showGridLines="0" tabSelected="1" zoomScale="80" zoomScaleNormal="80" workbookViewId="0">
      <selection activeCell="E25" sqref="E25:F25"/>
    </sheetView>
  </sheetViews>
  <sheetFormatPr defaultRowHeight="15" x14ac:dyDescent="0.25"/>
  <cols>
    <col min="1" max="1" width="5.7109375" customWidth="1"/>
    <col min="3" max="3" width="11.7109375" customWidth="1"/>
    <col min="4" max="4" width="3.7109375" customWidth="1"/>
  </cols>
  <sheetData>
    <row r="2" spans="2:13" s="138" customFormat="1" ht="15.75" x14ac:dyDescent="0.25">
      <c r="B2" s="137"/>
    </row>
    <row r="3" spans="2:13" s="138" customFormat="1" ht="15.75" x14ac:dyDescent="0.25">
      <c r="B3" s="137"/>
    </row>
    <row r="4" spans="2:13" s="138" customFormat="1" ht="16.5" customHeight="1" x14ac:dyDescent="0.25">
      <c r="B4" s="137"/>
    </row>
    <row r="5" spans="2:13" s="138" customFormat="1" ht="16.5" customHeight="1" x14ac:dyDescent="0.25">
      <c r="B5" s="137"/>
    </row>
    <row r="6" spans="2:13" s="138" customFormat="1" ht="16.5" customHeight="1" x14ac:dyDescent="0.25">
      <c r="B6" s="137"/>
    </row>
    <row r="7" spans="2:13" s="138" customFormat="1" ht="16.5" customHeight="1" x14ac:dyDescent="0.25">
      <c r="B7" s="137"/>
    </row>
    <row r="8" spans="2:13" ht="20.25" x14ac:dyDescent="0.3">
      <c r="B8" s="136" t="s">
        <v>116</v>
      </c>
    </row>
    <row r="9" spans="2:13" ht="35.25" x14ac:dyDescent="0.5">
      <c r="B9" s="32" t="s">
        <v>117</v>
      </c>
    </row>
    <row r="10" spans="2:13" ht="14.25" customHeight="1" x14ac:dyDescent="0.5">
      <c r="B10" s="32"/>
    </row>
    <row r="11" spans="2:13" ht="18.75" x14ac:dyDescent="0.3">
      <c r="B11" s="94" t="s">
        <v>274</v>
      </c>
    </row>
    <row r="12" spans="2:13" x14ac:dyDescent="0.25">
      <c r="B12" s="758" t="s">
        <v>275</v>
      </c>
      <c r="C12" s="758"/>
      <c r="D12" s="758"/>
      <c r="E12" s="758"/>
      <c r="F12" s="758"/>
      <c r="G12" s="758"/>
      <c r="H12" s="758"/>
      <c r="I12" s="758"/>
      <c r="J12" s="758"/>
      <c r="K12" s="758"/>
      <c r="L12" s="758"/>
      <c r="M12" s="758"/>
    </row>
    <row r="13" spans="2:13" ht="51.75" customHeight="1" x14ac:dyDescent="0.25">
      <c r="B13" s="759" t="s">
        <v>948</v>
      </c>
      <c r="C13" s="759"/>
      <c r="D13" s="759"/>
      <c r="E13" s="759"/>
      <c r="F13" s="759"/>
      <c r="G13" s="759"/>
      <c r="H13" s="759"/>
      <c r="I13" s="759"/>
      <c r="J13" s="759"/>
      <c r="K13" s="759"/>
      <c r="L13" s="759"/>
      <c r="M13" s="139"/>
    </row>
    <row r="14" spans="2:13" ht="59.25" customHeight="1" x14ac:dyDescent="0.25">
      <c r="B14" s="759" t="s">
        <v>97</v>
      </c>
      <c r="C14" s="759"/>
      <c r="D14" s="759"/>
      <c r="E14" s="759"/>
      <c r="F14" s="759"/>
      <c r="G14" s="759"/>
      <c r="H14" s="759"/>
      <c r="I14" s="759"/>
      <c r="J14" s="759"/>
      <c r="K14" s="759"/>
      <c r="L14" s="759"/>
      <c r="M14" s="139"/>
    </row>
    <row r="15" spans="2:13" ht="76.5" customHeight="1" x14ac:dyDescent="0.25">
      <c r="B15" s="759" t="s">
        <v>949</v>
      </c>
      <c r="C15" s="759"/>
      <c r="D15" s="759"/>
      <c r="E15" s="759"/>
      <c r="F15" s="759"/>
      <c r="G15" s="759"/>
      <c r="H15" s="759"/>
      <c r="I15" s="759"/>
      <c r="J15" s="759"/>
      <c r="K15" s="759"/>
      <c r="L15" s="759"/>
      <c r="M15" s="139"/>
    </row>
    <row r="17" spans="2:12" ht="18.75" x14ac:dyDescent="0.3">
      <c r="B17" s="135" t="s">
        <v>277</v>
      </c>
    </row>
    <row r="18" spans="2:12" x14ac:dyDescent="0.25">
      <c r="B18" s="26" t="s">
        <v>947</v>
      </c>
    </row>
    <row r="20" spans="2:12" ht="18.75" x14ac:dyDescent="0.3">
      <c r="B20" s="94" t="s">
        <v>278</v>
      </c>
    </row>
    <row r="21" spans="2:12" x14ac:dyDescent="0.25">
      <c r="B21" s="10" t="s">
        <v>1028</v>
      </c>
      <c r="E21" s="760" t="s">
        <v>1031</v>
      </c>
      <c r="F21" s="765"/>
      <c r="G21" s="766"/>
      <c r="H21" s="11"/>
      <c r="I21" s="11"/>
      <c r="J21" s="11"/>
      <c r="K21" s="11"/>
      <c r="L21" s="11"/>
    </row>
    <row r="22" spans="2:12" x14ac:dyDescent="0.25">
      <c r="B22" s="10"/>
      <c r="E22" s="745"/>
      <c r="F22" s="746"/>
      <c r="G22" s="11"/>
      <c r="H22" s="11"/>
      <c r="I22" s="11"/>
      <c r="J22" s="11"/>
      <c r="K22" s="11"/>
      <c r="L22" s="11"/>
    </row>
    <row r="23" spans="2:12" x14ac:dyDescent="0.25">
      <c r="B23" s="10" t="s">
        <v>280</v>
      </c>
      <c r="E23" s="760">
        <v>43595</v>
      </c>
      <c r="F23" s="761"/>
      <c r="G23" s="11"/>
      <c r="H23" s="11"/>
      <c r="I23" s="11"/>
      <c r="J23" s="11"/>
      <c r="K23" s="11"/>
      <c r="L23" s="11"/>
    </row>
    <row r="24" spans="2:12" x14ac:dyDescent="0.25">
      <c r="B24" s="10"/>
      <c r="E24" s="35"/>
      <c r="F24" s="35"/>
      <c r="G24" s="11"/>
      <c r="H24" s="11"/>
      <c r="I24" s="11"/>
      <c r="J24" s="11"/>
      <c r="K24" s="11"/>
      <c r="L24" s="11"/>
    </row>
    <row r="25" spans="2:12" x14ac:dyDescent="0.25">
      <c r="B25" t="s">
        <v>276</v>
      </c>
      <c r="E25" s="747" t="s">
        <v>284</v>
      </c>
      <c r="F25" s="748"/>
      <c r="G25" s="11"/>
      <c r="H25" s="11"/>
      <c r="I25" s="11"/>
      <c r="J25" s="11"/>
      <c r="K25" s="11"/>
      <c r="L25" s="11"/>
    </row>
    <row r="26" spans="2:12" x14ac:dyDescent="0.25">
      <c r="E26" s="35"/>
      <c r="F26" s="35"/>
      <c r="G26" s="11"/>
      <c r="H26" s="11"/>
      <c r="I26" s="11"/>
      <c r="J26" s="11"/>
      <c r="K26" s="11"/>
      <c r="L26" s="11"/>
    </row>
    <row r="27" spans="2:12" x14ac:dyDescent="0.25">
      <c r="B27" t="s">
        <v>1027</v>
      </c>
      <c r="E27" s="747"/>
      <c r="F27" s="748"/>
      <c r="G27" s="11"/>
      <c r="H27" s="11"/>
      <c r="I27" s="11"/>
      <c r="J27" s="11"/>
      <c r="K27" s="11"/>
      <c r="L27" s="11"/>
    </row>
    <row r="28" spans="2:12" x14ac:dyDescent="0.25">
      <c r="E28" s="35"/>
      <c r="F28" s="35"/>
      <c r="G28" s="11"/>
      <c r="H28" s="11"/>
      <c r="I28" s="11"/>
      <c r="J28" s="11"/>
      <c r="K28" s="11"/>
      <c r="L28" s="11"/>
    </row>
    <row r="29" spans="2:12" x14ac:dyDescent="0.25">
      <c r="B29" t="s">
        <v>1030</v>
      </c>
      <c r="E29" s="747"/>
      <c r="F29" s="748"/>
      <c r="G29" s="11"/>
      <c r="H29" s="11"/>
      <c r="I29" s="11"/>
      <c r="J29" s="11"/>
      <c r="K29" s="11"/>
      <c r="L29" s="11"/>
    </row>
    <row r="30" spans="2:12" x14ac:dyDescent="0.25">
      <c r="E30" s="35"/>
      <c r="F30" s="35"/>
      <c r="G30" s="11"/>
      <c r="H30" s="11"/>
      <c r="I30" s="11"/>
      <c r="J30" s="11"/>
      <c r="K30" s="11"/>
      <c r="L30" s="11"/>
    </row>
    <row r="31" spans="2:12" x14ac:dyDescent="0.25">
      <c r="B31" t="s">
        <v>1029</v>
      </c>
      <c r="E31" s="762"/>
      <c r="F31" s="763"/>
      <c r="G31" s="763"/>
      <c r="H31" s="763"/>
      <c r="I31" s="763"/>
      <c r="J31" s="763"/>
      <c r="K31" s="763"/>
      <c r="L31" s="764"/>
    </row>
    <row r="32" spans="2:12" x14ac:dyDescent="0.25">
      <c r="E32" s="35"/>
      <c r="F32" s="35"/>
      <c r="G32" s="11"/>
      <c r="H32" s="11"/>
      <c r="I32" s="11"/>
      <c r="J32" s="11"/>
      <c r="K32" s="11"/>
      <c r="L32" s="11"/>
    </row>
    <row r="33" spans="2:12" x14ac:dyDescent="0.25">
      <c r="B33" t="s">
        <v>279</v>
      </c>
      <c r="E33" s="749"/>
      <c r="F33" s="750"/>
      <c r="G33" s="750"/>
      <c r="H33" s="750"/>
      <c r="I33" s="750"/>
      <c r="J33" s="750"/>
      <c r="K33" s="750"/>
      <c r="L33" s="751"/>
    </row>
    <row r="34" spans="2:12" x14ac:dyDescent="0.25">
      <c r="E34" s="752"/>
      <c r="F34" s="753"/>
      <c r="G34" s="753"/>
      <c r="H34" s="753"/>
      <c r="I34" s="753"/>
      <c r="J34" s="753"/>
      <c r="K34" s="753"/>
      <c r="L34" s="754"/>
    </row>
    <row r="35" spans="2:12" x14ac:dyDescent="0.25">
      <c r="E35" s="752"/>
      <c r="F35" s="753"/>
      <c r="G35" s="753"/>
      <c r="H35" s="753"/>
      <c r="I35" s="753"/>
      <c r="J35" s="753"/>
      <c r="K35" s="753"/>
      <c r="L35" s="754"/>
    </row>
    <row r="36" spans="2:12" x14ac:dyDescent="0.25">
      <c r="E36" s="752"/>
      <c r="F36" s="753"/>
      <c r="G36" s="753"/>
      <c r="H36" s="753"/>
      <c r="I36" s="753"/>
      <c r="J36" s="753"/>
      <c r="K36" s="753"/>
      <c r="L36" s="754"/>
    </row>
    <row r="37" spans="2:12" x14ac:dyDescent="0.25">
      <c r="E37" s="755"/>
      <c r="F37" s="756"/>
      <c r="G37" s="756"/>
      <c r="H37" s="756"/>
      <c r="I37" s="756"/>
      <c r="J37" s="756"/>
      <c r="K37" s="756"/>
      <c r="L37" s="757"/>
    </row>
  </sheetData>
  <sheetProtection algorithmName="SHA-512" hashValue="7zabMafHh3+BtqpcLFhSRcRL146n7eUlHNFqN3MLuuAbi8MnVTIG8Np7tuY1p+yM8HS5XqRzAwW5JB4C6KmkNg==" saltValue="GYiMiMFLF7+/eqTnWlLTUA==" spinCount="100000" sheet="1" objects="1" scenarios="1"/>
  <mergeCells count="11">
    <mergeCell ref="E27:F27"/>
    <mergeCell ref="E25:F25"/>
    <mergeCell ref="E33:L37"/>
    <mergeCell ref="B12:M12"/>
    <mergeCell ref="B13:L13"/>
    <mergeCell ref="B14:L14"/>
    <mergeCell ref="B15:L15"/>
    <mergeCell ref="E23:F23"/>
    <mergeCell ref="E31:L31"/>
    <mergeCell ref="E29:F29"/>
    <mergeCell ref="E21:G21"/>
  </mergeCells>
  <pageMargins left="0.7" right="0.7" top="0.75" bottom="0.75" header="0.3" footer="0.3"/>
  <pageSetup paperSize="3" fitToHeight="0"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Validation Sheet'!$D$3:$D$5</xm:f>
          </x14:formula1>
          <xm:sqref>E25:F25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5"/>
  </sheetPr>
  <dimension ref="A1:BS136"/>
  <sheetViews>
    <sheetView workbookViewId="0">
      <pane xSplit="3" ySplit="6" topLeftCell="BK125" activePane="bottomRight" state="frozen"/>
      <selection pane="topRight" activeCell="E1" sqref="E1"/>
      <selection pane="bottomLeft" activeCell="A7" sqref="A7"/>
      <selection pane="bottomRight" activeCell="BS130" sqref="BS130"/>
    </sheetView>
  </sheetViews>
  <sheetFormatPr defaultRowHeight="15" x14ac:dyDescent="0.25"/>
  <cols>
    <col min="2" max="2" width="41.140625" customWidth="1"/>
    <col min="3" max="3" width="20.5703125" customWidth="1"/>
    <col min="4" max="8" width="16.140625" style="161" customWidth="1"/>
    <col min="9" max="17" width="14.5703125" style="161" customWidth="1"/>
    <col min="19" max="23" width="19" customWidth="1"/>
    <col min="25" max="25" width="18.140625" customWidth="1"/>
    <col min="27" max="31" width="18.85546875" customWidth="1"/>
    <col min="33" max="36" width="19.28515625" customWidth="1"/>
    <col min="38" max="38" width="18.85546875" customWidth="1"/>
    <col min="40" max="40" width="18.85546875" customWidth="1"/>
    <col min="42" max="44" width="19.28515625" customWidth="1"/>
    <col min="46" max="49" width="19" customWidth="1"/>
    <col min="51" max="54" width="19.42578125" customWidth="1"/>
    <col min="56" max="62" width="18.7109375" customWidth="1"/>
    <col min="64" max="67" width="18.85546875" customWidth="1"/>
    <col min="69" max="71" width="19" customWidth="1"/>
  </cols>
  <sheetData>
    <row r="1" spans="1:71" ht="15.75" x14ac:dyDescent="0.25">
      <c r="A1" s="850" t="s">
        <v>746</v>
      </c>
      <c r="B1" s="850"/>
      <c r="C1" s="850"/>
      <c r="D1" s="850"/>
      <c r="E1" s="850"/>
      <c r="F1" s="850"/>
      <c r="G1" s="850"/>
      <c r="R1" s="164"/>
      <c r="S1" s="165"/>
      <c r="T1" s="165"/>
      <c r="U1" s="165"/>
      <c r="V1" s="165"/>
      <c r="W1" s="165"/>
      <c r="X1" s="164"/>
      <c r="Y1" s="165"/>
      <c r="Z1" s="164"/>
      <c r="AA1" s="165"/>
      <c r="AB1" s="165"/>
      <c r="AC1" s="165"/>
      <c r="AD1" s="165"/>
      <c r="AE1" s="165"/>
      <c r="AF1" s="164"/>
      <c r="AG1" s="165"/>
      <c r="AH1" s="165"/>
      <c r="AI1" s="165"/>
      <c r="AJ1" s="165"/>
      <c r="AK1" s="164"/>
      <c r="AL1" s="165"/>
      <c r="AM1" s="164"/>
      <c r="AN1" s="162"/>
      <c r="AO1" s="164"/>
      <c r="AP1" s="162"/>
      <c r="AQ1" s="162"/>
      <c r="AR1" s="162"/>
      <c r="AS1" s="164"/>
      <c r="AT1" s="166"/>
      <c r="AU1" s="163"/>
      <c r="AV1" s="9"/>
      <c r="AW1" s="9"/>
      <c r="AX1" s="164"/>
      <c r="AY1" s="9"/>
      <c r="AZ1" s="9"/>
      <c r="BA1" s="9"/>
      <c r="BB1" s="9"/>
      <c r="BC1" s="164"/>
      <c r="BD1" s="9"/>
      <c r="BE1" s="9"/>
      <c r="BF1" s="9"/>
      <c r="BG1" s="167"/>
      <c r="BH1" s="167"/>
      <c r="BI1" s="167"/>
      <c r="BJ1" s="167"/>
      <c r="BK1" s="164"/>
      <c r="BL1" s="167"/>
      <c r="BM1" s="167"/>
      <c r="BN1" s="167"/>
      <c r="BO1" s="167"/>
      <c r="BP1" s="164"/>
      <c r="BQ1" s="167"/>
      <c r="BR1" s="167"/>
      <c r="BS1" s="167"/>
    </row>
    <row r="2" spans="1:71" x14ac:dyDescent="0.25">
      <c r="B2" s="168"/>
      <c r="C2" s="168"/>
      <c r="R2" s="170"/>
      <c r="S2" s="171"/>
      <c r="T2" s="171"/>
      <c r="U2" s="171"/>
      <c r="V2" s="171"/>
      <c r="W2" s="171"/>
      <c r="X2" s="170"/>
      <c r="Y2" s="171"/>
      <c r="Z2" s="170"/>
      <c r="AA2" s="171"/>
      <c r="AB2" s="171"/>
      <c r="AC2" s="171"/>
      <c r="AD2" s="171"/>
      <c r="AE2" s="171"/>
      <c r="AF2" s="170"/>
      <c r="AG2" s="171"/>
      <c r="AH2" s="171"/>
      <c r="AI2" s="171"/>
      <c r="AJ2" s="171"/>
      <c r="AK2" s="170"/>
      <c r="AL2" s="171"/>
      <c r="AM2" s="170"/>
      <c r="AN2" s="171"/>
      <c r="AO2" s="170"/>
      <c r="AP2" s="171"/>
      <c r="AQ2" s="171"/>
      <c r="AR2" s="171"/>
      <c r="AS2" s="170"/>
      <c r="AT2" s="171"/>
      <c r="AU2" s="171"/>
      <c r="AV2" s="171"/>
      <c r="AW2" s="171"/>
      <c r="AX2" s="170"/>
      <c r="AY2" s="171"/>
      <c r="AZ2" s="171"/>
      <c r="BA2" s="171"/>
      <c r="BB2" s="171"/>
      <c r="BC2" s="170"/>
      <c r="BD2" s="171"/>
      <c r="BE2" s="171"/>
      <c r="BF2" s="171"/>
      <c r="BG2" s="171"/>
      <c r="BH2" s="171"/>
      <c r="BI2" s="171"/>
      <c r="BJ2" s="171"/>
      <c r="BK2" s="170"/>
      <c r="BL2" s="171"/>
      <c r="BM2" s="171"/>
      <c r="BN2" s="171"/>
      <c r="BO2" s="171"/>
      <c r="BP2" s="170"/>
      <c r="BQ2" s="171"/>
      <c r="BR2" s="171"/>
      <c r="BS2" s="171"/>
    </row>
    <row r="3" spans="1:71" ht="38.25" customHeight="1" x14ac:dyDescent="0.25">
      <c r="B3" s="267"/>
      <c r="C3" s="267"/>
      <c r="D3" s="267"/>
      <c r="E3" s="267"/>
      <c r="F3" s="267"/>
      <c r="G3" s="267"/>
      <c r="H3" s="267"/>
      <c r="R3" s="170"/>
      <c r="S3" s="851" t="s">
        <v>446</v>
      </c>
      <c r="T3" s="852"/>
      <c r="U3" s="852"/>
      <c r="V3" s="852"/>
      <c r="W3" s="853"/>
      <c r="X3" s="170"/>
      <c r="Y3" s="276" t="s">
        <v>447</v>
      </c>
      <c r="Z3" s="170"/>
      <c r="AA3" s="851" t="s">
        <v>448</v>
      </c>
      <c r="AB3" s="852"/>
      <c r="AC3" s="852"/>
      <c r="AD3" s="852"/>
      <c r="AE3" s="853"/>
      <c r="AF3" s="170"/>
      <c r="AG3" s="851" t="s">
        <v>449</v>
      </c>
      <c r="AH3" s="852"/>
      <c r="AI3" s="852"/>
      <c r="AJ3" s="853"/>
      <c r="AK3" s="170"/>
      <c r="AL3" s="278" t="s">
        <v>450</v>
      </c>
      <c r="AM3" s="170"/>
      <c r="AN3" s="278" t="s">
        <v>451</v>
      </c>
      <c r="AO3" s="170"/>
      <c r="AP3" s="851" t="s">
        <v>452</v>
      </c>
      <c r="AQ3" s="852"/>
      <c r="AR3" s="853"/>
      <c r="AS3" s="170"/>
      <c r="AT3" s="851" t="s">
        <v>453</v>
      </c>
      <c r="AU3" s="852"/>
      <c r="AV3" s="852"/>
      <c r="AW3" s="853"/>
      <c r="AX3" s="170"/>
      <c r="AY3" s="854" t="s">
        <v>454</v>
      </c>
      <c r="AZ3" s="855"/>
      <c r="BA3" s="855"/>
      <c r="BB3" s="856"/>
      <c r="BC3" s="170"/>
      <c r="BD3" s="854" t="s">
        <v>455</v>
      </c>
      <c r="BE3" s="855"/>
      <c r="BF3" s="855"/>
      <c r="BG3" s="855"/>
      <c r="BH3" s="855"/>
      <c r="BI3" s="855"/>
      <c r="BJ3" s="856"/>
      <c r="BK3" s="170"/>
      <c r="BL3" s="854" t="s">
        <v>456</v>
      </c>
      <c r="BM3" s="855"/>
      <c r="BN3" s="855"/>
      <c r="BO3" s="856"/>
      <c r="BP3" s="170"/>
      <c r="BQ3" s="854" t="s">
        <v>457</v>
      </c>
      <c r="BR3" s="855"/>
      <c r="BS3" s="856"/>
    </row>
    <row r="4" spans="1:71" ht="38.25" customHeight="1" x14ac:dyDescent="0.25">
      <c r="B4" s="268"/>
      <c r="C4" s="268"/>
      <c r="D4" s="268"/>
      <c r="E4" s="268"/>
      <c r="F4" s="268"/>
      <c r="G4" s="268"/>
      <c r="H4" s="268"/>
      <c r="R4" s="170"/>
      <c r="S4" s="851" t="s">
        <v>458</v>
      </c>
      <c r="T4" s="852"/>
      <c r="U4" s="852"/>
      <c r="V4" s="853"/>
      <c r="W4" s="274" t="s">
        <v>459</v>
      </c>
      <c r="X4" s="170"/>
      <c r="Y4" s="276" t="s">
        <v>460</v>
      </c>
      <c r="Z4" s="170"/>
      <c r="AA4" s="851" t="s">
        <v>461</v>
      </c>
      <c r="AB4" s="853"/>
      <c r="AC4" s="851" t="s">
        <v>462</v>
      </c>
      <c r="AD4" s="853"/>
      <c r="AE4" s="274" t="s">
        <v>463</v>
      </c>
      <c r="AF4" s="170"/>
      <c r="AG4" s="851" t="s">
        <v>464</v>
      </c>
      <c r="AH4" s="852"/>
      <c r="AI4" s="853"/>
      <c r="AJ4" s="274" t="s">
        <v>465</v>
      </c>
      <c r="AK4" s="170"/>
      <c r="AL4" s="274" t="s">
        <v>466</v>
      </c>
      <c r="AM4" s="170"/>
      <c r="AN4" s="274" t="s">
        <v>467</v>
      </c>
      <c r="AO4" s="170"/>
      <c r="AP4" s="851" t="s">
        <v>468</v>
      </c>
      <c r="AQ4" s="853"/>
      <c r="AR4" s="274" t="s">
        <v>469</v>
      </c>
      <c r="AS4" s="170"/>
      <c r="AT4" s="851" t="s">
        <v>107</v>
      </c>
      <c r="AU4" s="852"/>
      <c r="AV4" s="853"/>
      <c r="AW4" s="280" t="s">
        <v>470</v>
      </c>
      <c r="AX4" s="170"/>
      <c r="AY4" s="854" t="s">
        <v>471</v>
      </c>
      <c r="AZ4" s="855"/>
      <c r="BA4" s="855"/>
      <c r="BB4" s="856"/>
      <c r="BC4" s="170"/>
      <c r="BD4" s="854" t="s">
        <v>472</v>
      </c>
      <c r="BE4" s="856"/>
      <c r="BF4" s="854" t="s">
        <v>473</v>
      </c>
      <c r="BG4" s="855"/>
      <c r="BH4" s="855"/>
      <c r="BI4" s="855"/>
      <c r="BJ4" s="856"/>
      <c r="BK4" s="170"/>
      <c r="BL4" s="280" t="s">
        <v>474</v>
      </c>
      <c r="BM4" s="280" t="s">
        <v>475</v>
      </c>
      <c r="BN4" s="854" t="s">
        <v>476</v>
      </c>
      <c r="BO4" s="856"/>
      <c r="BP4" s="170"/>
      <c r="BQ4" s="857" t="s">
        <v>477</v>
      </c>
      <c r="BR4" s="858"/>
      <c r="BS4" s="859"/>
    </row>
    <row r="5" spans="1:71" s="178" customFormat="1" ht="140.25" x14ac:dyDescent="0.25">
      <c r="B5" s="848"/>
      <c r="C5" s="849"/>
      <c r="D5" s="285"/>
      <c r="E5" s="285"/>
      <c r="F5" s="285"/>
      <c r="G5" s="285"/>
      <c r="H5" s="285"/>
      <c r="I5" s="271" t="s">
        <v>478</v>
      </c>
      <c r="J5" s="270" t="s">
        <v>732</v>
      </c>
      <c r="K5" s="271" t="s">
        <v>479</v>
      </c>
      <c r="L5" s="271" t="s">
        <v>480</v>
      </c>
      <c r="M5" s="271" t="s">
        <v>733</v>
      </c>
      <c r="N5" s="270" t="s">
        <v>734</v>
      </c>
      <c r="O5" s="270" t="s">
        <v>735</v>
      </c>
      <c r="P5" s="271" t="s">
        <v>736</v>
      </c>
      <c r="Q5" s="270" t="s">
        <v>737</v>
      </c>
      <c r="R5" s="260"/>
      <c r="S5" s="275" t="s">
        <v>481</v>
      </c>
      <c r="T5" s="275" t="s">
        <v>482</v>
      </c>
      <c r="U5" s="275" t="s">
        <v>483</v>
      </c>
      <c r="V5" s="275" t="s">
        <v>484</v>
      </c>
      <c r="W5" s="275" t="s">
        <v>485</v>
      </c>
      <c r="X5" s="260" t="s">
        <v>400</v>
      </c>
      <c r="Y5" s="275" t="s">
        <v>486</v>
      </c>
      <c r="Z5" s="260" t="s">
        <v>400</v>
      </c>
      <c r="AA5" s="275" t="s">
        <v>487</v>
      </c>
      <c r="AB5" s="275" t="s">
        <v>488</v>
      </c>
      <c r="AC5" s="275" t="s">
        <v>489</v>
      </c>
      <c r="AD5" s="275" t="s">
        <v>490</v>
      </c>
      <c r="AE5" s="275" t="s">
        <v>491</v>
      </c>
      <c r="AF5" s="260" t="s">
        <v>400</v>
      </c>
      <c r="AG5" s="275" t="s">
        <v>492</v>
      </c>
      <c r="AH5" s="275" t="s">
        <v>493</v>
      </c>
      <c r="AI5" s="275" t="s">
        <v>494</v>
      </c>
      <c r="AJ5" s="275" t="s">
        <v>495</v>
      </c>
      <c r="AK5" s="260" t="s">
        <v>400</v>
      </c>
      <c r="AL5" s="275" t="s">
        <v>496</v>
      </c>
      <c r="AM5" s="260" t="s">
        <v>400</v>
      </c>
      <c r="AN5" s="275" t="s">
        <v>497</v>
      </c>
      <c r="AO5" s="260" t="s">
        <v>400</v>
      </c>
      <c r="AP5" s="275" t="s">
        <v>498</v>
      </c>
      <c r="AQ5" s="275" t="s">
        <v>499</v>
      </c>
      <c r="AR5" s="275" t="s">
        <v>500</v>
      </c>
      <c r="AS5" s="260" t="s">
        <v>400</v>
      </c>
      <c r="AT5" s="275" t="s">
        <v>501</v>
      </c>
      <c r="AU5" s="275" t="s">
        <v>502</v>
      </c>
      <c r="AV5" s="275" t="s">
        <v>503</v>
      </c>
      <c r="AW5" s="279" t="s">
        <v>504</v>
      </c>
      <c r="AX5" s="260" t="s">
        <v>400</v>
      </c>
      <c r="AY5" s="279" t="s">
        <v>505</v>
      </c>
      <c r="AZ5" s="279" t="s">
        <v>506</v>
      </c>
      <c r="BA5" s="279" t="s">
        <v>507</v>
      </c>
      <c r="BB5" s="279" t="s">
        <v>508</v>
      </c>
      <c r="BC5" s="260" t="s">
        <v>400</v>
      </c>
      <c r="BD5" s="279" t="s">
        <v>509</v>
      </c>
      <c r="BE5" s="279" t="s">
        <v>510</v>
      </c>
      <c r="BF5" s="279" t="s">
        <v>511</v>
      </c>
      <c r="BG5" s="279" t="s">
        <v>512</v>
      </c>
      <c r="BH5" s="279" t="s">
        <v>513</v>
      </c>
      <c r="BI5" s="279" t="s">
        <v>514</v>
      </c>
      <c r="BJ5" s="279" t="s">
        <v>515</v>
      </c>
      <c r="BK5" s="260" t="s">
        <v>400</v>
      </c>
      <c r="BL5" s="279" t="s">
        <v>516</v>
      </c>
      <c r="BM5" s="279" t="s">
        <v>517</v>
      </c>
      <c r="BN5" s="279" t="s">
        <v>518</v>
      </c>
      <c r="BO5" s="279" t="s">
        <v>519</v>
      </c>
      <c r="BP5" s="260" t="s">
        <v>400</v>
      </c>
      <c r="BQ5" s="279" t="s">
        <v>520</v>
      </c>
      <c r="BR5" s="279" t="s">
        <v>521</v>
      </c>
      <c r="BS5" s="279" t="s">
        <v>522</v>
      </c>
    </row>
    <row r="6" spans="1:71" s="16" customFormat="1" ht="38.25" x14ac:dyDescent="0.25">
      <c r="B6" s="288" t="s">
        <v>37</v>
      </c>
      <c r="C6" s="288" t="s">
        <v>6</v>
      </c>
      <c r="D6" s="287" t="s">
        <v>738</v>
      </c>
      <c r="E6" s="287" t="s">
        <v>524</v>
      </c>
      <c r="F6" s="286" t="s">
        <v>739</v>
      </c>
      <c r="G6" s="286" t="s">
        <v>740</v>
      </c>
      <c r="H6" s="286" t="s">
        <v>741</v>
      </c>
      <c r="I6" s="272" t="s">
        <v>438</v>
      </c>
      <c r="J6" s="272" t="s">
        <v>439</v>
      </c>
      <c r="K6" s="272" t="s">
        <v>440</v>
      </c>
      <c r="L6" s="272" t="s">
        <v>441</v>
      </c>
      <c r="M6" s="273" t="s">
        <v>442</v>
      </c>
      <c r="N6" s="272" t="s">
        <v>9</v>
      </c>
      <c r="O6" s="273" t="s">
        <v>443</v>
      </c>
      <c r="P6" s="273" t="s">
        <v>444</v>
      </c>
      <c r="Q6" s="273" t="s">
        <v>445</v>
      </c>
      <c r="R6" s="261" t="s">
        <v>526</v>
      </c>
      <c r="S6" s="277" t="s">
        <v>395</v>
      </c>
      <c r="T6" s="277" t="s">
        <v>396</v>
      </c>
      <c r="U6" s="277" t="s">
        <v>397</v>
      </c>
      <c r="V6" s="277" t="s">
        <v>398</v>
      </c>
      <c r="W6" s="277" t="s">
        <v>399</v>
      </c>
      <c r="X6" s="261" t="s">
        <v>400</v>
      </c>
      <c r="Y6" s="277" t="s">
        <v>401</v>
      </c>
      <c r="Z6" s="261" t="s">
        <v>527</v>
      </c>
      <c r="AA6" s="277" t="s">
        <v>402</v>
      </c>
      <c r="AB6" s="277" t="s">
        <v>403</v>
      </c>
      <c r="AC6" s="277" t="s">
        <v>404</v>
      </c>
      <c r="AD6" s="277" t="s">
        <v>405</v>
      </c>
      <c r="AE6" s="277" t="s">
        <v>406</v>
      </c>
      <c r="AF6" s="261" t="s">
        <v>528</v>
      </c>
      <c r="AG6" s="277" t="s">
        <v>407</v>
      </c>
      <c r="AH6" s="277" t="s">
        <v>408</v>
      </c>
      <c r="AI6" s="277" t="s">
        <v>409</v>
      </c>
      <c r="AJ6" s="277" t="s">
        <v>410</v>
      </c>
      <c r="AK6" s="261" t="s">
        <v>529</v>
      </c>
      <c r="AL6" s="277" t="s">
        <v>411</v>
      </c>
      <c r="AM6" s="261" t="s">
        <v>530</v>
      </c>
      <c r="AN6" s="277" t="s">
        <v>412</v>
      </c>
      <c r="AO6" s="261" t="s">
        <v>531</v>
      </c>
      <c r="AP6" s="277" t="s">
        <v>413</v>
      </c>
      <c r="AQ6" s="277" t="s">
        <v>414</v>
      </c>
      <c r="AR6" s="277" t="s">
        <v>415</v>
      </c>
      <c r="AS6" s="261" t="s">
        <v>532</v>
      </c>
      <c r="AT6" s="277" t="s">
        <v>416</v>
      </c>
      <c r="AU6" s="277" t="s">
        <v>417</v>
      </c>
      <c r="AV6" s="277" t="s">
        <v>418</v>
      </c>
      <c r="AW6" s="277" t="s">
        <v>419</v>
      </c>
      <c r="AX6" s="261" t="s">
        <v>533</v>
      </c>
      <c r="AY6" s="277" t="s">
        <v>420</v>
      </c>
      <c r="AZ6" s="277" t="s">
        <v>421</v>
      </c>
      <c r="BA6" s="277" t="s">
        <v>422</v>
      </c>
      <c r="BB6" s="277" t="s">
        <v>423</v>
      </c>
      <c r="BC6" s="261" t="s">
        <v>534</v>
      </c>
      <c r="BD6" s="277" t="s">
        <v>424</v>
      </c>
      <c r="BE6" s="277" t="s">
        <v>425</v>
      </c>
      <c r="BF6" s="277" t="s">
        <v>426</v>
      </c>
      <c r="BG6" s="277" t="s">
        <v>427</v>
      </c>
      <c r="BH6" s="277" t="s">
        <v>428</v>
      </c>
      <c r="BI6" s="277" t="s">
        <v>429</v>
      </c>
      <c r="BJ6" s="277" t="s">
        <v>430</v>
      </c>
      <c r="BK6" s="261" t="s">
        <v>535</v>
      </c>
      <c r="BL6" s="277" t="s">
        <v>431</v>
      </c>
      <c r="BM6" s="277" t="s">
        <v>432</v>
      </c>
      <c r="BN6" s="277" t="s">
        <v>433</v>
      </c>
      <c r="BO6" s="277" t="s">
        <v>434</v>
      </c>
      <c r="BP6" s="261" t="s">
        <v>536</v>
      </c>
      <c r="BQ6" s="277" t="s">
        <v>435</v>
      </c>
      <c r="BR6" s="277" t="s">
        <v>436</v>
      </c>
      <c r="BS6" s="277" t="s">
        <v>437</v>
      </c>
    </row>
    <row r="7" spans="1:71" s="16" customFormat="1" ht="35.25" customHeight="1" x14ac:dyDescent="0.25">
      <c r="B7" s="198" t="s">
        <v>365</v>
      </c>
      <c r="C7" s="154" t="s">
        <v>17</v>
      </c>
      <c r="D7" s="172">
        <v>6073014200</v>
      </c>
      <c r="E7" s="172">
        <v>6277</v>
      </c>
      <c r="F7" s="172">
        <v>26</v>
      </c>
      <c r="G7" s="172">
        <v>60</v>
      </c>
      <c r="H7" s="172">
        <v>23.65</v>
      </c>
      <c r="I7" s="281">
        <v>3</v>
      </c>
      <c r="J7" s="281">
        <v>3</v>
      </c>
      <c r="K7" s="281">
        <v>2.5</v>
      </c>
      <c r="L7" s="281">
        <v>3</v>
      </c>
      <c r="M7" s="281">
        <v>3</v>
      </c>
      <c r="N7" s="281">
        <v>1</v>
      </c>
      <c r="O7" s="281">
        <v>2</v>
      </c>
      <c r="P7" s="281">
        <v>3</v>
      </c>
      <c r="Q7" s="281">
        <v>2</v>
      </c>
      <c r="R7" s="184">
        <v>0</v>
      </c>
      <c r="S7" s="262">
        <v>3</v>
      </c>
      <c r="T7" s="262">
        <v>5</v>
      </c>
      <c r="U7" s="262" t="s">
        <v>311</v>
      </c>
      <c r="V7" s="262">
        <v>3</v>
      </c>
      <c r="W7" s="262" t="s">
        <v>311</v>
      </c>
      <c r="X7" s="184" t="s">
        <v>312</v>
      </c>
      <c r="Y7" s="262" t="s">
        <v>311</v>
      </c>
      <c r="Z7" s="184" t="s">
        <v>312</v>
      </c>
      <c r="AA7" s="262">
        <v>3</v>
      </c>
      <c r="AB7" s="262">
        <v>350000</v>
      </c>
      <c r="AC7" s="262">
        <v>1</v>
      </c>
      <c r="AD7" s="262" t="s">
        <v>608</v>
      </c>
      <c r="AE7" s="262">
        <v>3</v>
      </c>
      <c r="AF7" s="184" t="s">
        <v>312</v>
      </c>
      <c r="AG7" s="262">
        <v>1</v>
      </c>
      <c r="AH7" s="262">
        <v>1</v>
      </c>
      <c r="AI7" s="262">
        <v>0</v>
      </c>
      <c r="AJ7" s="262">
        <v>3</v>
      </c>
      <c r="AK7" s="184" t="s">
        <v>312</v>
      </c>
      <c r="AL7" s="262">
        <v>3</v>
      </c>
      <c r="AM7" s="184" t="s">
        <v>312</v>
      </c>
      <c r="AN7" s="262" t="s">
        <v>311</v>
      </c>
      <c r="AO7" s="184" t="s">
        <v>312</v>
      </c>
      <c r="AP7" s="262">
        <v>5</v>
      </c>
      <c r="AQ7" s="262">
        <v>5</v>
      </c>
      <c r="AR7" s="262">
        <v>5</v>
      </c>
      <c r="AS7" s="184" t="s">
        <v>312</v>
      </c>
      <c r="AT7" s="262" t="s">
        <v>311</v>
      </c>
      <c r="AU7" s="262">
        <v>1</v>
      </c>
      <c r="AV7" s="262">
        <v>1</v>
      </c>
      <c r="AW7" s="262">
        <v>5</v>
      </c>
      <c r="AX7" s="184" t="s">
        <v>312</v>
      </c>
      <c r="AY7" s="262">
        <v>3</v>
      </c>
      <c r="AZ7" s="262" t="s">
        <v>311</v>
      </c>
      <c r="BA7" s="262" t="s">
        <v>311</v>
      </c>
      <c r="BB7" s="262">
        <v>3</v>
      </c>
      <c r="BC7" s="184" t="s">
        <v>312</v>
      </c>
      <c r="BD7" s="262">
        <v>3</v>
      </c>
      <c r="BE7" s="262">
        <v>3</v>
      </c>
      <c r="BF7" s="262" t="s">
        <v>542</v>
      </c>
      <c r="BG7" s="262" t="s">
        <v>27</v>
      </c>
      <c r="BH7" s="262" t="s">
        <v>547</v>
      </c>
      <c r="BI7" s="262" t="s">
        <v>648</v>
      </c>
      <c r="BJ7" s="262">
        <v>3</v>
      </c>
      <c r="BK7" s="184" t="s">
        <v>312</v>
      </c>
      <c r="BL7" s="262">
        <v>5</v>
      </c>
      <c r="BM7" s="262">
        <v>3</v>
      </c>
      <c r="BN7" s="262">
        <v>3</v>
      </c>
      <c r="BO7" s="262">
        <v>5</v>
      </c>
      <c r="BP7" s="184" t="s">
        <v>312</v>
      </c>
      <c r="BQ7" s="262">
        <v>2</v>
      </c>
      <c r="BR7" s="262" t="s">
        <v>610</v>
      </c>
      <c r="BS7" s="262" t="s">
        <v>649</v>
      </c>
    </row>
    <row r="8" spans="1:71" s="16" customFormat="1" ht="35.25" customHeight="1" x14ac:dyDescent="0.25">
      <c r="B8" s="198" t="s">
        <v>366</v>
      </c>
      <c r="C8" s="154" t="s">
        <v>17</v>
      </c>
      <c r="D8" s="172">
        <v>6073020307</v>
      </c>
      <c r="E8" s="172">
        <v>7170</v>
      </c>
      <c r="F8" s="172">
        <v>92</v>
      </c>
      <c r="G8" s="172">
        <v>14</v>
      </c>
      <c r="H8" s="172">
        <v>19.66</v>
      </c>
      <c r="I8" s="281">
        <v>1</v>
      </c>
      <c r="J8" s="281">
        <v>1</v>
      </c>
      <c r="K8" s="281">
        <v>1.5</v>
      </c>
      <c r="L8" s="281">
        <v>3</v>
      </c>
      <c r="M8" s="281">
        <v>3</v>
      </c>
      <c r="N8" s="281">
        <v>1</v>
      </c>
      <c r="O8" s="281">
        <v>1</v>
      </c>
      <c r="P8" s="281">
        <v>3</v>
      </c>
      <c r="Q8" s="281">
        <v>2</v>
      </c>
      <c r="R8" s="184">
        <v>0</v>
      </c>
      <c r="S8" s="262" t="s">
        <v>373</v>
      </c>
      <c r="T8" s="262" t="s">
        <v>373</v>
      </c>
      <c r="U8" s="262" t="s">
        <v>373</v>
      </c>
      <c r="V8" s="262" t="s">
        <v>373</v>
      </c>
      <c r="W8" s="262" t="s">
        <v>373</v>
      </c>
      <c r="X8" s="184" t="s">
        <v>312</v>
      </c>
      <c r="Y8" s="262" t="s">
        <v>373</v>
      </c>
      <c r="Z8" s="184" t="s">
        <v>312</v>
      </c>
      <c r="AA8" s="262" t="s">
        <v>373</v>
      </c>
      <c r="AB8" s="262" t="s">
        <v>373</v>
      </c>
      <c r="AC8" s="262" t="s">
        <v>373</v>
      </c>
      <c r="AD8" s="262" t="s">
        <v>373</v>
      </c>
      <c r="AE8" s="262" t="s">
        <v>373</v>
      </c>
      <c r="AF8" s="184" t="s">
        <v>312</v>
      </c>
      <c r="AG8" s="262" t="s">
        <v>373</v>
      </c>
      <c r="AH8" s="262" t="s">
        <v>373</v>
      </c>
      <c r="AI8" s="262" t="s">
        <v>373</v>
      </c>
      <c r="AJ8" s="262" t="s">
        <v>373</v>
      </c>
      <c r="AK8" s="184" t="s">
        <v>312</v>
      </c>
      <c r="AL8" s="262" t="s">
        <v>373</v>
      </c>
      <c r="AM8" s="184" t="s">
        <v>312</v>
      </c>
      <c r="AN8" s="262" t="s">
        <v>373</v>
      </c>
      <c r="AO8" s="184" t="s">
        <v>312</v>
      </c>
      <c r="AP8" s="262" t="s">
        <v>373</v>
      </c>
      <c r="AQ8" s="262" t="s">
        <v>373</v>
      </c>
      <c r="AR8" s="262" t="s">
        <v>373</v>
      </c>
      <c r="AS8" s="184" t="s">
        <v>312</v>
      </c>
      <c r="AT8" s="262" t="s">
        <v>373</v>
      </c>
      <c r="AU8" s="262" t="s">
        <v>373</v>
      </c>
      <c r="AV8" s="262" t="s">
        <v>373</v>
      </c>
      <c r="AW8" s="262" t="s">
        <v>373</v>
      </c>
      <c r="AX8" s="184" t="s">
        <v>312</v>
      </c>
      <c r="AY8" s="262" t="s">
        <v>373</v>
      </c>
      <c r="AZ8" s="262" t="s">
        <v>373</v>
      </c>
      <c r="BA8" s="262" t="s">
        <v>373</v>
      </c>
      <c r="BB8" s="262" t="s">
        <v>373</v>
      </c>
      <c r="BC8" s="184" t="s">
        <v>312</v>
      </c>
      <c r="BD8" s="262" t="s">
        <v>373</v>
      </c>
      <c r="BE8" s="262" t="s">
        <v>373</v>
      </c>
      <c r="BF8" s="262" t="s">
        <v>373</v>
      </c>
      <c r="BG8" s="262" t="s">
        <v>373</v>
      </c>
      <c r="BH8" s="262" t="s">
        <v>373</v>
      </c>
      <c r="BI8" s="262" t="s">
        <v>373</v>
      </c>
      <c r="BJ8" s="262" t="s">
        <v>373</v>
      </c>
      <c r="BK8" s="184" t="s">
        <v>312</v>
      </c>
      <c r="BL8" s="262" t="s">
        <v>373</v>
      </c>
      <c r="BM8" s="262" t="s">
        <v>373</v>
      </c>
      <c r="BN8" s="262" t="s">
        <v>373</v>
      </c>
      <c r="BO8" s="262" t="s">
        <v>373</v>
      </c>
      <c r="BP8" s="184" t="s">
        <v>312</v>
      </c>
      <c r="BQ8" s="262" t="s">
        <v>373</v>
      </c>
      <c r="BR8" s="262" t="s">
        <v>373</v>
      </c>
      <c r="BS8" s="262" t="s">
        <v>373</v>
      </c>
    </row>
    <row r="9" spans="1:71" s="16" customFormat="1" ht="35.25" customHeight="1" x14ac:dyDescent="0.25">
      <c r="B9" s="198" t="s">
        <v>337</v>
      </c>
      <c r="C9" s="154" t="s">
        <v>14</v>
      </c>
      <c r="D9" s="172">
        <v>6073020109</v>
      </c>
      <c r="E9" s="172">
        <v>5127</v>
      </c>
      <c r="F9" s="172">
        <v>18</v>
      </c>
      <c r="G9" s="172">
        <v>33</v>
      </c>
      <c r="H9" s="172">
        <v>14.49</v>
      </c>
      <c r="I9" s="281">
        <v>3</v>
      </c>
      <c r="J9" s="281">
        <v>3</v>
      </c>
      <c r="K9" s="281">
        <v>2.5</v>
      </c>
      <c r="L9" s="281">
        <v>3</v>
      </c>
      <c r="M9" s="281">
        <v>3</v>
      </c>
      <c r="N9" s="281">
        <v>2</v>
      </c>
      <c r="O9" s="281">
        <v>1</v>
      </c>
      <c r="P9" s="281">
        <v>3</v>
      </c>
      <c r="Q9" s="281">
        <v>2</v>
      </c>
      <c r="R9" s="184">
        <v>0</v>
      </c>
      <c r="S9" s="262" t="s">
        <v>373</v>
      </c>
      <c r="T9" s="262" t="s">
        <v>373</v>
      </c>
      <c r="U9" s="262" t="s">
        <v>373</v>
      </c>
      <c r="V9" s="262" t="s">
        <v>373</v>
      </c>
      <c r="W9" s="262" t="s">
        <v>373</v>
      </c>
      <c r="X9" s="184" t="s">
        <v>312</v>
      </c>
      <c r="Y9" s="262" t="s">
        <v>373</v>
      </c>
      <c r="Z9" s="184" t="s">
        <v>312</v>
      </c>
      <c r="AA9" s="262" t="s">
        <v>373</v>
      </c>
      <c r="AB9" s="262" t="s">
        <v>373</v>
      </c>
      <c r="AC9" s="262" t="s">
        <v>373</v>
      </c>
      <c r="AD9" s="262" t="s">
        <v>373</v>
      </c>
      <c r="AE9" s="262" t="s">
        <v>373</v>
      </c>
      <c r="AF9" s="184" t="s">
        <v>312</v>
      </c>
      <c r="AG9" s="262" t="s">
        <v>373</v>
      </c>
      <c r="AH9" s="262" t="s">
        <v>373</v>
      </c>
      <c r="AI9" s="262" t="s">
        <v>373</v>
      </c>
      <c r="AJ9" s="262" t="s">
        <v>373</v>
      </c>
      <c r="AK9" s="184" t="s">
        <v>312</v>
      </c>
      <c r="AL9" s="262" t="s">
        <v>373</v>
      </c>
      <c r="AM9" s="184" t="s">
        <v>312</v>
      </c>
      <c r="AN9" s="262" t="s">
        <v>373</v>
      </c>
      <c r="AO9" s="184" t="s">
        <v>312</v>
      </c>
      <c r="AP9" s="262" t="s">
        <v>373</v>
      </c>
      <c r="AQ9" s="262" t="s">
        <v>373</v>
      </c>
      <c r="AR9" s="262" t="s">
        <v>373</v>
      </c>
      <c r="AS9" s="184" t="s">
        <v>312</v>
      </c>
      <c r="AT9" s="262" t="s">
        <v>373</v>
      </c>
      <c r="AU9" s="262" t="s">
        <v>373</v>
      </c>
      <c r="AV9" s="262" t="s">
        <v>373</v>
      </c>
      <c r="AW9" s="262" t="s">
        <v>373</v>
      </c>
      <c r="AX9" s="184" t="s">
        <v>312</v>
      </c>
      <c r="AY9" s="262" t="s">
        <v>373</v>
      </c>
      <c r="AZ9" s="262" t="s">
        <v>373</v>
      </c>
      <c r="BA9" s="262" t="s">
        <v>373</v>
      </c>
      <c r="BB9" s="262" t="s">
        <v>373</v>
      </c>
      <c r="BC9" s="184" t="s">
        <v>312</v>
      </c>
      <c r="BD9" s="262" t="s">
        <v>373</v>
      </c>
      <c r="BE9" s="262" t="s">
        <v>373</v>
      </c>
      <c r="BF9" s="262" t="s">
        <v>373</v>
      </c>
      <c r="BG9" s="262" t="s">
        <v>373</v>
      </c>
      <c r="BH9" s="262" t="s">
        <v>373</v>
      </c>
      <c r="BI9" s="262" t="s">
        <v>373</v>
      </c>
      <c r="BJ9" s="262" t="s">
        <v>373</v>
      </c>
      <c r="BK9" s="184" t="s">
        <v>312</v>
      </c>
      <c r="BL9" s="262" t="s">
        <v>373</v>
      </c>
      <c r="BM9" s="262" t="s">
        <v>373</v>
      </c>
      <c r="BN9" s="262" t="s">
        <v>373</v>
      </c>
      <c r="BO9" s="262" t="s">
        <v>373</v>
      </c>
      <c r="BP9" s="184" t="s">
        <v>312</v>
      </c>
      <c r="BQ9" s="262" t="s">
        <v>373</v>
      </c>
      <c r="BR9" s="262" t="s">
        <v>373</v>
      </c>
      <c r="BS9" s="262" t="s">
        <v>373</v>
      </c>
    </row>
    <row r="10" spans="1:71" s="16" customFormat="1" ht="35.25" customHeight="1" x14ac:dyDescent="0.25">
      <c r="B10" s="198" t="s">
        <v>338</v>
      </c>
      <c r="C10" s="154" t="s">
        <v>14</v>
      </c>
      <c r="D10" s="172">
        <v>6073020709</v>
      </c>
      <c r="E10" s="172">
        <v>8007</v>
      </c>
      <c r="F10" s="172">
        <v>49</v>
      </c>
      <c r="G10" s="172">
        <v>17</v>
      </c>
      <c r="H10" s="172">
        <v>14.84</v>
      </c>
      <c r="I10" s="281">
        <v>3</v>
      </c>
      <c r="J10" s="281">
        <v>3</v>
      </c>
      <c r="K10" s="281">
        <v>2.5</v>
      </c>
      <c r="L10" s="281">
        <v>3</v>
      </c>
      <c r="M10" s="281">
        <v>3</v>
      </c>
      <c r="N10" s="281">
        <v>2</v>
      </c>
      <c r="O10" s="281">
        <v>1</v>
      </c>
      <c r="P10" s="281">
        <v>1</v>
      </c>
      <c r="Q10" s="281">
        <v>2</v>
      </c>
      <c r="R10" s="184">
        <v>0</v>
      </c>
      <c r="S10" s="262" t="s">
        <v>373</v>
      </c>
      <c r="T10" s="262" t="s">
        <v>373</v>
      </c>
      <c r="U10" s="262" t="s">
        <v>373</v>
      </c>
      <c r="V10" s="262" t="s">
        <v>373</v>
      </c>
      <c r="W10" s="262" t="s">
        <v>373</v>
      </c>
      <c r="X10" s="184" t="s">
        <v>312</v>
      </c>
      <c r="Y10" s="262" t="s">
        <v>373</v>
      </c>
      <c r="Z10" s="184" t="s">
        <v>312</v>
      </c>
      <c r="AA10" s="262" t="s">
        <v>373</v>
      </c>
      <c r="AB10" s="262" t="s">
        <v>373</v>
      </c>
      <c r="AC10" s="262" t="s">
        <v>373</v>
      </c>
      <c r="AD10" s="262" t="s">
        <v>373</v>
      </c>
      <c r="AE10" s="262" t="s">
        <v>373</v>
      </c>
      <c r="AF10" s="184" t="s">
        <v>312</v>
      </c>
      <c r="AG10" s="262" t="s">
        <v>373</v>
      </c>
      <c r="AH10" s="262" t="s">
        <v>373</v>
      </c>
      <c r="AI10" s="262" t="s">
        <v>373</v>
      </c>
      <c r="AJ10" s="262" t="s">
        <v>373</v>
      </c>
      <c r="AK10" s="184" t="s">
        <v>312</v>
      </c>
      <c r="AL10" s="262" t="s">
        <v>373</v>
      </c>
      <c r="AM10" s="184" t="s">
        <v>312</v>
      </c>
      <c r="AN10" s="262" t="s">
        <v>373</v>
      </c>
      <c r="AO10" s="184" t="s">
        <v>312</v>
      </c>
      <c r="AP10" s="262" t="s">
        <v>373</v>
      </c>
      <c r="AQ10" s="262" t="s">
        <v>373</v>
      </c>
      <c r="AR10" s="262" t="s">
        <v>373</v>
      </c>
      <c r="AS10" s="184" t="s">
        <v>312</v>
      </c>
      <c r="AT10" s="262" t="s">
        <v>373</v>
      </c>
      <c r="AU10" s="262" t="s">
        <v>373</v>
      </c>
      <c r="AV10" s="262" t="s">
        <v>373</v>
      </c>
      <c r="AW10" s="262" t="s">
        <v>373</v>
      </c>
      <c r="AX10" s="184" t="s">
        <v>312</v>
      </c>
      <c r="AY10" s="262" t="s">
        <v>373</v>
      </c>
      <c r="AZ10" s="262" t="s">
        <v>373</v>
      </c>
      <c r="BA10" s="262" t="s">
        <v>373</v>
      </c>
      <c r="BB10" s="262" t="s">
        <v>373</v>
      </c>
      <c r="BC10" s="184" t="s">
        <v>312</v>
      </c>
      <c r="BD10" s="262" t="s">
        <v>373</v>
      </c>
      <c r="BE10" s="262" t="s">
        <v>373</v>
      </c>
      <c r="BF10" s="262" t="s">
        <v>373</v>
      </c>
      <c r="BG10" s="262" t="s">
        <v>373</v>
      </c>
      <c r="BH10" s="262" t="s">
        <v>373</v>
      </c>
      <c r="BI10" s="262" t="s">
        <v>373</v>
      </c>
      <c r="BJ10" s="262" t="s">
        <v>373</v>
      </c>
      <c r="BK10" s="184" t="s">
        <v>312</v>
      </c>
      <c r="BL10" s="262" t="s">
        <v>373</v>
      </c>
      <c r="BM10" s="262" t="s">
        <v>373</v>
      </c>
      <c r="BN10" s="262" t="s">
        <v>373</v>
      </c>
      <c r="BO10" s="262" t="s">
        <v>373</v>
      </c>
      <c r="BP10" s="184" t="s">
        <v>312</v>
      </c>
      <c r="BQ10" s="262" t="s">
        <v>373</v>
      </c>
      <c r="BR10" s="262" t="s">
        <v>373</v>
      </c>
      <c r="BS10" s="262" t="s">
        <v>373</v>
      </c>
    </row>
    <row r="11" spans="1:71" s="16" customFormat="1" ht="35.25" customHeight="1" x14ac:dyDescent="0.25">
      <c r="B11" s="198" t="s">
        <v>56</v>
      </c>
      <c r="C11" s="154" t="s">
        <v>14</v>
      </c>
      <c r="D11" s="172">
        <v>6073014101</v>
      </c>
      <c r="E11" s="172">
        <v>3507</v>
      </c>
      <c r="F11" s="172">
        <v>12</v>
      </c>
      <c r="G11" s="172">
        <v>65</v>
      </c>
      <c r="H11" s="172">
        <v>20.27</v>
      </c>
      <c r="I11" s="281">
        <v>3</v>
      </c>
      <c r="J11" s="281">
        <v>3</v>
      </c>
      <c r="K11" s="281">
        <v>2.5</v>
      </c>
      <c r="L11" s="281">
        <v>3</v>
      </c>
      <c r="M11" s="281">
        <v>3</v>
      </c>
      <c r="N11" s="281">
        <v>2</v>
      </c>
      <c r="O11" s="281">
        <v>2</v>
      </c>
      <c r="P11" s="281">
        <v>3</v>
      </c>
      <c r="Q11" s="281">
        <v>2</v>
      </c>
      <c r="R11" s="184">
        <v>0</v>
      </c>
      <c r="S11" s="262">
        <v>3</v>
      </c>
      <c r="T11" s="262">
        <v>3</v>
      </c>
      <c r="U11" s="262" t="s">
        <v>311</v>
      </c>
      <c r="V11" s="262">
        <v>3</v>
      </c>
      <c r="W11" s="262" t="s">
        <v>311</v>
      </c>
      <c r="X11" s="184" t="s">
        <v>312</v>
      </c>
      <c r="Y11" s="262" t="s">
        <v>311</v>
      </c>
      <c r="Z11" s="184" t="s">
        <v>312</v>
      </c>
      <c r="AA11" s="262">
        <v>1</v>
      </c>
      <c r="AB11" s="262">
        <v>1300000</v>
      </c>
      <c r="AC11" s="262">
        <v>1</v>
      </c>
      <c r="AD11" s="262" t="s">
        <v>600</v>
      </c>
      <c r="AE11" s="262">
        <v>3</v>
      </c>
      <c r="AF11" s="184" t="s">
        <v>312</v>
      </c>
      <c r="AG11" s="262">
        <v>1</v>
      </c>
      <c r="AH11" s="262">
        <v>1</v>
      </c>
      <c r="AI11" s="262">
        <v>0</v>
      </c>
      <c r="AJ11" s="262">
        <v>4</v>
      </c>
      <c r="AK11" s="184" t="s">
        <v>312</v>
      </c>
      <c r="AL11" s="262">
        <v>3</v>
      </c>
      <c r="AM11" s="184" t="s">
        <v>312</v>
      </c>
      <c r="AN11" s="262" t="s">
        <v>311</v>
      </c>
      <c r="AO11" s="184" t="s">
        <v>312</v>
      </c>
      <c r="AP11" s="262">
        <v>5</v>
      </c>
      <c r="AQ11" s="262">
        <v>4</v>
      </c>
      <c r="AR11" s="262">
        <v>5</v>
      </c>
      <c r="AS11" s="184" t="s">
        <v>312</v>
      </c>
      <c r="AT11" s="262">
        <v>5</v>
      </c>
      <c r="AU11" s="262">
        <v>3</v>
      </c>
      <c r="AV11" s="262">
        <v>3</v>
      </c>
      <c r="AW11" s="262">
        <v>5</v>
      </c>
      <c r="AX11" s="184" t="s">
        <v>312</v>
      </c>
      <c r="AY11" s="262">
        <v>3</v>
      </c>
      <c r="AZ11" s="262" t="s">
        <v>311</v>
      </c>
      <c r="BA11" s="262" t="s">
        <v>311</v>
      </c>
      <c r="BB11" s="262">
        <v>3</v>
      </c>
      <c r="BC11" s="184" t="s">
        <v>312</v>
      </c>
      <c r="BD11" s="262">
        <v>5</v>
      </c>
      <c r="BE11" s="262">
        <v>5</v>
      </c>
      <c r="BF11" s="262" t="s">
        <v>601</v>
      </c>
      <c r="BG11" s="262" t="s">
        <v>27</v>
      </c>
      <c r="BH11" s="262" t="s">
        <v>538</v>
      </c>
      <c r="BI11" s="262" t="s">
        <v>602</v>
      </c>
      <c r="BJ11" s="262">
        <v>5</v>
      </c>
      <c r="BK11" s="184" t="s">
        <v>312</v>
      </c>
      <c r="BL11" s="262">
        <v>5</v>
      </c>
      <c r="BM11" s="262">
        <v>3</v>
      </c>
      <c r="BN11" s="262">
        <v>3</v>
      </c>
      <c r="BO11" s="262">
        <v>5</v>
      </c>
      <c r="BP11" s="184" t="s">
        <v>312</v>
      </c>
      <c r="BQ11" s="262">
        <v>4</v>
      </c>
      <c r="BR11" s="262" t="s">
        <v>602</v>
      </c>
      <c r="BS11" s="262" t="s">
        <v>603</v>
      </c>
    </row>
    <row r="12" spans="1:71" s="16" customFormat="1" ht="35.25" customHeight="1" x14ac:dyDescent="0.25">
      <c r="B12" s="198" t="s">
        <v>339</v>
      </c>
      <c r="C12" s="154" t="s">
        <v>14</v>
      </c>
      <c r="D12" s="172">
        <v>6073016504</v>
      </c>
      <c r="E12" s="172">
        <v>6253</v>
      </c>
      <c r="F12" s="172">
        <v>58</v>
      </c>
      <c r="G12" s="172">
        <v>65</v>
      </c>
      <c r="H12" s="172">
        <v>34.36</v>
      </c>
      <c r="I12" s="281">
        <v>3</v>
      </c>
      <c r="J12" s="281">
        <v>1</v>
      </c>
      <c r="K12" s="281">
        <v>1.5</v>
      </c>
      <c r="L12" s="281">
        <v>3</v>
      </c>
      <c r="M12" s="281">
        <v>2</v>
      </c>
      <c r="N12" s="281">
        <v>1</v>
      </c>
      <c r="O12" s="281">
        <v>2</v>
      </c>
      <c r="P12" s="281">
        <v>3</v>
      </c>
      <c r="Q12" s="281">
        <v>2</v>
      </c>
      <c r="R12" s="184">
        <v>0</v>
      </c>
      <c r="S12" s="262">
        <v>3</v>
      </c>
      <c r="T12" s="262">
        <v>5</v>
      </c>
      <c r="U12" s="262">
        <v>5</v>
      </c>
      <c r="V12" s="262">
        <v>3</v>
      </c>
      <c r="W12" s="262">
        <v>3</v>
      </c>
      <c r="X12" s="184" t="s">
        <v>312</v>
      </c>
      <c r="Y12" s="262">
        <v>3</v>
      </c>
      <c r="Z12" s="184" t="s">
        <v>312</v>
      </c>
      <c r="AA12" s="262">
        <v>1</v>
      </c>
      <c r="AB12" s="262" t="s">
        <v>604</v>
      </c>
      <c r="AC12" s="262">
        <v>3</v>
      </c>
      <c r="AD12" s="262" t="s">
        <v>605</v>
      </c>
      <c r="AE12" s="262" t="s">
        <v>311</v>
      </c>
      <c r="AF12" s="184" t="s">
        <v>312</v>
      </c>
      <c r="AG12" s="262">
        <v>4</v>
      </c>
      <c r="AH12" s="262">
        <v>1</v>
      </c>
      <c r="AI12" s="262">
        <v>0</v>
      </c>
      <c r="AJ12" s="262">
        <v>4</v>
      </c>
      <c r="AK12" s="184" t="s">
        <v>312</v>
      </c>
      <c r="AL12" s="262">
        <v>3</v>
      </c>
      <c r="AM12" s="184" t="s">
        <v>312</v>
      </c>
      <c r="AN12" s="262">
        <v>2</v>
      </c>
      <c r="AO12" s="184" t="s">
        <v>312</v>
      </c>
      <c r="AP12" s="262">
        <v>5</v>
      </c>
      <c r="AQ12" s="262">
        <v>3</v>
      </c>
      <c r="AR12" s="262" t="s">
        <v>311</v>
      </c>
      <c r="AS12" s="184" t="s">
        <v>312</v>
      </c>
      <c r="AT12" s="262">
        <v>5</v>
      </c>
      <c r="AU12" s="262">
        <v>2</v>
      </c>
      <c r="AV12" s="262">
        <v>1</v>
      </c>
      <c r="AW12" s="262" t="s">
        <v>311</v>
      </c>
      <c r="AX12" s="184" t="s">
        <v>312</v>
      </c>
      <c r="AY12" s="262">
        <v>5</v>
      </c>
      <c r="AZ12" s="262">
        <v>3</v>
      </c>
      <c r="BA12" s="262">
        <v>3</v>
      </c>
      <c r="BB12" s="262">
        <v>3</v>
      </c>
      <c r="BC12" s="184" t="s">
        <v>312</v>
      </c>
      <c r="BD12" s="262">
        <v>5</v>
      </c>
      <c r="BE12" s="262">
        <v>5</v>
      </c>
      <c r="BF12" s="262" t="s">
        <v>601</v>
      </c>
      <c r="BG12" s="262">
        <v>3</v>
      </c>
      <c r="BH12" s="262" t="s">
        <v>311</v>
      </c>
      <c r="BI12" s="262" t="s">
        <v>311</v>
      </c>
      <c r="BJ12" s="262">
        <v>5</v>
      </c>
      <c r="BK12" s="184" t="s">
        <v>312</v>
      </c>
      <c r="BL12" s="262" t="s">
        <v>311</v>
      </c>
      <c r="BM12" s="262" t="s">
        <v>311</v>
      </c>
      <c r="BN12" s="262">
        <v>5</v>
      </c>
      <c r="BO12" s="262">
        <v>5</v>
      </c>
      <c r="BP12" s="184" t="s">
        <v>312</v>
      </c>
      <c r="BQ12" s="262">
        <v>3</v>
      </c>
      <c r="BR12" s="262" t="s">
        <v>606</v>
      </c>
      <c r="BS12" s="262" t="s">
        <v>607</v>
      </c>
    </row>
    <row r="13" spans="1:71" s="16" customFormat="1" ht="35.25" customHeight="1" x14ac:dyDescent="0.25">
      <c r="B13" s="198" t="s">
        <v>65</v>
      </c>
      <c r="C13" s="154" t="s">
        <v>17</v>
      </c>
      <c r="D13" s="172">
        <v>6073014400</v>
      </c>
      <c r="E13" s="172">
        <v>3523</v>
      </c>
      <c r="F13" s="172">
        <v>57</v>
      </c>
      <c r="G13" s="172">
        <v>79</v>
      </c>
      <c r="H13" s="172">
        <v>39.22</v>
      </c>
      <c r="I13" s="281">
        <v>3</v>
      </c>
      <c r="J13" s="281">
        <v>3</v>
      </c>
      <c r="K13" s="281">
        <v>2.5</v>
      </c>
      <c r="L13" s="281">
        <v>3</v>
      </c>
      <c r="M13" s="281">
        <v>1</v>
      </c>
      <c r="N13" s="281">
        <v>1</v>
      </c>
      <c r="O13" s="281">
        <v>2</v>
      </c>
      <c r="P13" s="281">
        <v>3</v>
      </c>
      <c r="Q13" s="281">
        <v>2</v>
      </c>
      <c r="R13" s="184">
        <v>0</v>
      </c>
      <c r="S13" s="262">
        <v>3</v>
      </c>
      <c r="T13" s="262">
        <v>5</v>
      </c>
      <c r="U13" s="262" t="s">
        <v>311</v>
      </c>
      <c r="V13" s="262">
        <v>3</v>
      </c>
      <c r="W13" s="262" t="s">
        <v>311</v>
      </c>
      <c r="X13" s="184" t="s">
        <v>312</v>
      </c>
      <c r="Y13" s="262" t="s">
        <v>311</v>
      </c>
      <c r="Z13" s="184" t="s">
        <v>312</v>
      </c>
      <c r="AA13" s="262">
        <v>1</v>
      </c>
      <c r="AB13" s="262">
        <v>8717000</v>
      </c>
      <c r="AC13" s="262">
        <v>1</v>
      </c>
      <c r="AD13" s="262" t="s">
        <v>608</v>
      </c>
      <c r="AE13" s="262">
        <v>3</v>
      </c>
      <c r="AF13" s="184" t="s">
        <v>312</v>
      </c>
      <c r="AG13" s="262">
        <v>1</v>
      </c>
      <c r="AH13" s="262">
        <v>1</v>
      </c>
      <c r="AI13" s="262">
        <v>0</v>
      </c>
      <c r="AJ13" s="262">
        <v>3</v>
      </c>
      <c r="AK13" s="184" t="s">
        <v>312</v>
      </c>
      <c r="AL13" s="262">
        <v>3</v>
      </c>
      <c r="AM13" s="184" t="s">
        <v>312</v>
      </c>
      <c r="AN13" s="262" t="s">
        <v>311</v>
      </c>
      <c r="AO13" s="184" t="s">
        <v>312</v>
      </c>
      <c r="AP13" s="262">
        <v>5</v>
      </c>
      <c r="AQ13" s="262">
        <v>5</v>
      </c>
      <c r="AR13" s="262">
        <v>5</v>
      </c>
      <c r="AS13" s="184" t="s">
        <v>312</v>
      </c>
      <c r="AT13" s="262">
        <v>5</v>
      </c>
      <c r="AU13" s="262">
        <v>1</v>
      </c>
      <c r="AV13" s="262">
        <v>1</v>
      </c>
      <c r="AW13" s="262">
        <v>5</v>
      </c>
      <c r="AX13" s="184" t="s">
        <v>312</v>
      </c>
      <c r="AY13" s="262">
        <v>3</v>
      </c>
      <c r="AZ13" s="262" t="s">
        <v>311</v>
      </c>
      <c r="BA13" s="262" t="s">
        <v>311</v>
      </c>
      <c r="BB13" s="262">
        <v>3</v>
      </c>
      <c r="BC13" s="184" t="s">
        <v>312</v>
      </c>
      <c r="BD13" s="262">
        <v>3</v>
      </c>
      <c r="BE13" s="262">
        <v>3</v>
      </c>
      <c r="BF13" s="262" t="s">
        <v>542</v>
      </c>
      <c r="BG13" s="262" t="s">
        <v>27</v>
      </c>
      <c r="BH13" s="262" t="s">
        <v>547</v>
      </c>
      <c r="BI13" s="262" t="s">
        <v>650</v>
      </c>
      <c r="BJ13" s="262">
        <v>3</v>
      </c>
      <c r="BK13" s="184" t="s">
        <v>312</v>
      </c>
      <c r="BL13" s="262">
        <v>5</v>
      </c>
      <c r="BM13" s="262">
        <v>3</v>
      </c>
      <c r="BN13" s="262">
        <v>3</v>
      </c>
      <c r="BO13" s="262">
        <v>5</v>
      </c>
      <c r="BP13" s="184" t="s">
        <v>312</v>
      </c>
      <c r="BQ13" s="262">
        <v>2</v>
      </c>
      <c r="BR13" s="262" t="s">
        <v>650</v>
      </c>
      <c r="BS13" s="262" t="s">
        <v>557</v>
      </c>
    </row>
    <row r="14" spans="1:71" s="16" customFormat="1" ht="35.25" customHeight="1" x14ac:dyDescent="0.25">
      <c r="B14" s="198" t="s">
        <v>322</v>
      </c>
      <c r="C14" s="154" t="s">
        <v>10</v>
      </c>
      <c r="D14" s="263" t="s">
        <v>742</v>
      </c>
      <c r="E14" s="263" t="s">
        <v>742</v>
      </c>
      <c r="F14" s="263" t="s">
        <v>742</v>
      </c>
      <c r="G14" s="263" t="s">
        <v>742</v>
      </c>
      <c r="H14" s="263" t="s">
        <v>742</v>
      </c>
      <c r="I14" s="282" t="s">
        <v>742</v>
      </c>
      <c r="J14" s="282" t="s">
        <v>742</v>
      </c>
      <c r="K14" s="282" t="s">
        <v>742</v>
      </c>
      <c r="L14" s="282" t="s">
        <v>742</v>
      </c>
      <c r="M14" s="282" t="s">
        <v>742</v>
      </c>
      <c r="N14" s="282" t="s">
        <v>742</v>
      </c>
      <c r="O14" s="282" t="s">
        <v>742</v>
      </c>
      <c r="P14" s="282" t="s">
        <v>742</v>
      </c>
      <c r="Q14" s="282" t="s">
        <v>742</v>
      </c>
      <c r="R14" s="184">
        <v>0</v>
      </c>
      <c r="S14" s="262">
        <v>5</v>
      </c>
      <c r="T14" s="262" t="s">
        <v>311</v>
      </c>
      <c r="U14" s="262" t="s">
        <v>311</v>
      </c>
      <c r="V14" s="262">
        <v>3</v>
      </c>
      <c r="W14" s="262">
        <v>4</v>
      </c>
      <c r="X14" s="184" t="s">
        <v>312</v>
      </c>
      <c r="Y14" s="264" t="s">
        <v>706</v>
      </c>
      <c r="Z14" s="184" t="s">
        <v>312</v>
      </c>
      <c r="AA14" s="262">
        <v>3</v>
      </c>
      <c r="AB14" s="262" t="s">
        <v>567</v>
      </c>
      <c r="AC14" s="262">
        <v>3</v>
      </c>
      <c r="AD14" s="262" t="s">
        <v>546</v>
      </c>
      <c r="AE14" s="262">
        <v>3</v>
      </c>
      <c r="AF14" s="184" t="s">
        <v>312</v>
      </c>
      <c r="AG14" s="262">
        <v>3</v>
      </c>
      <c r="AH14" s="262">
        <v>5</v>
      </c>
      <c r="AI14" s="262">
        <v>0</v>
      </c>
      <c r="AJ14" s="262">
        <v>3</v>
      </c>
      <c r="AK14" s="184" t="s">
        <v>312</v>
      </c>
      <c r="AL14" s="262">
        <v>1</v>
      </c>
      <c r="AM14" s="184" t="s">
        <v>312</v>
      </c>
      <c r="AN14" s="262">
        <v>4</v>
      </c>
      <c r="AO14" s="184" t="s">
        <v>312</v>
      </c>
      <c r="AP14" s="262">
        <v>3</v>
      </c>
      <c r="AQ14" s="262">
        <v>3</v>
      </c>
      <c r="AR14" s="262">
        <v>3</v>
      </c>
      <c r="AS14" s="184" t="s">
        <v>312</v>
      </c>
      <c r="AT14" s="262">
        <v>3</v>
      </c>
      <c r="AU14" s="262">
        <v>3</v>
      </c>
      <c r="AV14" s="262">
        <v>1</v>
      </c>
      <c r="AW14" s="262">
        <v>3</v>
      </c>
      <c r="AX14" s="184" t="s">
        <v>312</v>
      </c>
      <c r="AY14" s="262">
        <v>3</v>
      </c>
      <c r="AZ14" s="262" t="s">
        <v>311</v>
      </c>
      <c r="BA14" s="262" t="s">
        <v>311</v>
      </c>
      <c r="BB14" s="262">
        <v>3</v>
      </c>
      <c r="BC14" s="184" t="s">
        <v>312</v>
      </c>
      <c r="BD14" s="262">
        <v>3</v>
      </c>
      <c r="BE14" s="262">
        <v>3</v>
      </c>
      <c r="BF14" s="262" t="s">
        <v>542</v>
      </c>
      <c r="BG14" s="262">
        <v>3</v>
      </c>
      <c r="BH14" s="262" t="s">
        <v>538</v>
      </c>
      <c r="BI14" s="262" t="s">
        <v>311</v>
      </c>
      <c r="BJ14" s="262">
        <v>3</v>
      </c>
      <c r="BK14" s="184" t="s">
        <v>312</v>
      </c>
      <c r="BL14" s="262">
        <v>3</v>
      </c>
      <c r="BM14" s="262">
        <v>3</v>
      </c>
      <c r="BN14" s="262">
        <v>3</v>
      </c>
      <c r="BO14" s="262">
        <v>3</v>
      </c>
      <c r="BP14" s="184" t="s">
        <v>312</v>
      </c>
      <c r="BQ14" s="262">
        <v>3</v>
      </c>
      <c r="BR14" s="262" t="s">
        <v>311</v>
      </c>
      <c r="BS14" s="262" t="s">
        <v>311</v>
      </c>
    </row>
    <row r="15" spans="1:71" s="16" customFormat="1" ht="35.25" customHeight="1" x14ac:dyDescent="0.25">
      <c r="B15" s="198" t="s">
        <v>55</v>
      </c>
      <c r="C15" s="154" t="s">
        <v>13</v>
      </c>
      <c r="D15" s="172">
        <v>6073018700</v>
      </c>
      <c r="E15" s="172">
        <v>37452</v>
      </c>
      <c r="F15" s="172">
        <v>93</v>
      </c>
      <c r="G15" s="172">
        <v>24</v>
      </c>
      <c r="H15" s="172">
        <v>26.04</v>
      </c>
      <c r="I15" s="281">
        <v>3</v>
      </c>
      <c r="J15" s="281">
        <v>3</v>
      </c>
      <c r="K15" s="281">
        <v>2.5</v>
      </c>
      <c r="L15" s="281">
        <v>3</v>
      </c>
      <c r="M15" s="281">
        <v>3</v>
      </c>
      <c r="N15" s="281">
        <v>1</v>
      </c>
      <c r="O15" s="281">
        <v>2</v>
      </c>
      <c r="P15" s="281">
        <v>3</v>
      </c>
      <c r="Q15" s="281">
        <v>3</v>
      </c>
      <c r="R15" s="184">
        <v>0</v>
      </c>
      <c r="S15" s="262">
        <v>5</v>
      </c>
      <c r="T15" s="262">
        <v>5</v>
      </c>
      <c r="U15" s="262" t="s">
        <v>311</v>
      </c>
      <c r="V15" s="262">
        <v>3</v>
      </c>
      <c r="W15" s="262">
        <v>3</v>
      </c>
      <c r="X15" s="184" t="s">
        <v>312</v>
      </c>
      <c r="Y15" s="262">
        <v>5</v>
      </c>
      <c r="Z15" s="184" t="s">
        <v>312</v>
      </c>
      <c r="AA15" s="262">
        <v>1</v>
      </c>
      <c r="AB15" s="262" t="s">
        <v>597</v>
      </c>
      <c r="AC15" s="262">
        <v>3</v>
      </c>
      <c r="AD15" s="262" t="s">
        <v>598</v>
      </c>
      <c r="AE15" s="262">
        <v>1</v>
      </c>
      <c r="AF15" s="184" t="s">
        <v>312</v>
      </c>
      <c r="AG15" s="262">
        <v>3</v>
      </c>
      <c r="AH15" s="262">
        <v>1</v>
      </c>
      <c r="AI15" s="262">
        <v>0</v>
      </c>
      <c r="AJ15" s="262">
        <v>2</v>
      </c>
      <c r="AK15" s="184" t="s">
        <v>312</v>
      </c>
      <c r="AL15" s="262">
        <v>3</v>
      </c>
      <c r="AM15" s="184" t="s">
        <v>312</v>
      </c>
      <c r="AN15" s="262" t="s">
        <v>311</v>
      </c>
      <c r="AO15" s="184" t="s">
        <v>312</v>
      </c>
      <c r="AP15" s="262">
        <v>3</v>
      </c>
      <c r="AQ15" s="262">
        <v>5</v>
      </c>
      <c r="AR15" s="262">
        <v>3</v>
      </c>
      <c r="AS15" s="184" t="s">
        <v>312</v>
      </c>
      <c r="AT15" s="262" t="s">
        <v>311</v>
      </c>
      <c r="AU15" s="262">
        <v>2</v>
      </c>
      <c r="AV15" s="262">
        <v>1</v>
      </c>
      <c r="AW15" s="262">
        <v>3</v>
      </c>
      <c r="AX15" s="184" t="s">
        <v>312</v>
      </c>
      <c r="AY15" s="262">
        <v>5</v>
      </c>
      <c r="AZ15" s="262">
        <v>3</v>
      </c>
      <c r="BA15" s="262">
        <v>3</v>
      </c>
      <c r="BB15" s="262">
        <v>5</v>
      </c>
      <c r="BC15" s="184" t="s">
        <v>312</v>
      </c>
      <c r="BD15" s="262">
        <v>3</v>
      </c>
      <c r="BE15" s="262">
        <v>3</v>
      </c>
      <c r="BF15" s="262" t="s">
        <v>542</v>
      </c>
      <c r="BG15" s="262" t="s">
        <v>27</v>
      </c>
      <c r="BH15" s="262" t="s">
        <v>311</v>
      </c>
      <c r="BI15" s="262" t="s">
        <v>544</v>
      </c>
      <c r="BJ15" s="262">
        <v>3</v>
      </c>
      <c r="BK15" s="184" t="s">
        <v>312</v>
      </c>
      <c r="BL15" s="262" t="s">
        <v>311</v>
      </c>
      <c r="BM15" s="262" t="s">
        <v>311</v>
      </c>
      <c r="BN15" s="262">
        <v>3</v>
      </c>
      <c r="BO15" s="262">
        <v>3</v>
      </c>
      <c r="BP15" s="184" t="s">
        <v>312</v>
      </c>
      <c r="BQ15" s="262">
        <v>4</v>
      </c>
      <c r="BR15" s="262" t="s">
        <v>544</v>
      </c>
      <c r="BS15" s="262" t="s">
        <v>544</v>
      </c>
    </row>
    <row r="16" spans="1:71" s="16" customFormat="1" ht="35.25" customHeight="1" x14ac:dyDescent="0.25">
      <c r="B16" s="198" t="s">
        <v>66</v>
      </c>
      <c r="C16" s="154" t="s">
        <v>17</v>
      </c>
      <c r="D16" s="172">
        <v>6073014001</v>
      </c>
      <c r="E16" s="172">
        <v>4630</v>
      </c>
      <c r="F16" s="172">
        <v>31</v>
      </c>
      <c r="G16" s="172">
        <v>58</v>
      </c>
      <c r="H16" s="172">
        <v>24.52</v>
      </c>
      <c r="I16" s="281">
        <v>3</v>
      </c>
      <c r="J16" s="281">
        <v>3</v>
      </c>
      <c r="K16" s="281">
        <v>2.5</v>
      </c>
      <c r="L16" s="281">
        <v>3</v>
      </c>
      <c r="M16" s="281">
        <v>3</v>
      </c>
      <c r="N16" s="281">
        <v>1</v>
      </c>
      <c r="O16" s="281">
        <v>2</v>
      </c>
      <c r="P16" s="281">
        <v>3</v>
      </c>
      <c r="Q16" s="281">
        <v>2</v>
      </c>
      <c r="R16" s="184">
        <v>0</v>
      </c>
      <c r="S16" s="262">
        <v>3</v>
      </c>
      <c r="T16" s="262">
        <v>5</v>
      </c>
      <c r="U16" s="262" t="s">
        <v>311</v>
      </c>
      <c r="V16" s="262">
        <v>3</v>
      </c>
      <c r="W16" s="262" t="s">
        <v>311</v>
      </c>
      <c r="X16" s="184" t="s">
        <v>312</v>
      </c>
      <c r="Y16" s="262" t="s">
        <v>311</v>
      </c>
      <c r="Z16" s="184" t="s">
        <v>312</v>
      </c>
      <c r="AA16" s="262">
        <v>1</v>
      </c>
      <c r="AB16" s="262">
        <v>2600000</v>
      </c>
      <c r="AC16" s="262">
        <v>1</v>
      </c>
      <c r="AD16" s="262" t="s">
        <v>608</v>
      </c>
      <c r="AE16" s="262">
        <v>3</v>
      </c>
      <c r="AF16" s="184" t="s">
        <v>312</v>
      </c>
      <c r="AG16" s="262">
        <v>1</v>
      </c>
      <c r="AH16" s="262">
        <v>1</v>
      </c>
      <c r="AI16" s="262">
        <v>0</v>
      </c>
      <c r="AJ16" s="262">
        <v>3</v>
      </c>
      <c r="AK16" s="184" t="s">
        <v>312</v>
      </c>
      <c r="AL16" s="262">
        <v>3</v>
      </c>
      <c r="AM16" s="184" t="s">
        <v>312</v>
      </c>
      <c r="AN16" s="262" t="s">
        <v>311</v>
      </c>
      <c r="AO16" s="184" t="s">
        <v>312</v>
      </c>
      <c r="AP16" s="262">
        <v>5</v>
      </c>
      <c r="AQ16" s="262">
        <v>5</v>
      </c>
      <c r="AR16" s="262">
        <v>5</v>
      </c>
      <c r="AS16" s="184" t="s">
        <v>312</v>
      </c>
      <c r="AT16" s="262">
        <v>5</v>
      </c>
      <c r="AU16" s="262">
        <v>1</v>
      </c>
      <c r="AV16" s="262">
        <v>1</v>
      </c>
      <c r="AW16" s="262">
        <v>5</v>
      </c>
      <c r="AX16" s="184" t="s">
        <v>312</v>
      </c>
      <c r="AY16" s="262">
        <v>3</v>
      </c>
      <c r="AZ16" s="262" t="s">
        <v>311</v>
      </c>
      <c r="BA16" s="262" t="s">
        <v>311</v>
      </c>
      <c r="BB16" s="262">
        <v>3</v>
      </c>
      <c r="BC16" s="184" t="s">
        <v>312</v>
      </c>
      <c r="BD16" s="262">
        <v>3</v>
      </c>
      <c r="BE16" s="262">
        <v>3</v>
      </c>
      <c r="BF16" s="262" t="s">
        <v>542</v>
      </c>
      <c r="BG16" s="262" t="s">
        <v>27</v>
      </c>
      <c r="BH16" s="262" t="s">
        <v>311</v>
      </c>
      <c r="BI16" s="262" t="s">
        <v>651</v>
      </c>
      <c r="BJ16" s="262">
        <v>3</v>
      </c>
      <c r="BK16" s="184" t="s">
        <v>312</v>
      </c>
      <c r="BL16" s="262">
        <v>5</v>
      </c>
      <c r="BM16" s="262">
        <v>3</v>
      </c>
      <c r="BN16" s="262">
        <v>3</v>
      </c>
      <c r="BO16" s="262">
        <v>5</v>
      </c>
      <c r="BP16" s="184" t="s">
        <v>312</v>
      </c>
      <c r="BQ16" s="262">
        <v>2</v>
      </c>
      <c r="BR16" s="262" t="s">
        <v>610</v>
      </c>
      <c r="BS16" s="262" t="s">
        <v>557</v>
      </c>
    </row>
    <row r="17" spans="2:71" s="16" customFormat="1" ht="35.25" customHeight="1" x14ac:dyDescent="0.25">
      <c r="B17" s="198" t="s">
        <v>743</v>
      </c>
      <c r="C17" s="154" t="s">
        <v>12</v>
      </c>
      <c r="D17" s="172">
        <v>6073017813</v>
      </c>
      <c r="E17" s="172">
        <v>4106</v>
      </c>
      <c r="F17" s="172">
        <v>82</v>
      </c>
      <c r="G17" s="172">
        <v>4</v>
      </c>
      <c r="H17" s="172">
        <v>10.58</v>
      </c>
      <c r="I17" s="281">
        <v>3</v>
      </c>
      <c r="J17" s="281">
        <v>3</v>
      </c>
      <c r="K17" s="281">
        <v>2.5</v>
      </c>
      <c r="L17" s="281">
        <v>3</v>
      </c>
      <c r="M17" s="281">
        <v>3</v>
      </c>
      <c r="N17" s="281">
        <v>1</v>
      </c>
      <c r="O17" s="281">
        <v>2</v>
      </c>
      <c r="P17" s="281">
        <v>3</v>
      </c>
      <c r="Q17" s="281">
        <v>3</v>
      </c>
      <c r="R17" s="184">
        <v>0</v>
      </c>
      <c r="S17" s="262">
        <v>5</v>
      </c>
      <c r="T17" s="262">
        <v>4</v>
      </c>
      <c r="U17" s="262" t="s">
        <v>311</v>
      </c>
      <c r="V17" s="262">
        <v>3</v>
      </c>
      <c r="W17" s="262">
        <v>3</v>
      </c>
      <c r="X17" s="184" t="s">
        <v>312</v>
      </c>
      <c r="Y17" s="262">
        <v>5</v>
      </c>
      <c r="Z17" s="184" t="s">
        <v>312</v>
      </c>
      <c r="AA17" s="262">
        <v>3</v>
      </c>
      <c r="AB17" s="262" t="s">
        <v>585</v>
      </c>
      <c r="AC17" s="262">
        <v>3</v>
      </c>
      <c r="AD17" s="262" t="s">
        <v>586</v>
      </c>
      <c r="AE17" s="262">
        <v>1</v>
      </c>
      <c r="AF17" s="184" t="s">
        <v>312</v>
      </c>
      <c r="AG17" s="262">
        <v>3</v>
      </c>
      <c r="AH17" s="262">
        <v>5</v>
      </c>
      <c r="AI17" s="262">
        <v>0</v>
      </c>
      <c r="AJ17" s="262">
        <v>2</v>
      </c>
      <c r="AK17" s="184" t="s">
        <v>312</v>
      </c>
      <c r="AL17" s="262">
        <v>4</v>
      </c>
      <c r="AM17" s="184" t="s">
        <v>312</v>
      </c>
      <c r="AN17" s="262">
        <v>4</v>
      </c>
      <c r="AO17" s="184" t="s">
        <v>312</v>
      </c>
      <c r="AP17" s="262">
        <v>4</v>
      </c>
      <c r="AQ17" s="262">
        <v>4</v>
      </c>
      <c r="AR17" s="262">
        <v>4</v>
      </c>
      <c r="AS17" s="184" t="s">
        <v>312</v>
      </c>
      <c r="AT17" s="262">
        <v>3</v>
      </c>
      <c r="AU17" s="262">
        <v>3</v>
      </c>
      <c r="AV17" s="262">
        <v>1</v>
      </c>
      <c r="AW17" s="262">
        <v>3</v>
      </c>
      <c r="AX17" s="184" t="s">
        <v>312</v>
      </c>
      <c r="AY17" s="262">
        <v>5</v>
      </c>
      <c r="AZ17" s="262">
        <v>3</v>
      </c>
      <c r="BA17" s="262">
        <v>3</v>
      </c>
      <c r="BB17" s="262">
        <v>4</v>
      </c>
      <c r="BC17" s="184" t="s">
        <v>312</v>
      </c>
      <c r="BD17" s="262">
        <v>3</v>
      </c>
      <c r="BE17" s="262">
        <v>3</v>
      </c>
      <c r="BF17" s="262" t="s">
        <v>542</v>
      </c>
      <c r="BG17" s="262" t="s">
        <v>27</v>
      </c>
      <c r="BH17" s="262" t="s">
        <v>311</v>
      </c>
      <c r="BI17" s="262" t="s">
        <v>311</v>
      </c>
      <c r="BJ17" s="262">
        <v>3</v>
      </c>
      <c r="BK17" s="184" t="s">
        <v>312</v>
      </c>
      <c r="BL17" s="262" t="s">
        <v>311</v>
      </c>
      <c r="BM17" s="262" t="s">
        <v>311</v>
      </c>
      <c r="BN17" s="262">
        <v>3</v>
      </c>
      <c r="BO17" s="262">
        <v>5</v>
      </c>
      <c r="BP17" s="184" t="s">
        <v>312</v>
      </c>
      <c r="BQ17" s="262">
        <v>3</v>
      </c>
      <c r="BR17" s="262" t="s">
        <v>587</v>
      </c>
      <c r="BS17" s="262" t="s">
        <v>587</v>
      </c>
    </row>
    <row r="18" spans="2:71" s="16" customFormat="1" ht="35.25" customHeight="1" x14ac:dyDescent="0.25">
      <c r="B18" s="198" t="s">
        <v>744</v>
      </c>
      <c r="C18" s="154" t="s">
        <v>12</v>
      </c>
      <c r="D18" s="172">
        <v>6073017813</v>
      </c>
      <c r="E18" s="172">
        <v>4106</v>
      </c>
      <c r="F18" s="172">
        <v>82</v>
      </c>
      <c r="G18" s="172">
        <v>4</v>
      </c>
      <c r="H18" s="172">
        <v>10.58</v>
      </c>
      <c r="I18" s="281">
        <v>3</v>
      </c>
      <c r="J18" s="281">
        <v>3</v>
      </c>
      <c r="K18" s="281">
        <v>2.5</v>
      </c>
      <c r="L18" s="281">
        <v>3</v>
      </c>
      <c r="M18" s="281">
        <v>3</v>
      </c>
      <c r="N18" s="281">
        <v>1</v>
      </c>
      <c r="O18" s="281">
        <v>2</v>
      </c>
      <c r="P18" s="281">
        <v>3</v>
      </c>
      <c r="Q18" s="281">
        <v>3</v>
      </c>
      <c r="R18" s="184">
        <v>0</v>
      </c>
      <c r="S18" s="262">
        <v>5</v>
      </c>
      <c r="T18" s="262">
        <v>4</v>
      </c>
      <c r="U18" s="262" t="s">
        <v>311</v>
      </c>
      <c r="V18" s="262">
        <v>3</v>
      </c>
      <c r="W18" s="262">
        <v>3</v>
      </c>
      <c r="X18" s="184" t="s">
        <v>312</v>
      </c>
      <c r="Y18" s="262">
        <v>5</v>
      </c>
      <c r="Z18" s="184" t="s">
        <v>312</v>
      </c>
      <c r="AA18" s="262">
        <v>3</v>
      </c>
      <c r="AB18" s="262" t="s">
        <v>585</v>
      </c>
      <c r="AC18" s="262">
        <v>3</v>
      </c>
      <c r="AD18" s="262" t="s">
        <v>586</v>
      </c>
      <c r="AE18" s="262">
        <v>1</v>
      </c>
      <c r="AF18" s="184" t="s">
        <v>312</v>
      </c>
      <c r="AG18" s="262">
        <v>3</v>
      </c>
      <c r="AH18" s="262">
        <v>5</v>
      </c>
      <c r="AI18" s="262">
        <v>0</v>
      </c>
      <c r="AJ18" s="262">
        <v>2</v>
      </c>
      <c r="AK18" s="184" t="s">
        <v>312</v>
      </c>
      <c r="AL18" s="262">
        <v>4</v>
      </c>
      <c r="AM18" s="184" t="s">
        <v>312</v>
      </c>
      <c r="AN18" s="262">
        <v>4</v>
      </c>
      <c r="AO18" s="184" t="s">
        <v>312</v>
      </c>
      <c r="AP18" s="262">
        <v>4</v>
      </c>
      <c r="AQ18" s="262">
        <v>4</v>
      </c>
      <c r="AR18" s="262">
        <v>4</v>
      </c>
      <c r="AS18" s="184" t="s">
        <v>312</v>
      </c>
      <c r="AT18" s="262">
        <v>3</v>
      </c>
      <c r="AU18" s="262">
        <v>3</v>
      </c>
      <c r="AV18" s="262">
        <v>1</v>
      </c>
      <c r="AW18" s="262">
        <v>3</v>
      </c>
      <c r="AX18" s="184" t="s">
        <v>312</v>
      </c>
      <c r="AY18" s="262">
        <v>5</v>
      </c>
      <c r="AZ18" s="262">
        <v>3</v>
      </c>
      <c r="BA18" s="262">
        <v>3</v>
      </c>
      <c r="BB18" s="262">
        <v>4</v>
      </c>
      <c r="BC18" s="184" t="s">
        <v>312</v>
      </c>
      <c r="BD18" s="262">
        <v>3</v>
      </c>
      <c r="BE18" s="262">
        <v>3</v>
      </c>
      <c r="BF18" s="262" t="s">
        <v>542</v>
      </c>
      <c r="BG18" s="262" t="s">
        <v>27</v>
      </c>
      <c r="BH18" s="262" t="s">
        <v>311</v>
      </c>
      <c r="BI18" s="262" t="s">
        <v>311</v>
      </c>
      <c r="BJ18" s="262">
        <v>3</v>
      </c>
      <c r="BK18" s="184" t="s">
        <v>312</v>
      </c>
      <c r="BL18" s="262" t="s">
        <v>311</v>
      </c>
      <c r="BM18" s="262" t="s">
        <v>311</v>
      </c>
      <c r="BN18" s="262">
        <v>3</v>
      </c>
      <c r="BO18" s="262">
        <v>5</v>
      </c>
      <c r="BP18" s="184" t="s">
        <v>312</v>
      </c>
      <c r="BQ18" s="262">
        <v>3</v>
      </c>
      <c r="BR18" s="262" t="s">
        <v>587</v>
      </c>
      <c r="BS18" s="262" t="s">
        <v>587</v>
      </c>
    </row>
    <row r="19" spans="2:71" s="16" customFormat="1" ht="35.25" customHeight="1" x14ac:dyDescent="0.25">
      <c r="B19" s="198" t="s">
        <v>367</v>
      </c>
      <c r="C19" s="154" t="s">
        <v>17</v>
      </c>
      <c r="D19" s="172">
        <v>6073014300</v>
      </c>
      <c r="E19" s="172">
        <v>3618</v>
      </c>
      <c r="F19" s="172">
        <v>50</v>
      </c>
      <c r="G19" s="172">
        <v>65</v>
      </c>
      <c r="H19" s="172">
        <v>31.85</v>
      </c>
      <c r="I19" s="281">
        <v>3</v>
      </c>
      <c r="J19" s="281">
        <v>3</v>
      </c>
      <c r="K19" s="281">
        <v>2.5</v>
      </c>
      <c r="L19" s="281">
        <v>3</v>
      </c>
      <c r="M19" s="281">
        <v>3</v>
      </c>
      <c r="N19" s="281">
        <v>1</v>
      </c>
      <c r="O19" s="281">
        <v>2</v>
      </c>
      <c r="P19" s="281">
        <v>3</v>
      </c>
      <c r="Q19" s="281">
        <v>3</v>
      </c>
      <c r="R19" s="184">
        <v>0</v>
      </c>
      <c r="S19" s="262">
        <v>3</v>
      </c>
      <c r="T19" s="262">
        <v>5</v>
      </c>
      <c r="U19" s="262" t="s">
        <v>311</v>
      </c>
      <c r="V19" s="262">
        <v>3</v>
      </c>
      <c r="W19" s="262" t="s">
        <v>311</v>
      </c>
      <c r="X19" s="184" t="s">
        <v>312</v>
      </c>
      <c r="Y19" s="262" t="s">
        <v>311</v>
      </c>
      <c r="Z19" s="184" t="s">
        <v>312</v>
      </c>
      <c r="AA19" s="262">
        <v>3</v>
      </c>
      <c r="AB19" s="262">
        <v>3700000</v>
      </c>
      <c r="AC19" s="262">
        <v>1</v>
      </c>
      <c r="AD19" s="262" t="s">
        <v>608</v>
      </c>
      <c r="AE19" s="262">
        <v>3</v>
      </c>
      <c r="AF19" s="184" t="s">
        <v>312</v>
      </c>
      <c r="AG19" s="262">
        <v>1</v>
      </c>
      <c r="AH19" s="262">
        <v>1</v>
      </c>
      <c r="AI19" s="262">
        <v>0</v>
      </c>
      <c r="AJ19" s="262">
        <v>3</v>
      </c>
      <c r="AK19" s="184" t="s">
        <v>312</v>
      </c>
      <c r="AL19" s="262">
        <v>3</v>
      </c>
      <c r="AM19" s="184" t="s">
        <v>312</v>
      </c>
      <c r="AN19" s="262" t="s">
        <v>311</v>
      </c>
      <c r="AO19" s="184" t="s">
        <v>312</v>
      </c>
      <c r="AP19" s="262">
        <v>5</v>
      </c>
      <c r="AQ19" s="262">
        <v>5</v>
      </c>
      <c r="AR19" s="262">
        <v>5</v>
      </c>
      <c r="AS19" s="184" t="s">
        <v>312</v>
      </c>
      <c r="AT19" s="262" t="s">
        <v>311</v>
      </c>
      <c r="AU19" s="262" t="s">
        <v>311</v>
      </c>
      <c r="AV19" s="262" t="s">
        <v>311</v>
      </c>
      <c r="AW19" s="262">
        <v>5</v>
      </c>
      <c r="AX19" s="184" t="s">
        <v>312</v>
      </c>
      <c r="AY19" s="262">
        <v>3</v>
      </c>
      <c r="AZ19" s="262" t="s">
        <v>311</v>
      </c>
      <c r="BA19" s="262" t="s">
        <v>311</v>
      </c>
      <c r="BB19" s="262">
        <v>3</v>
      </c>
      <c r="BC19" s="184" t="s">
        <v>312</v>
      </c>
      <c r="BD19" s="262">
        <v>3</v>
      </c>
      <c r="BE19" s="262">
        <v>3</v>
      </c>
      <c r="BF19" s="262" t="s">
        <v>542</v>
      </c>
      <c r="BG19" s="262" t="s">
        <v>27</v>
      </c>
      <c r="BH19" s="262" t="s">
        <v>547</v>
      </c>
      <c r="BI19" s="262" t="s">
        <v>652</v>
      </c>
      <c r="BJ19" s="262">
        <v>3</v>
      </c>
      <c r="BK19" s="184" t="s">
        <v>312</v>
      </c>
      <c r="BL19" s="262">
        <v>5</v>
      </c>
      <c r="BM19" s="262">
        <v>3</v>
      </c>
      <c r="BN19" s="262">
        <v>3</v>
      </c>
      <c r="BO19" s="262">
        <v>5</v>
      </c>
      <c r="BP19" s="184" t="s">
        <v>312</v>
      </c>
      <c r="BQ19" s="262">
        <v>2</v>
      </c>
      <c r="BR19" s="262" t="s">
        <v>610</v>
      </c>
      <c r="BS19" s="262" t="s">
        <v>557</v>
      </c>
    </row>
    <row r="20" spans="2:71" s="16" customFormat="1" ht="35.25" customHeight="1" x14ac:dyDescent="0.25">
      <c r="B20" s="198" t="s">
        <v>340</v>
      </c>
      <c r="C20" s="154" t="s">
        <v>14</v>
      </c>
      <c r="D20" s="172">
        <v>6073018100</v>
      </c>
      <c r="E20" s="172">
        <v>5659</v>
      </c>
      <c r="F20" s="172">
        <v>56</v>
      </c>
      <c r="G20" s="172">
        <v>37</v>
      </c>
      <c r="H20" s="172">
        <v>23.25</v>
      </c>
      <c r="I20" s="281">
        <v>3</v>
      </c>
      <c r="J20" s="281">
        <v>2</v>
      </c>
      <c r="K20" s="281">
        <v>1.5</v>
      </c>
      <c r="L20" s="281">
        <v>3</v>
      </c>
      <c r="M20" s="281">
        <v>3</v>
      </c>
      <c r="N20" s="281">
        <v>2</v>
      </c>
      <c r="O20" s="281">
        <v>1</v>
      </c>
      <c r="P20" s="281">
        <v>3</v>
      </c>
      <c r="Q20" s="281">
        <v>1</v>
      </c>
      <c r="R20" s="184">
        <v>0</v>
      </c>
      <c r="S20" s="262" t="s">
        <v>373</v>
      </c>
      <c r="T20" s="262" t="s">
        <v>373</v>
      </c>
      <c r="U20" s="262" t="s">
        <v>373</v>
      </c>
      <c r="V20" s="262" t="s">
        <v>373</v>
      </c>
      <c r="W20" s="262" t="s">
        <v>373</v>
      </c>
      <c r="X20" s="184" t="s">
        <v>312</v>
      </c>
      <c r="Y20" s="262" t="s">
        <v>373</v>
      </c>
      <c r="Z20" s="184" t="s">
        <v>312</v>
      </c>
      <c r="AA20" s="262" t="s">
        <v>373</v>
      </c>
      <c r="AB20" s="262" t="s">
        <v>373</v>
      </c>
      <c r="AC20" s="262" t="s">
        <v>373</v>
      </c>
      <c r="AD20" s="262" t="s">
        <v>373</v>
      </c>
      <c r="AE20" s="262" t="s">
        <v>373</v>
      </c>
      <c r="AF20" s="184" t="s">
        <v>312</v>
      </c>
      <c r="AG20" s="262" t="s">
        <v>373</v>
      </c>
      <c r="AH20" s="262" t="s">
        <v>373</v>
      </c>
      <c r="AI20" s="262" t="s">
        <v>373</v>
      </c>
      <c r="AJ20" s="262" t="s">
        <v>373</v>
      </c>
      <c r="AK20" s="184" t="s">
        <v>312</v>
      </c>
      <c r="AL20" s="262" t="s">
        <v>373</v>
      </c>
      <c r="AM20" s="184" t="s">
        <v>312</v>
      </c>
      <c r="AN20" s="262" t="s">
        <v>373</v>
      </c>
      <c r="AO20" s="184" t="s">
        <v>312</v>
      </c>
      <c r="AP20" s="262" t="s">
        <v>373</v>
      </c>
      <c r="AQ20" s="262" t="s">
        <v>373</v>
      </c>
      <c r="AR20" s="262" t="s">
        <v>373</v>
      </c>
      <c r="AS20" s="184" t="s">
        <v>312</v>
      </c>
      <c r="AT20" s="262" t="s">
        <v>373</v>
      </c>
      <c r="AU20" s="262" t="s">
        <v>373</v>
      </c>
      <c r="AV20" s="262" t="s">
        <v>373</v>
      </c>
      <c r="AW20" s="262" t="s">
        <v>373</v>
      </c>
      <c r="AX20" s="184" t="s">
        <v>312</v>
      </c>
      <c r="AY20" s="262" t="s">
        <v>373</v>
      </c>
      <c r="AZ20" s="262" t="s">
        <v>373</v>
      </c>
      <c r="BA20" s="262" t="s">
        <v>373</v>
      </c>
      <c r="BB20" s="262" t="s">
        <v>373</v>
      </c>
      <c r="BC20" s="184" t="s">
        <v>312</v>
      </c>
      <c r="BD20" s="262" t="s">
        <v>373</v>
      </c>
      <c r="BE20" s="262" t="s">
        <v>373</v>
      </c>
      <c r="BF20" s="262" t="s">
        <v>373</v>
      </c>
      <c r="BG20" s="262" t="s">
        <v>373</v>
      </c>
      <c r="BH20" s="262" t="s">
        <v>373</v>
      </c>
      <c r="BI20" s="262" t="s">
        <v>373</v>
      </c>
      <c r="BJ20" s="262" t="s">
        <v>373</v>
      </c>
      <c r="BK20" s="184" t="s">
        <v>312</v>
      </c>
      <c r="BL20" s="262" t="s">
        <v>373</v>
      </c>
      <c r="BM20" s="262" t="s">
        <v>373</v>
      </c>
      <c r="BN20" s="262" t="s">
        <v>373</v>
      </c>
      <c r="BO20" s="262" t="s">
        <v>373</v>
      </c>
      <c r="BP20" s="184" t="s">
        <v>312</v>
      </c>
      <c r="BQ20" s="262" t="s">
        <v>373</v>
      </c>
      <c r="BR20" s="262" t="s">
        <v>373</v>
      </c>
      <c r="BS20" s="262" t="s">
        <v>373</v>
      </c>
    </row>
    <row r="21" spans="2:71" s="16" customFormat="1" ht="35.25" customHeight="1" x14ac:dyDescent="0.25">
      <c r="B21" s="198" t="s">
        <v>40</v>
      </c>
      <c r="C21" s="154" t="s">
        <v>8</v>
      </c>
      <c r="D21" s="172">
        <v>6073003404</v>
      </c>
      <c r="E21" s="172">
        <v>4634</v>
      </c>
      <c r="F21" s="172">
        <v>61</v>
      </c>
      <c r="G21" s="172">
        <v>81</v>
      </c>
      <c r="H21" s="172">
        <v>41.2</v>
      </c>
      <c r="I21" s="281">
        <v>3</v>
      </c>
      <c r="J21" s="281">
        <v>3</v>
      </c>
      <c r="K21" s="281">
        <v>2.5</v>
      </c>
      <c r="L21" s="281">
        <v>3</v>
      </c>
      <c r="M21" s="281">
        <v>2</v>
      </c>
      <c r="N21" s="281">
        <v>1</v>
      </c>
      <c r="O21" s="281">
        <v>2</v>
      </c>
      <c r="P21" s="281">
        <v>3</v>
      </c>
      <c r="Q21" s="281">
        <v>1</v>
      </c>
      <c r="R21" s="184">
        <v>0</v>
      </c>
      <c r="S21" s="262" t="s">
        <v>373</v>
      </c>
      <c r="T21" s="262" t="s">
        <v>373</v>
      </c>
      <c r="U21" s="262" t="s">
        <v>373</v>
      </c>
      <c r="V21" s="262" t="s">
        <v>373</v>
      </c>
      <c r="W21" s="262" t="s">
        <v>373</v>
      </c>
      <c r="X21" s="184" t="s">
        <v>312</v>
      </c>
      <c r="Y21" s="262" t="s">
        <v>373</v>
      </c>
      <c r="Z21" s="184" t="s">
        <v>312</v>
      </c>
      <c r="AA21" s="262" t="s">
        <v>373</v>
      </c>
      <c r="AB21" s="262" t="s">
        <v>373</v>
      </c>
      <c r="AC21" s="262" t="s">
        <v>373</v>
      </c>
      <c r="AD21" s="262" t="s">
        <v>373</v>
      </c>
      <c r="AE21" s="262" t="s">
        <v>373</v>
      </c>
      <c r="AF21" s="184" t="s">
        <v>312</v>
      </c>
      <c r="AG21" s="262" t="s">
        <v>373</v>
      </c>
      <c r="AH21" s="262" t="s">
        <v>373</v>
      </c>
      <c r="AI21" s="262" t="s">
        <v>373</v>
      </c>
      <c r="AJ21" s="262" t="s">
        <v>373</v>
      </c>
      <c r="AK21" s="184" t="s">
        <v>312</v>
      </c>
      <c r="AL21" s="262" t="s">
        <v>373</v>
      </c>
      <c r="AM21" s="184" t="s">
        <v>312</v>
      </c>
      <c r="AN21" s="262" t="s">
        <v>373</v>
      </c>
      <c r="AO21" s="184" t="s">
        <v>312</v>
      </c>
      <c r="AP21" s="262" t="s">
        <v>373</v>
      </c>
      <c r="AQ21" s="262" t="s">
        <v>373</v>
      </c>
      <c r="AR21" s="262" t="s">
        <v>373</v>
      </c>
      <c r="AS21" s="184" t="s">
        <v>312</v>
      </c>
      <c r="AT21" s="262" t="s">
        <v>373</v>
      </c>
      <c r="AU21" s="262" t="s">
        <v>373</v>
      </c>
      <c r="AV21" s="262" t="s">
        <v>373</v>
      </c>
      <c r="AW21" s="262" t="s">
        <v>373</v>
      </c>
      <c r="AX21" s="184" t="s">
        <v>312</v>
      </c>
      <c r="AY21" s="262" t="s">
        <v>373</v>
      </c>
      <c r="AZ21" s="262" t="s">
        <v>373</v>
      </c>
      <c r="BA21" s="262" t="s">
        <v>373</v>
      </c>
      <c r="BB21" s="262" t="s">
        <v>373</v>
      </c>
      <c r="BC21" s="184" t="s">
        <v>312</v>
      </c>
      <c r="BD21" s="262" t="s">
        <v>373</v>
      </c>
      <c r="BE21" s="262" t="s">
        <v>373</v>
      </c>
      <c r="BF21" s="262" t="s">
        <v>373</v>
      </c>
      <c r="BG21" s="262" t="s">
        <v>373</v>
      </c>
      <c r="BH21" s="262" t="s">
        <v>373</v>
      </c>
      <c r="BI21" s="262" t="s">
        <v>373</v>
      </c>
      <c r="BJ21" s="262" t="s">
        <v>373</v>
      </c>
      <c r="BK21" s="184" t="s">
        <v>312</v>
      </c>
      <c r="BL21" s="262" t="s">
        <v>373</v>
      </c>
      <c r="BM21" s="262" t="s">
        <v>373</v>
      </c>
      <c r="BN21" s="262" t="s">
        <v>373</v>
      </c>
      <c r="BO21" s="262" t="s">
        <v>373</v>
      </c>
      <c r="BP21" s="184" t="s">
        <v>312</v>
      </c>
      <c r="BQ21" s="262" t="s">
        <v>373</v>
      </c>
      <c r="BR21" s="262" t="s">
        <v>373</v>
      </c>
      <c r="BS21" s="262" t="s">
        <v>373</v>
      </c>
    </row>
    <row r="22" spans="2:71" s="16" customFormat="1" ht="35.25" customHeight="1" x14ac:dyDescent="0.25">
      <c r="B22" s="198" t="s">
        <v>38</v>
      </c>
      <c r="C22" s="154" t="s">
        <v>7</v>
      </c>
      <c r="D22" s="172">
        <v>6073021302</v>
      </c>
      <c r="E22" s="172">
        <v>7361</v>
      </c>
      <c r="F22" s="172">
        <v>41</v>
      </c>
      <c r="G22" s="172">
        <v>18</v>
      </c>
      <c r="H22" s="172">
        <v>13.81</v>
      </c>
      <c r="I22" s="281">
        <v>1</v>
      </c>
      <c r="J22" s="281">
        <v>1</v>
      </c>
      <c r="K22" s="281">
        <v>2.5</v>
      </c>
      <c r="L22" s="281">
        <v>3</v>
      </c>
      <c r="M22" s="281">
        <v>3</v>
      </c>
      <c r="N22" s="281">
        <v>2</v>
      </c>
      <c r="O22" s="281">
        <v>2</v>
      </c>
      <c r="P22" s="281">
        <v>3</v>
      </c>
      <c r="Q22" s="281">
        <v>2</v>
      </c>
      <c r="R22" s="184">
        <v>0</v>
      </c>
      <c r="S22" s="262">
        <v>5</v>
      </c>
      <c r="T22" s="262">
        <v>5</v>
      </c>
      <c r="U22" s="262">
        <v>5</v>
      </c>
      <c r="V22" s="262">
        <v>3</v>
      </c>
      <c r="W22" s="262">
        <v>5</v>
      </c>
      <c r="X22" s="184" t="s">
        <v>312</v>
      </c>
      <c r="Y22" s="262">
        <v>5</v>
      </c>
      <c r="Z22" s="184" t="s">
        <v>312</v>
      </c>
      <c r="AA22" s="262">
        <v>1</v>
      </c>
      <c r="AB22" s="262">
        <v>112600000</v>
      </c>
      <c r="AC22" s="262">
        <v>5</v>
      </c>
      <c r="AD22" s="262">
        <v>887000</v>
      </c>
      <c r="AE22" s="262">
        <v>1</v>
      </c>
      <c r="AF22" s="184" t="s">
        <v>312</v>
      </c>
      <c r="AG22" s="262">
        <v>2</v>
      </c>
      <c r="AH22" s="262">
        <v>5</v>
      </c>
      <c r="AI22" s="262">
        <v>0</v>
      </c>
      <c r="AJ22" s="262">
        <v>1</v>
      </c>
      <c r="AK22" s="184" t="s">
        <v>312</v>
      </c>
      <c r="AL22" s="262">
        <v>3</v>
      </c>
      <c r="AM22" s="184" t="s">
        <v>312</v>
      </c>
      <c r="AN22" s="262">
        <v>4</v>
      </c>
      <c r="AO22" s="184" t="s">
        <v>312</v>
      </c>
      <c r="AP22" s="262">
        <v>2</v>
      </c>
      <c r="AQ22" s="262">
        <v>3</v>
      </c>
      <c r="AR22" s="262">
        <v>3</v>
      </c>
      <c r="AS22" s="184" t="s">
        <v>312</v>
      </c>
      <c r="AT22" s="262">
        <v>1</v>
      </c>
      <c r="AU22" s="262">
        <v>3</v>
      </c>
      <c r="AV22" s="262">
        <v>1</v>
      </c>
      <c r="AW22" s="262">
        <v>3</v>
      </c>
      <c r="AX22" s="184" t="s">
        <v>312</v>
      </c>
      <c r="AY22" s="262">
        <v>5</v>
      </c>
      <c r="AZ22" s="262">
        <v>3</v>
      </c>
      <c r="BA22" s="262">
        <v>3</v>
      </c>
      <c r="BB22" s="262">
        <v>4</v>
      </c>
      <c r="BC22" s="184" t="s">
        <v>312</v>
      </c>
      <c r="BD22" s="262">
        <v>3</v>
      </c>
      <c r="BE22" s="262">
        <v>3</v>
      </c>
      <c r="BF22" s="262" t="s">
        <v>537</v>
      </c>
      <c r="BG22" s="262">
        <v>3</v>
      </c>
      <c r="BH22" s="262" t="s">
        <v>538</v>
      </c>
      <c r="BI22" s="262" t="s">
        <v>539</v>
      </c>
      <c r="BJ22" s="262">
        <v>3</v>
      </c>
      <c r="BK22" s="184" t="s">
        <v>312</v>
      </c>
      <c r="BL22" s="262">
        <v>3</v>
      </c>
      <c r="BM22" s="262">
        <v>3</v>
      </c>
      <c r="BN22" s="262">
        <v>3</v>
      </c>
      <c r="BO22" s="262">
        <v>3</v>
      </c>
      <c r="BP22" s="184" t="s">
        <v>312</v>
      </c>
      <c r="BQ22" s="262">
        <v>3</v>
      </c>
      <c r="BR22" s="262">
        <v>0</v>
      </c>
      <c r="BS22" s="262" t="s">
        <v>20</v>
      </c>
    </row>
    <row r="23" spans="2:71" s="16" customFormat="1" ht="35.25" customHeight="1" x14ac:dyDescent="0.25">
      <c r="B23" s="198" t="s">
        <v>44</v>
      </c>
      <c r="C23" s="154" t="s">
        <v>11</v>
      </c>
      <c r="D23" s="172">
        <v>6073016612</v>
      </c>
      <c r="E23" s="172">
        <v>6143</v>
      </c>
      <c r="F23" s="172">
        <v>22</v>
      </c>
      <c r="G23" s="172">
        <v>17</v>
      </c>
      <c r="H23" s="172">
        <v>10.75</v>
      </c>
      <c r="I23" s="281">
        <v>1</v>
      </c>
      <c r="J23" s="281">
        <v>3</v>
      </c>
      <c r="K23" s="281">
        <v>2.5</v>
      </c>
      <c r="L23" s="281">
        <v>3</v>
      </c>
      <c r="M23" s="281">
        <v>3</v>
      </c>
      <c r="N23" s="281">
        <v>2</v>
      </c>
      <c r="O23" s="281">
        <v>1</v>
      </c>
      <c r="P23" s="281">
        <v>3</v>
      </c>
      <c r="Q23" s="281">
        <v>3</v>
      </c>
      <c r="R23" s="186">
        <v>0</v>
      </c>
      <c r="S23" s="262">
        <v>5</v>
      </c>
      <c r="T23" s="262">
        <v>5</v>
      </c>
      <c r="U23" s="262">
        <v>5</v>
      </c>
      <c r="V23" s="262">
        <v>3</v>
      </c>
      <c r="W23" s="262">
        <v>5</v>
      </c>
      <c r="X23" s="184" t="s">
        <v>312</v>
      </c>
      <c r="Y23" s="262">
        <v>5</v>
      </c>
      <c r="Z23" s="184" t="s">
        <v>312</v>
      </c>
      <c r="AA23" s="262">
        <v>1</v>
      </c>
      <c r="AB23" s="262" t="s">
        <v>568</v>
      </c>
      <c r="AC23" s="262">
        <v>3</v>
      </c>
      <c r="AD23" s="262" t="s">
        <v>556</v>
      </c>
      <c r="AE23" s="262">
        <v>3</v>
      </c>
      <c r="AF23" s="184" t="s">
        <v>312</v>
      </c>
      <c r="AG23" s="262">
        <v>4</v>
      </c>
      <c r="AH23" s="262">
        <v>5</v>
      </c>
      <c r="AI23" s="262">
        <v>0</v>
      </c>
      <c r="AJ23" s="262">
        <v>5</v>
      </c>
      <c r="AK23" s="184" t="s">
        <v>312</v>
      </c>
      <c r="AL23" s="262">
        <v>5</v>
      </c>
      <c r="AM23" s="184" t="s">
        <v>312</v>
      </c>
      <c r="AN23" s="262">
        <v>2</v>
      </c>
      <c r="AO23" s="184" t="s">
        <v>312</v>
      </c>
      <c r="AP23" s="262">
        <v>3</v>
      </c>
      <c r="AQ23" s="262">
        <v>3</v>
      </c>
      <c r="AR23" s="262">
        <v>3</v>
      </c>
      <c r="AS23" s="184" t="s">
        <v>312</v>
      </c>
      <c r="AT23" s="262">
        <v>3</v>
      </c>
      <c r="AU23" s="262">
        <v>3</v>
      </c>
      <c r="AV23" s="262">
        <v>1</v>
      </c>
      <c r="AW23" s="262">
        <v>5</v>
      </c>
      <c r="AX23" s="184" t="s">
        <v>312</v>
      </c>
      <c r="AY23" s="262">
        <v>5</v>
      </c>
      <c r="AZ23" s="262">
        <v>3</v>
      </c>
      <c r="BA23" s="262">
        <v>3</v>
      </c>
      <c r="BB23" s="262">
        <v>5</v>
      </c>
      <c r="BC23" s="184" t="s">
        <v>312</v>
      </c>
      <c r="BD23" s="262">
        <v>3</v>
      </c>
      <c r="BE23" s="262">
        <v>3</v>
      </c>
      <c r="BF23" s="262" t="s">
        <v>542</v>
      </c>
      <c r="BG23" s="262">
        <v>3</v>
      </c>
      <c r="BH23" s="262" t="s">
        <v>311</v>
      </c>
      <c r="BI23" s="262" t="s">
        <v>569</v>
      </c>
      <c r="BJ23" s="262">
        <v>3</v>
      </c>
      <c r="BK23" s="184" t="s">
        <v>312</v>
      </c>
      <c r="BL23" s="262">
        <v>5</v>
      </c>
      <c r="BM23" s="262">
        <v>5</v>
      </c>
      <c r="BN23" s="262">
        <v>3</v>
      </c>
      <c r="BO23" s="262">
        <v>3</v>
      </c>
      <c r="BP23" s="184" t="s">
        <v>312</v>
      </c>
      <c r="BQ23" s="262">
        <v>3</v>
      </c>
      <c r="BR23" s="262">
        <v>0</v>
      </c>
      <c r="BS23" s="262" t="s">
        <v>557</v>
      </c>
    </row>
    <row r="24" spans="2:71" s="16" customFormat="1" ht="35.25" customHeight="1" x14ac:dyDescent="0.25">
      <c r="B24" s="198" t="s">
        <v>45</v>
      </c>
      <c r="C24" s="154" t="s">
        <v>11</v>
      </c>
      <c r="D24" s="172">
        <v>6073016612</v>
      </c>
      <c r="E24" s="172">
        <v>6143</v>
      </c>
      <c r="F24" s="172">
        <v>22</v>
      </c>
      <c r="G24" s="172">
        <v>17</v>
      </c>
      <c r="H24" s="172">
        <v>10.75</v>
      </c>
      <c r="I24" s="281">
        <v>1</v>
      </c>
      <c r="J24" s="281">
        <v>3</v>
      </c>
      <c r="K24" s="281">
        <v>2.5</v>
      </c>
      <c r="L24" s="281">
        <v>3</v>
      </c>
      <c r="M24" s="281">
        <v>3</v>
      </c>
      <c r="N24" s="281">
        <v>2</v>
      </c>
      <c r="O24" s="281">
        <v>1</v>
      </c>
      <c r="P24" s="281">
        <v>3</v>
      </c>
      <c r="Q24" s="281">
        <v>3</v>
      </c>
      <c r="R24" s="184">
        <v>0</v>
      </c>
      <c r="S24" s="262">
        <v>5</v>
      </c>
      <c r="T24" s="262">
        <v>5</v>
      </c>
      <c r="U24" s="262">
        <v>5</v>
      </c>
      <c r="V24" s="262">
        <v>3</v>
      </c>
      <c r="W24" s="262">
        <v>5</v>
      </c>
      <c r="X24" s="184" t="s">
        <v>312</v>
      </c>
      <c r="Y24" s="262">
        <v>5</v>
      </c>
      <c r="Z24" s="184" t="s">
        <v>312</v>
      </c>
      <c r="AA24" s="262">
        <v>1</v>
      </c>
      <c r="AB24" s="262" t="s">
        <v>570</v>
      </c>
      <c r="AC24" s="262">
        <v>3</v>
      </c>
      <c r="AD24" s="262" t="s">
        <v>556</v>
      </c>
      <c r="AE24" s="262">
        <v>3</v>
      </c>
      <c r="AF24" s="184" t="s">
        <v>312</v>
      </c>
      <c r="AG24" s="262">
        <v>5</v>
      </c>
      <c r="AH24" s="262">
        <v>5</v>
      </c>
      <c r="AI24" s="262">
        <v>0</v>
      </c>
      <c r="AJ24" s="262">
        <v>5</v>
      </c>
      <c r="AK24" s="184" t="s">
        <v>312</v>
      </c>
      <c r="AL24" s="262">
        <v>5</v>
      </c>
      <c r="AM24" s="184" t="s">
        <v>312</v>
      </c>
      <c r="AN24" s="262">
        <v>2</v>
      </c>
      <c r="AO24" s="184" t="s">
        <v>312</v>
      </c>
      <c r="AP24" s="262">
        <v>3</v>
      </c>
      <c r="AQ24" s="262">
        <v>3</v>
      </c>
      <c r="AR24" s="262">
        <v>3</v>
      </c>
      <c r="AS24" s="184" t="s">
        <v>312</v>
      </c>
      <c r="AT24" s="262">
        <v>3</v>
      </c>
      <c r="AU24" s="262">
        <v>3</v>
      </c>
      <c r="AV24" s="262">
        <v>1</v>
      </c>
      <c r="AW24" s="262">
        <v>5</v>
      </c>
      <c r="AX24" s="184" t="s">
        <v>312</v>
      </c>
      <c r="AY24" s="262">
        <v>5</v>
      </c>
      <c r="AZ24" s="262">
        <v>3</v>
      </c>
      <c r="BA24" s="262">
        <v>3</v>
      </c>
      <c r="BB24" s="262">
        <v>5</v>
      </c>
      <c r="BC24" s="184" t="s">
        <v>312</v>
      </c>
      <c r="BD24" s="262">
        <v>3</v>
      </c>
      <c r="BE24" s="262">
        <v>3</v>
      </c>
      <c r="BF24" s="262" t="s">
        <v>542</v>
      </c>
      <c r="BG24" s="262">
        <v>3</v>
      </c>
      <c r="BH24" s="262" t="s">
        <v>311</v>
      </c>
      <c r="BI24" s="262" t="s">
        <v>571</v>
      </c>
      <c r="BJ24" s="262">
        <v>3</v>
      </c>
      <c r="BK24" s="184" t="s">
        <v>312</v>
      </c>
      <c r="BL24" s="262">
        <v>5</v>
      </c>
      <c r="BM24" s="262">
        <v>5</v>
      </c>
      <c r="BN24" s="262">
        <v>3</v>
      </c>
      <c r="BO24" s="262">
        <v>3</v>
      </c>
      <c r="BP24" s="184" t="s">
        <v>312</v>
      </c>
      <c r="BQ24" s="262">
        <v>3</v>
      </c>
      <c r="BR24" s="262">
        <v>0</v>
      </c>
      <c r="BS24" s="262" t="s">
        <v>557</v>
      </c>
    </row>
    <row r="25" spans="2:71" s="16" customFormat="1" ht="35.25" customHeight="1" x14ac:dyDescent="0.25">
      <c r="B25" s="198" t="s">
        <v>46</v>
      </c>
      <c r="C25" s="154" t="s">
        <v>11</v>
      </c>
      <c r="D25" s="172">
        <v>6073016612</v>
      </c>
      <c r="E25" s="172">
        <v>6143</v>
      </c>
      <c r="F25" s="172">
        <v>22</v>
      </c>
      <c r="G25" s="172">
        <v>17</v>
      </c>
      <c r="H25" s="172">
        <v>10.75</v>
      </c>
      <c r="I25" s="281">
        <v>1</v>
      </c>
      <c r="J25" s="281">
        <v>3</v>
      </c>
      <c r="K25" s="281">
        <v>2.5</v>
      </c>
      <c r="L25" s="281">
        <v>3</v>
      </c>
      <c r="M25" s="281">
        <v>3</v>
      </c>
      <c r="N25" s="281">
        <v>2</v>
      </c>
      <c r="O25" s="281">
        <v>1</v>
      </c>
      <c r="P25" s="281">
        <v>3</v>
      </c>
      <c r="Q25" s="281">
        <v>3</v>
      </c>
      <c r="R25" s="184">
        <v>0</v>
      </c>
      <c r="S25" s="262">
        <v>5</v>
      </c>
      <c r="T25" s="262">
        <v>5</v>
      </c>
      <c r="U25" s="262">
        <v>5</v>
      </c>
      <c r="V25" s="262">
        <v>3</v>
      </c>
      <c r="W25" s="262">
        <v>5</v>
      </c>
      <c r="X25" s="184" t="s">
        <v>312</v>
      </c>
      <c r="Y25" s="262">
        <v>5</v>
      </c>
      <c r="Z25" s="184" t="s">
        <v>312</v>
      </c>
      <c r="AA25" s="262">
        <v>1</v>
      </c>
      <c r="AB25" s="262" t="s">
        <v>572</v>
      </c>
      <c r="AC25" s="262">
        <v>3</v>
      </c>
      <c r="AD25" s="262" t="s">
        <v>556</v>
      </c>
      <c r="AE25" s="262">
        <v>3</v>
      </c>
      <c r="AF25" s="184" t="s">
        <v>312</v>
      </c>
      <c r="AG25" s="262">
        <v>5</v>
      </c>
      <c r="AH25" s="262">
        <v>5</v>
      </c>
      <c r="AI25" s="262">
        <v>0</v>
      </c>
      <c r="AJ25" s="262">
        <v>5</v>
      </c>
      <c r="AK25" s="184" t="s">
        <v>312</v>
      </c>
      <c r="AL25" s="262">
        <v>3</v>
      </c>
      <c r="AM25" s="184" t="s">
        <v>312</v>
      </c>
      <c r="AN25" s="262">
        <v>2</v>
      </c>
      <c r="AO25" s="184" t="s">
        <v>312</v>
      </c>
      <c r="AP25" s="262">
        <v>3</v>
      </c>
      <c r="AQ25" s="262">
        <v>3</v>
      </c>
      <c r="AR25" s="262">
        <v>3</v>
      </c>
      <c r="AS25" s="184" t="s">
        <v>312</v>
      </c>
      <c r="AT25" s="262">
        <v>3</v>
      </c>
      <c r="AU25" s="262">
        <v>3</v>
      </c>
      <c r="AV25" s="262">
        <v>1</v>
      </c>
      <c r="AW25" s="262">
        <v>5</v>
      </c>
      <c r="AX25" s="184" t="s">
        <v>312</v>
      </c>
      <c r="AY25" s="262">
        <v>5</v>
      </c>
      <c r="AZ25" s="262">
        <v>3</v>
      </c>
      <c r="BA25" s="262">
        <v>3</v>
      </c>
      <c r="BB25" s="262">
        <v>5</v>
      </c>
      <c r="BC25" s="184" t="s">
        <v>312</v>
      </c>
      <c r="BD25" s="262">
        <v>3</v>
      </c>
      <c r="BE25" s="262">
        <v>3</v>
      </c>
      <c r="BF25" s="262" t="s">
        <v>542</v>
      </c>
      <c r="BG25" s="262" t="s">
        <v>27</v>
      </c>
      <c r="BH25" s="262" t="s">
        <v>547</v>
      </c>
      <c r="BI25" s="262" t="s">
        <v>312</v>
      </c>
      <c r="BJ25" s="262">
        <v>3</v>
      </c>
      <c r="BK25" s="184" t="s">
        <v>312</v>
      </c>
      <c r="BL25" s="262">
        <v>5</v>
      </c>
      <c r="BM25" s="262">
        <v>5</v>
      </c>
      <c r="BN25" s="262">
        <v>3</v>
      </c>
      <c r="BO25" s="262">
        <v>3</v>
      </c>
      <c r="BP25" s="184" t="s">
        <v>312</v>
      </c>
      <c r="BQ25" s="262">
        <v>3</v>
      </c>
      <c r="BR25" s="262">
        <v>0</v>
      </c>
      <c r="BS25" s="262" t="s">
        <v>557</v>
      </c>
    </row>
    <row r="26" spans="2:71" s="16" customFormat="1" ht="35.25" customHeight="1" x14ac:dyDescent="0.25">
      <c r="B26" s="198" t="s">
        <v>47</v>
      </c>
      <c r="C26" s="154" t="s">
        <v>11</v>
      </c>
      <c r="D26" s="172">
        <v>6073017813</v>
      </c>
      <c r="E26" s="172">
        <v>4106</v>
      </c>
      <c r="F26" s="172">
        <v>82</v>
      </c>
      <c r="G26" s="172">
        <v>4</v>
      </c>
      <c r="H26" s="172">
        <v>10.58</v>
      </c>
      <c r="I26" s="281">
        <v>3</v>
      </c>
      <c r="J26" s="281">
        <v>3</v>
      </c>
      <c r="K26" s="281">
        <v>2.5</v>
      </c>
      <c r="L26" s="281">
        <v>3</v>
      </c>
      <c r="M26" s="281">
        <v>3</v>
      </c>
      <c r="N26" s="281">
        <v>1</v>
      </c>
      <c r="O26" s="281">
        <v>2</v>
      </c>
      <c r="P26" s="281">
        <v>3</v>
      </c>
      <c r="Q26" s="281">
        <v>3</v>
      </c>
      <c r="R26" s="184">
        <v>0</v>
      </c>
      <c r="S26" s="262">
        <v>5</v>
      </c>
      <c r="T26" s="262">
        <v>4</v>
      </c>
      <c r="U26" s="262">
        <v>4</v>
      </c>
      <c r="V26" s="262">
        <v>3</v>
      </c>
      <c r="W26" s="262">
        <v>5</v>
      </c>
      <c r="X26" s="184" t="s">
        <v>312</v>
      </c>
      <c r="Y26" s="262">
        <v>5</v>
      </c>
      <c r="Z26" s="184" t="s">
        <v>312</v>
      </c>
      <c r="AA26" s="262">
        <v>1</v>
      </c>
      <c r="AB26" s="262">
        <v>530000000</v>
      </c>
      <c r="AC26" s="262">
        <v>3</v>
      </c>
      <c r="AD26" s="262" t="s">
        <v>573</v>
      </c>
      <c r="AE26" s="262">
        <v>3</v>
      </c>
      <c r="AF26" s="184" t="s">
        <v>312</v>
      </c>
      <c r="AG26" s="262">
        <v>3</v>
      </c>
      <c r="AH26" s="262">
        <v>5</v>
      </c>
      <c r="AI26" s="262">
        <v>0</v>
      </c>
      <c r="AJ26" s="262">
        <v>5</v>
      </c>
      <c r="AK26" s="184" t="s">
        <v>312</v>
      </c>
      <c r="AL26" s="262">
        <v>4</v>
      </c>
      <c r="AM26" s="184" t="s">
        <v>312</v>
      </c>
      <c r="AN26" s="262">
        <v>2</v>
      </c>
      <c r="AO26" s="184" t="s">
        <v>312</v>
      </c>
      <c r="AP26" s="262">
        <v>3</v>
      </c>
      <c r="AQ26" s="262">
        <v>5</v>
      </c>
      <c r="AR26" s="262">
        <v>3</v>
      </c>
      <c r="AS26" s="184" t="s">
        <v>312</v>
      </c>
      <c r="AT26" s="262">
        <v>5</v>
      </c>
      <c r="AU26" s="262">
        <v>4</v>
      </c>
      <c r="AV26" s="262">
        <v>3</v>
      </c>
      <c r="AW26" s="262">
        <v>3</v>
      </c>
      <c r="AX26" s="184" t="s">
        <v>312</v>
      </c>
      <c r="AY26" s="262">
        <v>5</v>
      </c>
      <c r="AZ26" s="262">
        <v>1</v>
      </c>
      <c r="BA26" s="262" t="s">
        <v>311</v>
      </c>
      <c r="BB26" s="262">
        <v>2</v>
      </c>
      <c r="BC26" s="184" t="s">
        <v>312</v>
      </c>
      <c r="BD26" s="262">
        <v>3</v>
      </c>
      <c r="BE26" s="262">
        <v>3</v>
      </c>
      <c r="BF26" s="262" t="s">
        <v>542</v>
      </c>
      <c r="BG26" s="262" t="s">
        <v>311</v>
      </c>
      <c r="BH26" s="262" t="s">
        <v>547</v>
      </c>
      <c r="BI26" s="262">
        <v>25</v>
      </c>
      <c r="BJ26" s="262">
        <v>3</v>
      </c>
      <c r="BK26" s="184" t="s">
        <v>312</v>
      </c>
      <c r="BL26" s="262">
        <v>3</v>
      </c>
      <c r="BM26" s="262">
        <v>5</v>
      </c>
      <c r="BN26" s="262">
        <v>3</v>
      </c>
      <c r="BO26" s="262">
        <v>5</v>
      </c>
      <c r="BP26" s="184" t="s">
        <v>312</v>
      </c>
      <c r="BQ26" s="262">
        <v>3</v>
      </c>
      <c r="BR26" s="262">
        <v>0</v>
      </c>
      <c r="BS26" s="262" t="s">
        <v>574</v>
      </c>
    </row>
    <row r="27" spans="2:71" s="16" customFormat="1" ht="35.25" customHeight="1" x14ac:dyDescent="0.25">
      <c r="B27" s="198" t="s">
        <v>314</v>
      </c>
      <c r="C27" s="154" t="s">
        <v>34</v>
      </c>
      <c r="D27" s="263" t="s">
        <v>742</v>
      </c>
      <c r="E27" s="263" t="s">
        <v>742</v>
      </c>
      <c r="F27" s="263" t="s">
        <v>742</v>
      </c>
      <c r="G27" s="263" t="s">
        <v>742</v>
      </c>
      <c r="H27" s="263" t="s">
        <v>742</v>
      </c>
      <c r="I27" s="282" t="s">
        <v>742</v>
      </c>
      <c r="J27" s="282" t="s">
        <v>742</v>
      </c>
      <c r="K27" s="282" t="s">
        <v>742</v>
      </c>
      <c r="L27" s="282" t="s">
        <v>742</v>
      </c>
      <c r="M27" s="282" t="s">
        <v>742</v>
      </c>
      <c r="N27" s="282" t="s">
        <v>742</v>
      </c>
      <c r="O27" s="282" t="s">
        <v>742</v>
      </c>
      <c r="P27" s="282" t="s">
        <v>742</v>
      </c>
      <c r="Q27" s="282" t="s">
        <v>742</v>
      </c>
      <c r="R27" s="266">
        <v>0</v>
      </c>
      <c r="S27" s="264" t="s">
        <v>706</v>
      </c>
      <c r="T27" s="264" t="s">
        <v>706</v>
      </c>
      <c r="U27" s="264" t="s">
        <v>706</v>
      </c>
      <c r="V27" s="264" t="s">
        <v>706</v>
      </c>
      <c r="W27" s="264" t="s">
        <v>706</v>
      </c>
      <c r="X27" s="266">
        <v>0</v>
      </c>
      <c r="Y27" s="264" t="s">
        <v>706</v>
      </c>
      <c r="Z27" s="266">
        <v>0</v>
      </c>
      <c r="AA27" s="264" t="s">
        <v>706</v>
      </c>
      <c r="AB27" s="264" t="s">
        <v>706</v>
      </c>
      <c r="AC27" s="264" t="s">
        <v>706</v>
      </c>
      <c r="AD27" s="264" t="s">
        <v>706</v>
      </c>
      <c r="AE27" s="264" t="s">
        <v>706</v>
      </c>
      <c r="AF27" s="266">
        <v>0</v>
      </c>
      <c r="AG27" s="264" t="s">
        <v>706</v>
      </c>
      <c r="AH27" s="264" t="s">
        <v>706</v>
      </c>
      <c r="AI27" s="264" t="s">
        <v>706</v>
      </c>
      <c r="AJ27" s="264" t="s">
        <v>706</v>
      </c>
      <c r="AK27" s="266">
        <v>0</v>
      </c>
      <c r="AL27" s="264" t="s">
        <v>706</v>
      </c>
      <c r="AM27" s="266">
        <v>0</v>
      </c>
      <c r="AN27" s="264" t="s">
        <v>706</v>
      </c>
      <c r="AO27" s="266">
        <v>0</v>
      </c>
      <c r="AP27" s="264" t="s">
        <v>706</v>
      </c>
      <c r="AQ27" s="264" t="s">
        <v>706</v>
      </c>
      <c r="AR27" s="264" t="s">
        <v>706</v>
      </c>
      <c r="AS27" s="266">
        <v>0</v>
      </c>
      <c r="AT27" s="264" t="s">
        <v>706</v>
      </c>
      <c r="AU27" s="264" t="s">
        <v>706</v>
      </c>
      <c r="AV27" s="264" t="s">
        <v>706</v>
      </c>
      <c r="AW27" s="264" t="s">
        <v>706</v>
      </c>
      <c r="AX27" s="266">
        <v>0</v>
      </c>
      <c r="AY27" s="264" t="s">
        <v>706</v>
      </c>
      <c r="AZ27" s="264" t="s">
        <v>706</v>
      </c>
      <c r="BA27" s="264" t="s">
        <v>706</v>
      </c>
      <c r="BB27" s="264" t="s">
        <v>706</v>
      </c>
      <c r="BC27" s="266">
        <v>0</v>
      </c>
      <c r="BD27" s="264" t="s">
        <v>706</v>
      </c>
      <c r="BE27" s="264" t="s">
        <v>706</v>
      </c>
      <c r="BF27" s="264" t="s">
        <v>706</v>
      </c>
      <c r="BG27" s="264" t="s">
        <v>706</v>
      </c>
      <c r="BH27" s="264" t="s">
        <v>706</v>
      </c>
      <c r="BI27" s="264" t="s">
        <v>706</v>
      </c>
      <c r="BJ27" s="264" t="s">
        <v>706</v>
      </c>
      <c r="BK27" s="266">
        <v>0</v>
      </c>
      <c r="BL27" s="264" t="s">
        <v>706</v>
      </c>
      <c r="BM27" s="264" t="s">
        <v>706</v>
      </c>
      <c r="BN27" s="264" t="s">
        <v>706</v>
      </c>
      <c r="BO27" s="264" t="s">
        <v>706</v>
      </c>
      <c r="BP27" s="266">
        <v>0</v>
      </c>
      <c r="BQ27" s="264" t="s">
        <v>706</v>
      </c>
      <c r="BR27" s="264" t="s">
        <v>706</v>
      </c>
      <c r="BS27" s="264" t="s">
        <v>706</v>
      </c>
    </row>
    <row r="28" spans="2:71" s="16" customFormat="1" ht="35.25" customHeight="1" x14ac:dyDescent="0.25">
      <c r="B28" s="198" t="s">
        <v>326</v>
      </c>
      <c r="C28" s="154" t="s">
        <v>12</v>
      </c>
      <c r="D28" s="172">
        <v>6073008327</v>
      </c>
      <c r="E28" s="172">
        <v>5775</v>
      </c>
      <c r="F28" s="172">
        <v>13</v>
      </c>
      <c r="G28" s="172">
        <v>3</v>
      </c>
      <c r="H28" s="172">
        <v>4.93</v>
      </c>
      <c r="I28" s="281">
        <v>3</v>
      </c>
      <c r="J28" s="281">
        <v>3</v>
      </c>
      <c r="K28" s="281">
        <v>1.5</v>
      </c>
      <c r="L28" s="281">
        <v>3</v>
      </c>
      <c r="M28" s="281">
        <v>3</v>
      </c>
      <c r="N28" s="281">
        <v>2</v>
      </c>
      <c r="O28" s="281">
        <v>2</v>
      </c>
      <c r="P28" s="281">
        <v>3</v>
      </c>
      <c r="Q28" s="281">
        <v>3</v>
      </c>
      <c r="R28" s="184">
        <v>0</v>
      </c>
      <c r="S28" s="262">
        <v>5</v>
      </c>
      <c r="T28" s="262">
        <v>3</v>
      </c>
      <c r="U28" s="262" t="s">
        <v>311</v>
      </c>
      <c r="V28" s="262">
        <v>3</v>
      </c>
      <c r="W28" s="262">
        <v>5</v>
      </c>
      <c r="X28" s="184" t="s">
        <v>312</v>
      </c>
      <c r="Y28" s="262">
        <v>5</v>
      </c>
      <c r="Z28" s="184" t="s">
        <v>312</v>
      </c>
      <c r="AA28" s="262">
        <v>3</v>
      </c>
      <c r="AB28" s="262" t="s">
        <v>588</v>
      </c>
      <c r="AC28" s="262">
        <v>5</v>
      </c>
      <c r="AD28" s="262" t="s">
        <v>541</v>
      </c>
      <c r="AE28" s="262">
        <v>1</v>
      </c>
      <c r="AF28" s="184" t="s">
        <v>312</v>
      </c>
      <c r="AG28" s="262">
        <v>1</v>
      </c>
      <c r="AH28" s="262">
        <v>5</v>
      </c>
      <c r="AI28" s="262">
        <v>0</v>
      </c>
      <c r="AJ28" s="262">
        <v>4</v>
      </c>
      <c r="AK28" s="184" t="s">
        <v>312</v>
      </c>
      <c r="AL28" s="262">
        <v>5</v>
      </c>
      <c r="AM28" s="184" t="s">
        <v>312</v>
      </c>
      <c r="AN28" s="262">
        <v>4</v>
      </c>
      <c r="AO28" s="184" t="s">
        <v>312</v>
      </c>
      <c r="AP28" s="262">
        <v>5</v>
      </c>
      <c r="AQ28" s="262">
        <v>5</v>
      </c>
      <c r="AR28" s="262">
        <v>5</v>
      </c>
      <c r="AS28" s="184" t="s">
        <v>312</v>
      </c>
      <c r="AT28" s="262">
        <v>3</v>
      </c>
      <c r="AU28" s="262" t="s">
        <v>311</v>
      </c>
      <c r="AV28" s="262">
        <v>1</v>
      </c>
      <c r="AW28" s="262">
        <v>3</v>
      </c>
      <c r="AX28" s="184" t="s">
        <v>312</v>
      </c>
      <c r="AY28" s="262">
        <v>5</v>
      </c>
      <c r="AZ28" s="262">
        <v>3</v>
      </c>
      <c r="BA28" s="262">
        <v>3</v>
      </c>
      <c r="BB28" s="262">
        <v>5</v>
      </c>
      <c r="BC28" s="184" t="s">
        <v>312</v>
      </c>
      <c r="BD28" s="262">
        <v>3</v>
      </c>
      <c r="BE28" s="262">
        <v>3</v>
      </c>
      <c r="BF28" s="262" t="s">
        <v>542</v>
      </c>
      <c r="BG28" s="262" t="s">
        <v>27</v>
      </c>
      <c r="BH28" s="262" t="s">
        <v>547</v>
      </c>
      <c r="BI28" s="262" t="s">
        <v>560</v>
      </c>
      <c r="BJ28" s="262">
        <v>3</v>
      </c>
      <c r="BK28" s="184" t="s">
        <v>312</v>
      </c>
      <c r="BL28" s="262">
        <v>3</v>
      </c>
      <c r="BM28" s="262">
        <v>3</v>
      </c>
      <c r="BN28" s="262">
        <v>3</v>
      </c>
      <c r="BO28" s="262">
        <v>3</v>
      </c>
      <c r="BP28" s="184" t="s">
        <v>312</v>
      </c>
      <c r="BQ28" s="262">
        <v>4</v>
      </c>
      <c r="BR28" s="262">
        <v>0</v>
      </c>
      <c r="BS28" s="262" t="s">
        <v>561</v>
      </c>
    </row>
    <row r="29" spans="2:71" s="16" customFormat="1" ht="35.25" customHeight="1" x14ac:dyDescent="0.25">
      <c r="B29" s="198" t="s">
        <v>327</v>
      </c>
      <c r="C29" s="154" t="s">
        <v>12</v>
      </c>
      <c r="D29" s="172">
        <v>6073008327</v>
      </c>
      <c r="E29" s="172">
        <v>5775</v>
      </c>
      <c r="F29" s="172">
        <v>13</v>
      </c>
      <c r="G29" s="172">
        <v>3</v>
      </c>
      <c r="H29" s="172">
        <v>4.93</v>
      </c>
      <c r="I29" s="281">
        <v>3</v>
      </c>
      <c r="J29" s="281">
        <v>3</v>
      </c>
      <c r="K29" s="281">
        <v>1.5</v>
      </c>
      <c r="L29" s="281">
        <v>3</v>
      </c>
      <c r="M29" s="281">
        <v>3</v>
      </c>
      <c r="N29" s="281">
        <v>2</v>
      </c>
      <c r="O29" s="281">
        <v>2</v>
      </c>
      <c r="P29" s="281">
        <v>3</v>
      </c>
      <c r="Q29" s="281">
        <v>3</v>
      </c>
      <c r="R29" s="184">
        <v>0</v>
      </c>
      <c r="S29" s="262">
        <v>5</v>
      </c>
      <c r="T29" s="262">
        <v>3</v>
      </c>
      <c r="U29" s="262" t="s">
        <v>311</v>
      </c>
      <c r="V29" s="262">
        <v>3</v>
      </c>
      <c r="W29" s="262">
        <v>5</v>
      </c>
      <c r="X29" s="184" t="s">
        <v>312</v>
      </c>
      <c r="Y29" s="262">
        <v>5</v>
      </c>
      <c r="Z29" s="184" t="s">
        <v>312</v>
      </c>
      <c r="AA29" s="262">
        <v>3</v>
      </c>
      <c r="AB29" s="262" t="s">
        <v>560</v>
      </c>
      <c r="AC29" s="262">
        <v>5</v>
      </c>
      <c r="AD29" s="262" t="s">
        <v>541</v>
      </c>
      <c r="AE29" s="262">
        <v>1</v>
      </c>
      <c r="AF29" s="184" t="s">
        <v>312</v>
      </c>
      <c r="AG29" s="262">
        <v>1</v>
      </c>
      <c r="AH29" s="262">
        <v>5</v>
      </c>
      <c r="AI29" s="262">
        <v>0</v>
      </c>
      <c r="AJ29" s="262">
        <v>4</v>
      </c>
      <c r="AK29" s="184" t="s">
        <v>312</v>
      </c>
      <c r="AL29" s="262">
        <v>5</v>
      </c>
      <c r="AM29" s="184" t="s">
        <v>312</v>
      </c>
      <c r="AN29" s="262">
        <v>4</v>
      </c>
      <c r="AO29" s="184" t="s">
        <v>312</v>
      </c>
      <c r="AP29" s="262">
        <v>5</v>
      </c>
      <c r="AQ29" s="262">
        <v>5</v>
      </c>
      <c r="AR29" s="262">
        <v>5</v>
      </c>
      <c r="AS29" s="184" t="s">
        <v>312</v>
      </c>
      <c r="AT29" s="262">
        <v>3</v>
      </c>
      <c r="AU29" s="262" t="s">
        <v>311</v>
      </c>
      <c r="AV29" s="262">
        <v>1</v>
      </c>
      <c r="AW29" s="262">
        <v>3</v>
      </c>
      <c r="AX29" s="184" t="s">
        <v>312</v>
      </c>
      <c r="AY29" s="262">
        <v>5</v>
      </c>
      <c r="AZ29" s="262">
        <v>3</v>
      </c>
      <c r="BA29" s="262">
        <v>3</v>
      </c>
      <c r="BB29" s="262">
        <v>5</v>
      </c>
      <c r="BC29" s="184" t="s">
        <v>312</v>
      </c>
      <c r="BD29" s="262">
        <v>3</v>
      </c>
      <c r="BE29" s="262">
        <v>3</v>
      </c>
      <c r="BF29" s="262" t="s">
        <v>542</v>
      </c>
      <c r="BG29" s="262" t="s">
        <v>27</v>
      </c>
      <c r="BH29" s="262" t="s">
        <v>547</v>
      </c>
      <c r="BI29" s="262" t="s">
        <v>560</v>
      </c>
      <c r="BJ29" s="262">
        <v>3</v>
      </c>
      <c r="BK29" s="184" t="s">
        <v>312</v>
      </c>
      <c r="BL29" s="262">
        <v>3</v>
      </c>
      <c r="BM29" s="262">
        <v>3</v>
      </c>
      <c r="BN29" s="262">
        <v>3</v>
      </c>
      <c r="BO29" s="262">
        <v>3</v>
      </c>
      <c r="BP29" s="184" t="s">
        <v>312</v>
      </c>
      <c r="BQ29" s="262">
        <v>4</v>
      </c>
      <c r="BR29" s="262">
        <v>0</v>
      </c>
      <c r="BS29" s="262" t="s">
        <v>561</v>
      </c>
    </row>
    <row r="30" spans="2:71" s="16" customFormat="1" ht="35.25" customHeight="1" x14ac:dyDescent="0.25">
      <c r="B30" s="198" t="s">
        <v>67</v>
      </c>
      <c r="C30" s="154" t="s">
        <v>17</v>
      </c>
      <c r="D30" s="172">
        <v>6073014300</v>
      </c>
      <c r="E30" s="172">
        <v>3618</v>
      </c>
      <c r="F30" s="172">
        <v>50</v>
      </c>
      <c r="G30" s="172">
        <v>65</v>
      </c>
      <c r="H30" s="172">
        <v>31.85</v>
      </c>
      <c r="I30" s="281">
        <v>3</v>
      </c>
      <c r="J30" s="281">
        <v>3</v>
      </c>
      <c r="K30" s="281">
        <v>2.5</v>
      </c>
      <c r="L30" s="281">
        <v>3</v>
      </c>
      <c r="M30" s="281">
        <v>3</v>
      </c>
      <c r="N30" s="281">
        <v>1</v>
      </c>
      <c r="O30" s="281">
        <v>2</v>
      </c>
      <c r="P30" s="281">
        <v>2</v>
      </c>
      <c r="Q30" s="281">
        <v>2</v>
      </c>
      <c r="R30" s="184">
        <v>0</v>
      </c>
      <c r="S30" s="262">
        <v>3</v>
      </c>
      <c r="T30" s="262">
        <v>3</v>
      </c>
      <c r="U30" s="262" t="s">
        <v>311</v>
      </c>
      <c r="V30" s="262">
        <v>3</v>
      </c>
      <c r="W30" s="262">
        <v>3</v>
      </c>
      <c r="X30" s="184" t="s">
        <v>312</v>
      </c>
      <c r="Y30" s="262">
        <v>3</v>
      </c>
      <c r="Z30" s="184" t="s">
        <v>312</v>
      </c>
      <c r="AA30" s="262">
        <v>3</v>
      </c>
      <c r="AB30" s="262">
        <v>200000</v>
      </c>
      <c r="AC30" s="262">
        <v>1</v>
      </c>
      <c r="AD30" s="262" t="s">
        <v>600</v>
      </c>
      <c r="AE30" s="262">
        <v>3</v>
      </c>
      <c r="AF30" s="184" t="s">
        <v>312</v>
      </c>
      <c r="AG30" s="262">
        <v>1</v>
      </c>
      <c r="AH30" s="262">
        <v>1</v>
      </c>
      <c r="AI30" s="262">
        <v>0</v>
      </c>
      <c r="AJ30" s="262">
        <v>4</v>
      </c>
      <c r="AK30" s="184" t="s">
        <v>312</v>
      </c>
      <c r="AL30" s="262">
        <v>3</v>
      </c>
      <c r="AM30" s="184" t="s">
        <v>312</v>
      </c>
      <c r="AN30" s="262" t="s">
        <v>311</v>
      </c>
      <c r="AO30" s="184" t="s">
        <v>312</v>
      </c>
      <c r="AP30" s="262">
        <v>5</v>
      </c>
      <c r="AQ30" s="262">
        <v>4</v>
      </c>
      <c r="AR30" s="262">
        <v>5</v>
      </c>
      <c r="AS30" s="184" t="s">
        <v>312</v>
      </c>
      <c r="AT30" s="262">
        <v>5</v>
      </c>
      <c r="AU30" s="262">
        <v>3</v>
      </c>
      <c r="AV30" s="262">
        <v>3</v>
      </c>
      <c r="AW30" s="262">
        <v>5</v>
      </c>
      <c r="AX30" s="184" t="s">
        <v>312</v>
      </c>
      <c r="AY30" s="262">
        <v>3</v>
      </c>
      <c r="AZ30" s="262" t="s">
        <v>311</v>
      </c>
      <c r="BA30" s="262" t="s">
        <v>311</v>
      </c>
      <c r="BB30" s="262">
        <v>3</v>
      </c>
      <c r="BC30" s="184" t="s">
        <v>312</v>
      </c>
      <c r="BD30" s="262">
        <v>5</v>
      </c>
      <c r="BE30" s="262">
        <v>5</v>
      </c>
      <c r="BF30" s="262" t="s">
        <v>601</v>
      </c>
      <c r="BG30" s="262" t="s">
        <v>27</v>
      </c>
      <c r="BH30" s="262" t="s">
        <v>538</v>
      </c>
      <c r="BI30" s="262" t="s">
        <v>653</v>
      </c>
      <c r="BJ30" s="262">
        <v>5</v>
      </c>
      <c r="BK30" s="184" t="s">
        <v>312</v>
      </c>
      <c r="BL30" s="262">
        <v>5</v>
      </c>
      <c r="BM30" s="262">
        <v>3</v>
      </c>
      <c r="BN30" s="262">
        <v>3</v>
      </c>
      <c r="BO30" s="262">
        <v>5</v>
      </c>
      <c r="BP30" s="184" t="s">
        <v>312</v>
      </c>
      <c r="BQ30" s="262">
        <v>4</v>
      </c>
      <c r="BR30" s="262" t="s">
        <v>653</v>
      </c>
      <c r="BS30" s="262" t="s">
        <v>603</v>
      </c>
    </row>
    <row r="31" spans="2:71" s="16" customFormat="1" ht="35.25" customHeight="1" x14ac:dyDescent="0.25">
      <c r="B31" s="198" t="s">
        <v>68</v>
      </c>
      <c r="C31" s="154" t="s">
        <v>17</v>
      </c>
      <c r="D31" s="172">
        <v>60730174110</v>
      </c>
      <c r="E31" s="172">
        <v>10622</v>
      </c>
      <c r="F31" s="172">
        <v>36</v>
      </c>
      <c r="G31" s="172">
        <v>6</v>
      </c>
      <c r="H31" s="172">
        <v>8.43</v>
      </c>
      <c r="I31" s="281">
        <v>1</v>
      </c>
      <c r="J31" s="281">
        <v>2</v>
      </c>
      <c r="K31" s="281">
        <v>2.5</v>
      </c>
      <c r="L31" s="281">
        <v>3</v>
      </c>
      <c r="M31" s="281">
        <v>3</v>
      </c>
      <c r="N31" s="281">
        <v>2</v>
      </c>
      <c r="O31" s="281">
        <v>1</v>
      </c>
      <c r="P31" s="281">
        <v>3</v>
      </c>
      <c r="Q31" s="281">
        <v>1</v>
      </c>
      <c r="R31" s="186">
        <v>0</v>
      </c>
      <c r="S31" s="262">
        <v>4</v>
      </c>
      <c r="T31" s="262">
        <v>3</v>
      </c>
      <c r="U31" s="262" t="s">
        <v>311</v>
      </c>
      <c r="V31" s="262">
        <v>3</v>
      </c>
      <c r="W31" s="262">
        <v>5</v>
      </c>
      <c r="X31" s="184" t="s">
        <v>312</v>
      </c>
      <c r="Y31" s="262">
        <v>5</v>
      </c>
      <c r="Z31" s="184" t="s">
        <v>312</v>
      </c>
      <c r="AA31" s="262">
        <v>1</v>
      </c>
      <c r="AB31" s="262" t="s">
        <v>654</v>
      </c>
      <c r="AC31" s="262">
        <v>1</v>
      </c>
      <c r="AD31" s="262" t="s">
        <v>546</v>
      </c>
      <c r="AE31" s="262">
        <v>3</v>
      </c>
      <c r="AF31" s="184" t="s">
        <v>312</v>
      </c>
      <c r="AG31" s="262">
        <v>4</v>
      </c>
      <c r="AH31" s="262">
        <v>3</v>
      </c>
      <c r="AI31" s="262">
        <v>0</v>
      </c>
      <c r="AJ31" s="262">
        <v>4</v>
      </c>
      <c r="AK31" s="184" t="s">
        <v>312</v>
      </c>
      <c r="AL31" s="262">
        <v>4</v>
      </c>
      <c r="AM31" s="184" t="s">
        <v>312</v>
      </c>
      <c r="AN31" s="262">
        <v>1</v>
      </c>
      <c r="AO31" s="184" t="s">
        <v>312</v>
      </c>
      <c r="AP31" s="262">
        <v>5</v>
      </c>
      <c r="AQ31" s="262">
        <v>5</v>
      </c>
      <c r="AR31" s="262">
        <v>5</v>
      </c>
      <c r="AS31" s="184" t="s">
        <v>312</v>
      </c>
      <c r="AT31" s="262">
        <v>5</v>
      </c>
      <c r="AU31" s="262">
        <v>5</v>
      </c>
      <c r="AV31" s="262">
        <v>5</v>
      </c>
      <c r="AW31" s="262">
        <v>3</v>
      </c>
      <c r="AX31" s="184" t="s">
        <v>312</v>
      </c>
      <c r="AY31" s="262">
        <v>5</v>
      </c>
      <c r="AZ31" s="262">
        <v>5</v>
      </c>
      <c r="BA31" s="262">
        <v>3</v>
      </c>
      <c r="BB31" s="262">
        <v>1</v>
      </c>
      <c r="BC31" s="184" t="s">
        <v>312</v>
      </c>
      <c r="BD31" s="262">
        <v>5</v>
      </c>
      <c r="BE31" s="262">
        <v>5</v>
      </c>
      <c r="BF31" s="262" t="s">
        <v>601</v>
      </c>
      <c r="BG31" s="262">
        <v>3</v>
      </c>
      <c r="BH31" s="262" t="s">
        <v>538</v>
      </c>
      <c r="BI31" s="262" t="s">
        <v>311</v>
      </c>
      <c r="BJ31" s="262">
        <v>5</v>
      </c>
      <c r="BK31" s="184" t="s">
        <v>312</v>
      </c>
      <c r="BL31" s="262">
        <v>5</v>
      </c>
      <c r="BM31" s="262">
        <v>3</v>
      </c>
      <c r="BN31" s="262">
        <v>3</v>
      </c>
      <c r="BO31" s="262">
        <v>3</v>
      </c>
      <c r="BP31" s="184" t="s">
        <v>312</v>
      </c>
      <c r="BQ31" s="262">
        <v>4</v>
      </c>
      <c r="BR31" s="262" t="s">
        <v>311</v>
      </c>
      <c r="BS31" s="262" t="s">
        <v>655</v>
      </c>
    </row>
    <row r="32" spans="2:71" s="16" customFormat="1" ht="35.25" customHeight="1" x14ac:dyDescent="0.25">
      <c r="B32" s="198" t="s">
        <v>57</v>
      </c>
      <c r="C32" s="154" t="s">
        <v>14</v>
      </c>
      <c r="D32" s="172">
        <v>6073014001</v>
      </c>
      <c r="E32" s="172">
        <v>4630</v>
      </c>
      <c r="F32" s="172">
        <v>31</v>
      </c>
      <c r="G32" s="172">
        <v>58</v>
      </c>
      <c r="H32" s="172">
        <v>24.52</v>
      </c>
      <c r="I32" s="281">
        <v>3</v>
      </c>
      <c r="J32" s="281">
        <v>3</v>
      </c>
      <c r="K32" s="281">
        <v>2.5</v>
      </c>
      <c r="L32" s="281">
        <v>3</v>
      </c>
      <c r="M32" s="281">
        <v>3</v>
      </c>
      <c r="N32" s="281">
        <v>1</v>
      </c>
      <c r="O32" s="281">
        <v>2</v>
      </c>
      <c r="P32" s="281">
        <v>3</v>
      </c>
      <c r="Q32" s="281">
        <v>2</v>
      </c>
      <c r="R32" s="184">
        <v>0</v>
      </c>
      <c r="S32" s="262">
        <v>3</v>
      </c>
      <c r="T32" s="262">
        <v>5</v>
      </c>
      <c r="U32" s="262" t="s">
        <v>311</v>
      </c>
      <c r="V32" s="262">
        <v>3</v>
      </c>
      <c r="W32" s="262" t="s">
        <v>311</v>
      </c>
      <c r="X32" s="184" t="s">
        <v>312</v>
      </c>
      <c r="Y32" s="262" t="s">
        <v>311</v>
      </c>
      <c r="Z32" s="184" t="s">
        <v>312</v>
      </c>
      <c r="AA32" s="262">
        <v>1</v>
      </c>
      <c r="AB32" s="262">
        <v>3600000</v>
      </c>
      <c r="AC32" s="262">
        <v>1</v>
      </c>
      <c r="AD32" s="262" t="s">
        <v>608</v>
      </c>
      <c r="AE32" s="262">
        <v>3</v>
      </c>
      <c r="AF32" s="184" t="s">
        <v>312</v>
      </c>
      <c r="AG32" s="262">
        <v>1</v>
      </c>
      <c r="AH32" s="262">
        <v>1</v>
      </c>
      <c r="AI32" s="262">
        <v>0</v>
      </c>
      <c r="AJ32" s="262">
        <v>3</v>
      </c>
      <c r="AK32" s="184" t="s">
        <v>312</v>
      </c>
      <c r="AL32" s="262">
        <v>3</v>
      </c>
      <c r="AM32" s="184" t="s">
        <v>312</v>
      </c>
      <c r="AN32" s="262" t="s">
        <v>311</v>
      </c>
      <c r="AO32" s="184" t="s">
        <v>312</v>
      </c>
      <c r="AP32" s="262">
        <v>5</v>
      </c>
      <c r="AQ32" s="262">
        <v>5</v>
      </c>
      <c r="AR32" s="262">
        <v>5</v>
      </c>
      <c r="AS32" s="184" t="s">
        <v>312</v>
      </c>
      <c r="AT32" s="262">
        <v>5</v>
      </c>
      <c r="AU32" s="262">
        <v>1</v>
      </c>
      <c r="AV32" s="262">
        <v>1</v>
      </c>
      <c r="AW32" s="262">
        <v>5</v>
      </c>
      <c r="AX32" s="184" t="s">
        <v>312</v>
      </c>
      <c r="AY32" s="262">
        <v>3</v>
      </c>
      <c r="AZ32" s="262" t="s">
        <v>311</v>
      </c>
      <c r="BA32" s="262" t="s">
        <v>311</v>
      </c>
      <c r="BB32" s="262">
        <v>3</v>
      </c>
      <c r="BC32" s="184" t="s">
        <v>312</v>
      </c>
      <c r="BD32" s="262">
        <v>3</v>
      </c>
      <c r="BE32" s="262">
        <v>3</v>
      </c>
      <c r="BF32" s="262" t="s">
        <v>542</v>
      </c>
      <c r="BG32" s="262" t="s">
        <v>27</v>
      </c>
      <c r="BH32" s="262" t="s">
        <v>547</v>
      </c>
      <c r="BI32" s="262" t="s">
        <v>609</v>
      </c>
      <c r="BJ32" s="262">
        <v>3</v>
      </c>
      <c r="BK32" s="184" t="s">
        <v>312</v>
      </c>
      <c r="BL32" s="262">
        <v>5</v>
      </c>
      <c r="BM32" s="262">
        <v>3</v>
      </c>
      <c r="BN32" s="262">
        <v>3</v>
      </c>
      <c r="BO32" s="262">
        <v>5</v>
      </c>
      <c r="BP32" s="184" t="s">
        <v>312</v>
      </c>
      <c r="BQ32" s="262">
        <v>2</v>
      </c>
      <c r="BR32" s="262" t="s">
        <v>610</v>
      </c>
      <c r="BS32" s="262" t="s">
        <v>557</v>
      </c>
    </row>
    <row r="33" spans="2:71" s="16" customFormat="1" ht="35.25" customHeight="1" x14ac:dyDescent="0.25">
      <c r="B33" s="198" t="s">
        <v>315</v>
      </c>
      <c r="C33" s="154" t="s">
        <v>8</v>
      </c>
      <c r="D33" s="263" t="s">
        <v>742</v>
      </c>
      <c r="E33" s="263" t="s">
        <v>742</v>
      </c>
      <c r="F33" s="263" t="s">
        <v>742</v>
      </c>
      <c r="G33" s="263" t="s">
        <v>742</v>
      </c>
      <c r="H33" s="263" t="s">
        <v>742</v>
      </c>
      <c r="I33" s="282" t="s">
        <v>742</v>
      </c>
      <c r="J33" s="282" t="s">
        <v>742</v>
      </c>
      <c r="K33" s="282" t="s">
        <v>742</v>
      </c>
      <c r="L33" s="282" t="s">
        <v>742</v>
      </c>
      <c r="M33" s="282" t="s">
        <v>742</v>
      </c>
      <c r="N33" s="282" t="s">
        <v>742</v>
      </c>
      <c r="O33" s="282" t="s">
        <v>742</v>
      </c>
      <c r="P33" s="282" t="s">
        <v>742</v>
      </c>
      <c r="Q33" s="282" t="s">
        <v>742</v>
      </c>
      <c r="R33" s="184">
        <v>0</v>
      </c>
      <c r="S33" s="262">
        <v>5</v>
      </c>
      <c r="T33" s="262">
        <v>3</v>
      </c>
      <c r="U33" s="262" t="s">
        <v>311</v>
      </c>
      <c r="V33" s="262">
        <v>2</v>
      </c>
      <c r="W33" s="262">
        <v>3</v>
      </c>
      <c r="X33" s="184" t="s">
        <v>312</v>
      </c>
      <c r="Y33" s="262">
        <v>5</v>
      </c>
      <c r="Z33" s="184" t="s">
        <v>312</v>
      </c>
      <c r="AA33" s="262">
        <v>5</v>
      </c>
      <c r="AB33" s="262" t="s">
        <v>550</v>
      </c>
      <c r="AC33" s="262">
        <v>5</v>
      </c>
      <c r="AD33" s="262" t="s">
        <v>541</v>
      </c>
      <c r="AE33" s="262">
        <v>3</v>
      </c>
      <c r="AF33" s="184" t="s">
        <v>312</v>
      </c>
      <c r="AG33" s="262">
        <v>2</v>
      </c>
      <c r="AH33" s="262">
        <v>3</v>
      </c>
      <c r="AI33" s="262">
        <v>0</v>
      </c>
      <c r="AJ33" s="262">
        <v>5</v>
      </c>
      <c r="AK33" s="184" t="s">
        <v>312</v>
      </c>
      <c r="AL33" s="262">
        <v>4</v>
      </c>
      <c r="AM33" s="184" t="s">
        <v>312</v>
      </c>
      <c r="AN33" s="262">
        <v>4</v>
      </c>
      <c r="AO33" s="184" t="s">
        <v>312</v>
      </c>
      <c r="AP33" s="262">
        <v>4</v>
      </c>
      <c r="AQ33" s="262">
        <v>5</v>
      </c>
      <c r="AR33" s="262">
        <v>3</v>
      </c>
      <c r="AS33" s="184" t="s">
        <v>312</v>
      </c>
      <c r="AT33" s="262">
        <v>3</v>
      </c>
      <c r="AU33" s="262">
        <v>3</v>
      </c>
      <c r="AV33" s="262">
        <v>1</v>
      </c>
      <c r="AW33" s="262">
        <v>5</v>
      </c>
      <c r="AX33" s="184" t="s">
        <v>312</v>
      </c>
      <c r="AY33" s="262">
        <v>5</v>
      </c>
      <c r="AZ33" s="262">
        <v>3</v>
      </c>
      <c r="BA33" s="262">
        <v>3</v>
      </c>
      <c r="BB33" s="262">
        <v>3</v>
      </c>
      <c r="BC33" s="184" t="s">
        <v>312</v>
      </c>
      <c r="BD33" s="262">
        <v>3</v>
      </c>
      <c r="BE33" s="262">
        <v>3</v>
      </c>
      <c r="BF33" s="262" t="s">
        <v>542</v>
      </c>
      <c r="BG33" s="262" t="s">
        <v>27</v>
      </c>
      <c r="BH33" s="262" t="s">
        <v>547</v>
      </c>
      <c r="BI33" s="262" t="s">
        <v>551</v>
      </c>
      <c r="BJ33" s="262">
        <v>3</v>
      </c>
      <c r="BK33" s="184" t="s">
        <v>312</v>
      </c>
      <c r="BL33" s="262">
        <v>3</v>
      </c>
      <c r="BM33" s="262">
        <v>3</v>
      </c>
      <c r="BN33" s="262">
        <v>3</v>
      </c>
      <c r="BO33" s="262">
        <v>3</v>
      </c>
      <c r="BP33" s="184" t="s">
        <v>312</v>
      </c>
      <c r="BQ33" s="262">
        <v>3</v>
      </c>
      <c r="BR33" s="262">
        <v>0</v>
      </c>
      <c r="BS33" s="262" t="s">
        <v>20</v>
      </c>
    </row>
    <row r="34" spans="2:71" s="16" customFormat="1" ht="35.25" customHeight="1" x14ac:dyDescent="0.2">
      <c r="B34" s="269" t="s">
        <v>41</v>
      </c>
      <c r="C34" s="154" t="s">
        <v>9</v>
      </c>
      <c r="D34" s="172">
        <v>6073016902</v>
      </c>
      <c r="E34" s="172">
        <v>2341</v>
      </c>
      <c r="F34" s="172">
        <v>51</v>
      </c>
      <c r="G34" s="172">
        <v>34</v>
      </c>
      <c r="H34" s="172">
        <v>21.41</v>
      </c>
      <c r="I34" s="281">
        <v>2</v>
      </c>
      <c r="J34" s="281">
        <v>3</v>
      </c>
      <c r="K34" s="281">
        <v>1.5</v>
      </c>
      <c r="L34" s="281">
        <v>3</v>
      </c>
      <c r="M34" s="281">
        <v>3</v>
      </c>
      <c r="N34" s="281">
        <v>2</v>
      </c>
      <c r="O34" s="281">
        <v>1</v>
      </c>
      <c r="P34" s="281">
        <v>3</v>
      </c>
      <c r="Q34" s="281">
        <v>3</v>
      </c>
      <c r="R34" s="184">
        <v>0</v>
      </c>
      <c r="S34" s="262">
        <v>5</v>
      </c>
      <c r="T34" s="262">
        <v>3</v>
      </c>
      <c r="U34" s="262" t="s">
        <v>311</v>
      </c>
      <c r="V34" s="262">
        <v>3</v>
      </c>
      <c r="W34" s="262">
        <v>5</v>
      </c>
      <c r="X34" s="184" t="s">
        <v>312</v>
      </c>
      <c r="Y34" s="262">
        <v>5</v>
      </c>
      <c r="Z34" s="184" t="s">
        <v>312</v>
      </c>
      <c r="AA34" s="262">
        <v>1</v>
      </c>
      <c r="AB34" s="262" t="s">
        <v>312</v>
      </c>
      <c r="AC34" s="262">
        <v>3</v>
      </c>
      <c r="AD34" s="262" t="s">
        <v>312</v>
      </c>
      <c r="AE34" s="262">
        <v>3</v>
      </c>
      <c r="AF34" s="184" t="s">
        <v>312</v>
      </c>
      <c r="AG34" s="262">
        <v>4</v>
      </c>
      <c r="AH34" s="262">
        <v>5</v>
      </c>
      <c r="AI34" s="262">
        <v>0</v>
      </c>
      <c r="AJ34" s="262">
        <v>2</v>
      </c>
      <c r="AK34" s="184" t="s">
        <v>312</v>
      </c>
      <c r="AL34" s="262">
        <v>3</v>
      </c>
      <c r="AM34" s="184" t="s">
        <v>312</v>
      </c>
      <c r="AN34" s="262">
        <v>2</v>
      </c>
      <c r="AO34" s="184" t="s">
        <v>312</v>
      </c>
      <c r="AP34" s="262">
        <v>3</v>
      </c>
      <c r="AQ34" s="262">
        <v>3</v>
      </c>
      <c r="AR34" s="262">
        <v>3</v>
      </c>
      <c r="AS34" s="184" t="s">
        <v>312</v>
      </c>
      <c r="AT34" s="262">
        <v>3</v>
      </c>
      <c r="AU34" s="262">
        <v>3</v>
      </c>
      <c r="AV34" s="262">
        <v>1</v>
      </c>
      <c r="AW34" s="262">
        <v>3</v>
      </c>
      <c r="AX34" s="184" t="s">
        <v>312</v>
      </c>
      <c r="AY34" s="262">
        <v>5</v>
      </c>
      <c r="AZ34" s="262">
        <v>3</v>
      </c>
      <c r="BA34" s="262">
        <v>3</v>
      </c>
      <c r="BB34" s="262">
        <v>2</v>
      </c>
      <c r="BC34" s="184" t="s">
        <v>312</v>
      </c>
      <c r="BD34" s="262">
        <v>3</v>
      </c>
      <c r="BE34" s="262">
        <v>3</v>
      </c>
      <c r="BF34" s="262" t="s">
        <v>542</v>
      </c>
      <c r="BG34" s="262" t="s">
        <v>27</v>
      </c>
      <c r="BH34" s="262" t="s">
        <v>538</v>
      </c>
      <c r="BI34" s="262" t="s">
        <v>311</v>
      </c>
      <c r="BJ34" s="262">
        <v>3</v>
      </c>
      <c r="BK34" s="184" t="s">
        <v>312</v>
      </c>
      <c r="BL34" s="262">
        <v>3</v>
      </c>
      <c r="BM34" s="262">
        <v>5</v>
      </c>
      <c r="BN34" s="262">
        <v>4</v>
      </c>
      <c r="BO34" s="262">
        <v>4</v>
      </c>
      <c r="BP34" s="184" t="s">
        <v>312</v>
      </c>
      <c r="BQ34" s="262">
        <v>3</v>
      </c>
      <c r="BR34" s="262">
        <v>0</v>
      </c>
      <c r="BS34" s="262" t="s">
        <v>20</v>
      </c>
    </row>
    <row r="35" spans="2:71" s="16" customFormat="1" ht="35.25" customHeight="1" x14ac:dyDescent="0.25">
      <c r="B35" s="198" t="s">
        <v>295</v>
      </c>
      <c r="C35" s="154" t="s">
        <v>12</v>
      </c>
      <c r="D35" s="172">
        <v>6073020307</v>
      </c>
      <c r="E35" s="172">
        <v>7170</v>
      </c>
      <c r="F35" s="172">
        <v>92</v>
      </c>
      <c r="G35" s="172">
        <v>14</v>
      </c>
      <c r="H35" s="172">
        <v>19.66</v>
      </c>
      <c r="I35" s="281">
        <v>1.5</v>
      </c>
      <c r="J35" s="281">
        <v>3</v>
      </c>
      <c r="K35" s="281">
        <v>2.5</v>
      </c>
      <c r="L35" s="281">
        <v>3</v>
      </c>
      <c r="M35" s="281">
        <v>3</v>
      </c>
      <c r="N35" s="281">
        <v>1</v>
      </c>
      <c r="O35" s="281">
        <v>1</v>
      </c>
      <c r="P35" s="281">
        <v>3</v>
      </c>
      <c r="Q35" s="281">
        <v>3</v>
      </c>
      <c r="R35" s="184">
        <v>0</v>
      </c>
      <c r="S35" s="262" t="s">
        <v>373</v>
      </c>
      <c r="T35" s="262" t="s">
        <v>373</v>
      </c>
      <c r="U35" s="262" t="s">
        <v>373</v>
      </c>
      <c r="V35" s="262" t="s">
        <v>373</v>
      </c>
      <c r="W35" s="262" t="s">
        <v>373</v>
      </c>
      <c r="X35" s="184" t="s">
        <v>312</v>
      </c>
      <c r="Y35" s="262" t="s">
        <v>373</v>
      </c>
      <c r="Z35" s="184" t="s">
        <v>312</v>
      </c>
      <c r="AA35" s="262" t="s">
        <v>373</v>
      </c>
      <c r="AB35" s="262" t="s">
        <v>373</v>
      </c>
      <c r="AC35" s="262" t="s">
        <v>373</v>
      </c>
      <c r="AD35" s="262" t="s">
        <v>373</v>
      </c>
      <c r="AE35" s="262" t="s">
        <v>373</v>
      </c>
      <c r="AF35" s="184" t="s">
        <v>312</v>
      </c>
      <c r="AG35" s="262" t="s">
        <v>373</v>
      </c>
      <c r="AH35" s="262" t="s">
        <v>373</v>
      </c>
      <c r="AI35" s="262" t="s">
        <v>373</v>
      </c>
      <c r="AJ35" s="262" t="s">
        <v>373</v>
      </c>
      <c r="AK35" s="184" t="s">
        <v>312</v>
      </c>
      <c r="AL35" s="262" t="s">
        <v>373</v>
      </c>
      <c r="AM35" s="184" t="s">
        <v>312</v>
      </c>
      <c r="AN35" s="262" t="s">
        <v>373</v>
      </c>
      <c r="AO35" s="184" t="s">
        <v>312</v>
      </c>
      <c r="AP35" s="262" t="s">
        <v>373</v>
      </c>
      <c r="AQ35" s="262" t="s">
        <v>373</v>
      </c>
      <c r="AR35" s="262" t="s">
        <v>373</v>
      </c>
      <c r="AS35" s="184" t="s">
        <v>312</v>
      </c>
      <c r="AT35" s="262" t="s">
        <v>373</v>
      </c>
      <c r="AU35" s="262" t="s">
        <v>373</v>
      </c>
      <c r="AV35" s="262" t="s">
        <v>373</v>
      </c>
      <c r="AW35" s="262" t="s">
        <v>373</v>
      </c>
      <c r="AX35" s="184" t="s">
        <v>312</v>
      </c>
      <c r="AY35" s="262" t="s">
        <v>373</v>
      </c>
      <c r="AZ35" s="262" t="s">
        <v>373</v>
      </c>
      <c r="BA35" s="262" t="s">
        <v>373</v>
      </c>
      <c r="BB35" s="262" t="s">
        <v>373</v>
      </c>
      <c r="BC35" s="184" t="s">
        <v>312</v>
      </c>
      <c r="BD35" s="262" t="s">
        <v>373</v>
      </c>
      <c r="BE35" s="262" t="s">
        <v>373</v>
      </c>
      <c r="BF35" s="262" t="s">
        <v>373</v>
      </c>
      <c r="BG35" s="262" t="s">
        <v>373</v>
      </c>
      <c r="BH35" s="262" t="s">
        <v>373</v>
      </c>
      <c r="BI35" s="262" t="s">
        <v>373</v>
      </c>
      <c r="BJ35" s="262" t="s">
        <v>373</v>
      </c>
      <c r="BK35" s="184" t="s">
        <v>312</v>
      </c>
      <c r="BL35" s="262" t="s">
        <v>373</v>
      </c>
      <c r="BM35" s="262" t="s">
        <v>373</v>
      </c>
      <c r="BN35" s="262" t="s">
        <v>373</v>
      </c>
      <c r="BO35" s="262" t="s">
        <v>373</v>
      </c>
      <c r="BP35" s="184" t="s">
        <v>312</v>
      </c>
      <c r="BQ35" s="262" t="s">
        <v>373</v>
      </c>
      <c r="BR35" s="262" t="s">
        <v>373</v>
      </c>
      <c r="BS35" s="262" t="s">
        <v>373</v>
      </c>
    </row>
    <row r="36" spans="2:71" s="16" customFormat="1" ht="35.25" customHeight="1" x14ac:dyDescent="0.25">
      <c r="B36" s="198" t="s">
        <v>328</v>
      </c>
      <c r="C36" s="154" t="s">
        <v>12</v>
      </c>
      <c r="D36" s="172">
        <v>6073017404</v>
      </c>
      <c r="E36" s="172">
        <v>6338</v>
      </c>
      <c r="F36" s="172">
        <v>59</v>
      </c>
      <c r="G36" s="172">
        <v>11</v>
      </c>
      <c r="H36" s="172">
        <v>13.36</v>
      </c>
      <c r="I36" s="281">
        <v>3</v>
      </c>
      <c r="J36" s="281">
        <v>3</v>
      </c>
      <c r="K36" s="281">
        <v>1.5</v>
      </c>
      <c r="L36" s="281">
        <v>1</v>
      </c>
      <c r="M36" s="281">
        <v>3</v>
      </c>
      <c r="N36" s="281">
        <v>2</v>
      </c>
      <c r="O36" s="281">
        <v>1</v>
      </c>
      <c r="P36" s="281">
        <v>3</v>
      </c>
      <c r="Q36" s="281">
        <v>3</v>
      </c>
      <c r="R36" s="184">
        <v>0</v>
      </c>
      <c r="S36" s="262">
        <v>5</v>
      </c>
      <c r="T36" s="262">
        <v>5</v>
      </c>
      <c r="U36" s="262">
        <v>5</v>
      </c>
      <c r="V36" s="262">
        <v>3</v>
      </c>
      <c r="W36" s="262">
        <v>5</v>
      </c>
      <c r="X36" s="184" t="s">
        <v>312</v>
      </c>
      <c r="Y36" s="262">
        <v>5</v>
      </c>
      <c r="Z36" s="184" t="s">
        <v>312</v>
      </c>
      <c r="AA36" s="262">
        <v>3</v>
      </c>
      <c r="AB36" s="262" t="s">
        <v>589</v>
      </c>
      <c r="AC36" s="262">
        <v>5</v>
      </c>
      <c r="AD36" s="262" t="s">
        <v>590</v>
      </c>
      <c r="AE36" s="262">
        <v>3</v>
      </c>
      <c r="AF36" s="184" t="s">
        <v>312</v>
      </c>
      <c r="AG36" s="262">
        <v>2</v>
      </c>
      <c r="AH36" s="262">
        <v>5</v>
      </c>
      <c r="AI36" s="262">
        <v>0</v>
      </c>
      <c r="AJ36" s="262">
        <v>4</v>
      </c>
      <c r="AK36" s="184" t="s">
        <v>312</v>
      </c>
      <c r="AL36" s="262">
        <v>4</v>
      </c>
      <c r="AM36" s="184" t="s">
        <v>312</v>
      </c>
      <c r="AN36" s="262">
        <v>2</v>
      </c>
      <c r="AO36" s="184" t="s">
        <v>312</v>
      </c>
      <c r="AP36" s="262">
        <v>5</v>
      </c>
      <c r="AQ36" s="262">
        <v>5</v>
      </c>
      <c r="AR36" s="262">
        <v>3</v>
      </c>
      <c r="AS36" s="184" t="s">
        <v>312</v>
      </c>
      <c r="AT36" s="262">
        <v>3</v>
      </c>
      <c r="AU36" s="262" t="s">
        <v>311</v>
      </c>
      <c r="AV36" s="262">
        <v>1</v>
      </c>
      <c r="AW36" s="262">
        <v>3</v>
      </c>
      <c r="AX36" s="184" t="s">
        <v>312</v>
      </c>
      <c r="AY36" s="262">
        <v>5</v>
      </c>
      <c r="AZ36" s="262">
        <v>3</v>
      </c>
      <c r="BA36" s="262">
        <v>3</v>
      </c>
      <c r="BB36" s="262">
        <v>5</v>
      </c>
      <c r="BC36" s="184" t="s">
        <v>312</v>
      </c>
      <c r="BD36" s="262">
        <v>3</v>
      </c>
      <c r="BE36" s="262">
        <v>3</v>
      </c>
      <c r="BF36" s="262" t="s">
        <v>542</v>
      </c>
      <c r="BG36" s="262" t="s">
        <v>27</v>
      </c>
      <c r="BH36" s="262" t="s">
        <v>547</v>
      </c>
      <c r="BI36" s="262" t="s">
        <v>560</v>
      </c>
      <c r="BJ36" s="262">
        <v>3</v>
      </c>
      <c r="BK36" s="184" t="s">
        <v>312</v>
      </c>
      <c r="BL36" s="262">
        <v>3</v>
      </c>
      <c r="BM36" s="262">
        <v>3</v>
      </c>
      <c r="BN36" s="262">
        <v>4</v>
      </c>
      <c r="BO36" s="262">
        <v>4</v>
      </c>
      <c r="BP36" s="184" t="s">
        <v>312</v>
      </c>
      <c r="BQ36" s="262">
        <v>4</v>
      </c>
      <c r="BR36" s="262">
        <v>0</v>
      </c>
      <c r="BS36" s="262" t="s">
        <v>561</v>
      </c>
    </row>
    <row r="37" spans="2:71" s="16" customFormat="1" ht="35.25" customHeight="1" x14ac:dyDescent="0.25">
      <c r="B37" s="198" t="s">
        <v>329</v>
      </c>
      <c r="C37" s="154" t="s">
        <v>12</v>
      </c>
      <c r="D37" s="172">
        <v>6073017404</v>
      </c>
      <c r="E37" s="172">
        <v>6338</v>
      </c>
      <c r="F37" s="172">
        <v>59</v>
      </c>
      <c r="G37" s="172">
        <v>11</v>
      </c>
      <c r="H37" s="172">
        <v>13.36</v>
      </c>
      <c r="I37" s="281">
        <v>3</v>
      </c>
      <c r="J37" s="281">
        <v>3</v>
      </c>
      <c r="K37" s="281">
        <v>1.5</v>
      </c>
      <c r="L37" s="281">
        <v>1</v>
      </c>
      <c r="M37" s="281">
        <v>3</v>
      </c>
      <c r="N37" s="281">
        <v>2</v>
      </c>
      <c r="O37" s="281">
        <v>1</v>
      </c>
      <c r="P37" s="281">
        <v>3</v>
      </c>
      <c r="Q37" s="281">
        <v>3</v>
      </c>
      <c r="R37" s="186">
        <v>0</v>
      </c>
      <c r="S37" s="262">
        <v>5</v>
      </c>
      <c r="T37" s="262">
        <v>5</v>
      </c>
      <c r="U37" s="262">
        <v>5</v>
      </c>
      <c r="V37" s="262">
        <v>3</v>
      </c>
      <c r="W37" s="262">
        <v>5</v>
      </c>
      <c r="X37" s="184" t="s">
        <v>312</v>
      </c>
      <c r="Y37" s="262">
        <v>5</v>
      </c>
      <c r="Z37" s="184" t="s">
        <v>312</v>
      </c>
      <c r="AA37" s="262">
        <v>3</v>
      </c>
      <c r="AB37" s="262" t="s">
        <v>589</v>
      </c>
      <c r="AC37" s="262">
        <v>5</v>
      </c>
      <c r="AD37" s="262" t="s">
        <v>590</v>
      </c>
      <c r="AE37" s="262">
        <v>3</v>
      </c>
      <c r="AF37" s="184" t="s">
        <v>312</v>
      </c>
      <c r="AG37" s="262">
        <v>2</v>
      </c>
      <c r="AH37" s="262">
        <v>5</v>
      </c>
      <c r="AI37" s="262">
        <v>0</v>
      </c>
      <c r="AJ37" s="262">
        <v>4</v>
      </c>
      <c r="AK37" s="184" t="s">
        <v>312</v>
      </c>
      <c r="AL37" s="262">
        <v>4</v>
      </c>
      <c r="AM37" s="184" t="s">
        <v>312</v>
      </c>
      <c r="AN37" s="262">
        <v>2</v>
      </c>
      <c r="AO37" s="184" t="s">
        <v>312</v>
      </c>
      <c r="AP37" s="262">
        <v>5</v>
      </c>
      <c r="AQ37" s="262">
        <v>5</v>
      </c>
      <c r="AR37" s="262">
        <v>3</v>
      </c>
      <c r="AS37" s="184" t="s">
        <v>312</v>
      </c>
      <c r="AT37" s="262">
        <v>3</v>
      </c>
      <c r="AU37" s="262" t="s">
        <v>311</v>
      </c>
      <c r="AV37" s="262">
        <v>1</v>
      </c>
      <c r="AW37" s="262">
        <v>3</v>
      </c>
      <c r="AX37" s="184" t="s">
        <v>312</v>
      </c>
      <c r="AY37" s="262">
        <v>5</v>
      </c>
      <c r="AZ37" s="262">
        <v>3</v>
      </c>
      <c r="BA37" s="262">
        <v>3</v>
      </c>
      <c r="BB37" s="262">
        <v>5</v>
      </c>
      <c r="BC37" s="184" t="s">
        <v>312</v>
      </c>
      <c r="BD37" s="262">
        <v>3</v>
      </c>
      <c r="BE37" s="262">
        <v>3</v>
      </c>
      <c r="BF37" s="262" t="s">
        <v>542</v>
      </c>
      <c r="BG37" s="262" t="s">
        <v>27</v>
      </c>
      <c r="BH37" s="262" t="s">
        <v>547</v>
      </c>
      <c r="BI37" s="262" t="s">
        <v>560</v>
      </c>
      <c r="BJ37" s="262">
        <v>3</v>
      </c>
      <c r="BK37" s="184" t="s">
        <v>312</v>
      </c>
      <c r="BL37" s="262">
        <v>3</v>
      </c>
      <c r="BM37" s="262">
        <v>3</v>
      </c>
      <c r="BN37" s="262">
        <v>4</v>
      </c>
      <c r="BO37" s="262">
        <v>4</v>
      </c>
      <c r="BP37" s="184" t="s">
        <v>312</v>
      </c>
      <c r="BQ37" s="262">
        <v>4</v>
      </c>
      <c r="BR37" s="262">
        <v>0</v>
      </c>
      <c r="BS37" s="262" t="s">
        <v>561</v>
      </c>
    </row>
    <row r="38" spans="2:71" s="16" customFormat="1" ht="35.25" customHeight="1" x14ac:dyDescent="0.25">
      <c r="B38" s="198" t="s">
        <v>50</v>
      </c>
      <c r="C38" s="154" t="s">
        <v>12</v>
      </c>
      <c r="D38" s="172">
        <v>60730174110</v>
      </c>
      <c r="E38" s="172">
        <v>10622</v>
      </c>
      <c r="F38" s="172">
        <v>36</v>
      </c>
      <c r="G38" s="172">
        <v>6</v>
      </c>
      <c r="H38" s="172">
        <v>8.43</v>
      </c>
      <c r="I38" s="281">
        <v>1</v>
      </c>
      <c r="J38" s="281">
        <v>3</v>
      </c>
      <c r="K38" s="281">
        <v>2.5</v>
      </c>
      <c r="L38" s="281">
        <v>3</v>
      </c>
      <c r="M38" s="281">
        <v>3</v>
      </c>
      <c r="N38" s="281">
        <v>2</v>
      </c>
      <c r="O38" s="281">
        <v>1</v>
      </c>
      <c r="P38" s="281">
        <v>2</v>
      </c>
      <c r="Q38" s="281">
        <v>3</v>
      </c>
      <c r="R38" s="184">
        <v>0</v>
      </c>
      <c r="S38" s="262">
        <v>5</v>
      </c>
      <c r="T38" s="262">
        <v>5</v>
      </c>
      <c r="U38" s="262">
        <v>5</v>
      </c>
      <c r="V38" s="262">
        <v>3</v>
      </c>
      <c r="W38" s="262">
        <v>5</v>
      </c>
      <c r="X38" s="184" t="s">
        <v>312</v>
      </c>
      <c r="Y38" s="262">
        <v>5</v>
      </c>
      <c r="Z38" s="184" t="s">
        <v>312</v>
      </c>
      <c r="AA38" s="262">
        <v>1</v>
      </c>
      <c r="AB38" s="262" t="s">
        <v>591</v>
      </c>
      <c r="AC38" s="262">
        <v>1</v>
      </c>
      <c r="AD38" s="262" t="s">
        <v>590</v>
      </c>
      <c r="AE38" s="262">
        <v>3</v>
      </c>
      <c r="AF38" s="184" t="s">
        <v>312</v>
      </c>
      <c r="AG38" s="262">
        <v>4</v>
      </c>
      <c r="AH38" s="262">
        <v>5</v>
      </c>
      <c r="AI38" s="262">
        <v>0</v>
      </c>
      <c r="AJ38" s="262">
        <v>5</v>
      </c>
      <c r="AK38" s="184" t="s">
        <v>312</v>
      </c>
      <c r="AL38" s="262">
        <v>4</v>
      </c>
      <c r="AM38" s="184" t="s">
        <v>312</v>
      </c>
      <c r="AN38" s="262">
        <v>2</v>
      </c>
      <c r="AO38" s="184" t="s">
        <v>312</v>
      </c>
      <c r="AP38" s="262">
        <v>5</v>
      </c>
      <c r="AQ38" s="262">
        <v>5</v>
      </c>
      <c r="AR38" s="262">
        <v>5</v>
      </c>
      <c r="AS38" s="184" t="s">
        <v>312</v>
      </c>
      <c r="AT38" s="262">
        <v>3</v>
      </c>
      <c r="AU38" s="262" t="s">
        <v>311</v>
      </c>
      <c r="AV38" s="262">
        <v>1</v>
      </c>
      <c r="AW38" s="262">
        <v>3</v>
      </c>
      <c r="AX38" s="184" t="s">
        <v>312</v>
      </c>
      <c r="AY38" s="262">
        <v>5</v>
      </c>
      <c r="AZ38" s="262">
        <v>5</v>
      </c>
      <c r="BA38" s="262">
        <v>3</v>
      </c>
      <c r="BB38" s="262">
        <v>5</v>
      </c>
      <c r="BC38" s="184" t="s">
        <v>312</v>
      </c>
      <c r="BD38" s="262">
        <v>3</v>
      </c>
      <c r="BE38" s="262">
        <v>3</v>
      </c>
      <c r="BF38" s="262" t="s">
        <v>542</v>
      </c>
      <c r="BG38" s="262" t="s">
        <v>27</v>
      </c>
      <c r="BH38" s="262" t="s">
        <v>311</v>
      </c>
      <c r="BI38" s="262" t="s">
        <v>560</v>
      </c>
      <c r="BJ38" s="262">
        <v>3</v>
      </c>
      <c r="BK38" s="184" t="s">
        <v>312</v>
      </c>
      <c r="BL38" s="262">
        <v>3</v>
      </c>
      <c r="BM38" s="262">
        <v>3</v>
      </c>
      <c r="BN38" s="262">
        <v>4</v>
      </c>
      <c r="BO38" s="262">
        <v>4</v>
      </c>
      <c r="BP38" s="184" t="s">
        <v>312</v>
      </c>
      <c r="BQ38" s="262">
        <v>4</v>
      </c>
      <c r="BR38" s="262">
        <v>0</v>
      </c>
      <c r="BS38" s="262" t="s">
        <v>561</v>
      </c>
    </row>
    <row r="39" spans="2:71" s="16" customFormat="1" ht="35.25" customHeight="1" x14ac:dyDescent="0.25">
      <c r="B39" s="198" t="s">
        <v>341</v>
      </c>
      <c r="C39" s="154" t="s">
        <v>14</v>
      </c>
      <c r="D39" s="172">
        <v>6073016615</v>
      </c>
      <c r="E39" s="172">
        <v>3059</v>
      </c>
      <c r="F39" s="172">
        <v>43</v>
      </c>
      <c r="G39" s="172">
        <v>30</v>
      </c>
      <c r="H39" s="172">
        <v>18.48</v>
      </c>
      <c r="I39" s="281">
        <v>3</v>
      </c>
      <c r="J39" s="281">
        <v>3</v>
      </c>
      <c r="K39" s="281">
        <v>1.5</v>
      </c>
      <c r="L39" s="281">
        <v>3</v>
      </c>
      <c r="M39" s="281">
        <v>3</v>
      </c>
      <c r="N39" s="281">
        <v>2</v>
      </c>
      <c r="O39" s="281">
        <v>2</v>
      </c>
      <c r="P39" s="281">
        <v>1</v>
      </c>
      <c r="Q39" s="281">
        <v>2</v>
      </c>
      <c r="R39" s="184">
        <v>0</v>
      </c>
      <c r="S39" s="262">
        <v>3</v>
      </c>
      <c r="T39" s="262">
        <v>3</v>
      </c>
      <c r="U39" s="262" t="s">
        <v>311</v>
      </c>
      <c r="V39" s="262">
        <v>3</v>
      </c>
      <c r="W39" s="262">
        <v>3</v>
      </c>
      <c r="X39" s="184" t="s">
        <v>312</v>
      </c>
      <c r="Y39" s="262">
        <v>3</v>
      </c>
      <c r="Z39" s="184" t="s">
        <v>312</v>
      </c>
      <c r="AA39" s="262">
        <v>3</v>
      </c>
      <c r="AB39" s="262" t="s">
        <v>611</v>
      </c>
      <c r="AC39" s="262">
        <v>3</v>
      </c>
      <c r="AD39" s="262" t="s">
        <v>612</v>
      </c>
      <c r="AE39" s="262">
        <v>3</v>
      </c>
      <c r="AF39" s="184" t="s">
        <v>312</v>
      </c>
      <c r="AG39" s="262">
        <v>2</v>
      </c>
      <c r="AH39" s="262">
        <v>5</v>
      </c>
      <c r="AI39" s="262">
        <v>0</v>
      </c>
      <c r="AJ39" s="262">
        <v>4</v>
      </c>
      <c r="AK39" s="184" t="s">
        <v>312</v>
      </c>
      <c r="AL39" s="262">
        <v>3</v>
      </c>
      <c r="AM39" s="184" t="s">
        <v>312</v>
      </c>
      <c r="AN39" s="262">
        <v>2</v>
      </c>
      <c r="AO39" s="184" t="s">
        <v>312</v>
      </c>
      <c r="AP39" s="262">
        <v>5</v>
      </c>
      <c r="AQ39" s="262">
        <v>5</v>
      </c>
      <c r="AR39" s="262">
        <v>5</v>
      </c>
      <c r="AS39" s="184" t="s">
        <v>312</v>
      </c>
      <c r="AT39" s="262">
        <v>5</v>
      </c>
      <c r="AU39" s="262">
        <v>3</v>
      </c>
      <c r="AV39" s="262">
        <v>1</v>
      </c>
      <c r="AW39" s="262">
        <v>3</v>
      </c>
      <c r="AX39" s="184" t="s">
        <v>312</v>
      </c>
      <c r="AY39" s="262">
        <v>3</v>
      </c>
      <c r="AZ39" s="262">
        <v>1</v>
      </c>
      <c r="BA39" s="262">
        <v>3</v>
      </c>
      <c r="BB39" s="262">
        <v>3</v>
      </c>
      <c r="BC39" s="184" t="s">
        <v>312</v>
      </c>
      <c r="BD39" s="262">
        <v>5</v>
      </c>
      <c r="BE39" s="262">
        <v>5</v>
      </c>
      <c r="BF39" s="262" t="s">
        <v>601</v>
      </c>
      <c r="BG39" s="262" t="s">
        <v>27</v>
      </c>
      <c r="BH39" s="262" t="s">
        <v>547</v>
      </c>
      <c r="BI39" s="262" t="s">
        <v>613</v>
      </c>
      <c r="BJ39" s="262">
        <v>5</v>
      </c>
      <c r="BK39" s="184" t="s">
        <v>312</v>
      </c>
      <c r="BL39" s="262">
        <v>5</v>
      </c>
      <c r="BM39" s="262">
        <v>3</v>
      </c>
      <c r="BN39" s="262">
        <v>5</v>
      </c>
      <c r="BO39" s="262">
        <v>3</v>
      </c>
      <c r="BP39" s="184" t="s">
        <v>312</v>
      </c>
      <c r="BQ39" s="262">
        <v>4</v>
      </c>
      <c r="BR39" s="262">
        <v>0.12</v>
      </c>
      <c r="BS39" s="262" t="s">
        <v>614</v>
      </c>
    </row>
    <row r="40" spans="2:71" s="16" customFormat="1" ht="35.25" customHeight="1" x14ac:dyDescent="0.25">
      <c r="B40" s="198" t="s">
        <v>342</v>
      </c>
      <c r="C40" s="154" t="s">
        <v>14</v>
      </c>
      <c r="D40" s="172">
        <v>6073014001</v>
      </c>
      <c r="E40" s="172">
        <v>4630</v>
      </c>
      <c r="F40" s="172">
        <v>31</v>
      </c>
      <c r="G40" s="172">
        <v>58</v>
      </c>
      <c r="H40" s="172">
        <v>24.52</v>
      </c>
      <c r="I40" s="281">
        <v>3</v>
      </c>
      <c r="J40" s="281">
        <v>3</v>
      </c>
      <c r="K40" s="281">
        <v>2.5</v>
      </c>
      <c r="L40" s="281">
        <v>3</v>
      </c>
      <c r="M40" s="281">
        <v>3</v>
      </c>
      <c r="N40" s="281">
        <v>1</v>
      </c>
      <c r="O40" s="281">
        <v>2</v>
      </c>
      <c r="P40" s="281">
        <v>3</v>
      </c>
      <c r="Q40" s="281">
        <v>2</v>
      </c>
      <c r="R40" s="184">
        <v>0</v>
      </c>
      <c r="S40" s="262">
        <v>3</v>
      </c>
      <c r="T40" s="262">
        <v>5</v>
      </c>
      <c r="U40" s="262" t="s">
        <v>311</v>
      </c>
      <c r="V40" s="262">
        <v>3</v>
      </c>
      <c r="W40" s="262" t="s">
        <v>311</v>
      </c>
      <c r="X40" s="184" t="s">
        <v>312</v>
      </c>
      <c r="Y40" s="262">
        <v>3</v>
      </c>
      <c r="Z40" s="184" t="s">
        <v>312</v>
      </c>
      <c r="AA40" s="262">
        <v>3</v>
      </c>
      <c r="AB40" s="262">
        <v>5520000</v>
      </c>
      <c r="AC40" s="262">
        <v>1</v>
      </c>
      <c r="AD40" s="262" t="s">
        <v>608</v>
      </c>
      <c r="AE40" s="262">
        <v>3</v>
      </c>
      <c r="AF40" s="184" t="s">
        <v>312</v>
      </c>
      <c r="AG40" s="262">
        <v>1</v>
      </c>
      <c r="AH40" s="262">
        <v>1</v>
      </c>
      <c r="AI40" s="262">
        <v>0</v>
      </c>
      <c r="AJ40" s="262">
        <v>3</v>
      </c>
      <c r="AK40" s="184" t="s">
        <v>312</v>
      </c>
      <c r="AL40" s="262">
        <v>3</v>
      </c>
      <c r="AM40" s="184" t="s">
        <v>312</v>
      </c>
      <c r="AN40" s="262" t="s">
        <v>311</v>
      </c>
      <c r="AO40" s="184" t="s">
        <v>312</v>
      </c>
      <c r="AP40" s="262">
        <v>5</v>
      </c>
      <c r="AQ40" s="262">
        <v>5</v>
      </c>
      <c r="AR40" s="262">
        <v>5</v>
      </c>
      <c r="AS40" s="184" t="s">
        <v>312</v>
      </c>
      <c r="AT40" s="262">
        <v>5</v>
      </c>
      <c r="AU40" s="262">
        <v>1</v>
      </c>
      <c r="AV40" s="262">
        <v>1</v>
      </c>
      <c r="AW40" s="262">
        <v>5</v>
      </c>
      <c r="AX40" s="184" t="s">
        <v>312</v>
      </c>
      <c r="AY40" s="262">
        <v>3</v>
      </c>
      <c r="AZ40" s="262" t="s">
        <v>311</v>
      </c>
      <c r="BA40" s="262" t="s">
        <v>311</v>
      </c>
      <c r="BB40" s="262">
        <v>3</v>
      </c>
      <c r="BC40" s="184" t="s">
        <v>312</v>
      </c>
      <c r="BD40" s="262">
        <v>3</v>
      </c>
      <c r="BE40" s="262">
        <v>3</v>
      </c>
      <c r="BF40" s="262" t="s">
        <v>542</v>
      </c>
      <c r="BG40" s="262" t="s">
        <v>27</v>
      </c>
      <c r="BH40" s="262" t="s">
        <v>547</v>
      </c>
      <c r="BI40" s="262" t="s">
        <v>615</v>
      </c>
      <c r="BJ40" s="262">
        <v>3</v>
      </c>
      <c r="BK40" s="184" t="s">
        <v>312</v>
      </c>
      <c r="BL40" s="262">
        <v>5</v>
      </c>
      <c r="BM40" s="262">
        <v>3</v>
      </c>
      <c r="BN40" s="262">
        <v>3</v>
      </c>
      <c r="BO40" s="262">
        <v>5</v>
      </c>
      <c r="BP40" s="184" t="s">
        <v>312</v>
      </c>
      <c r="BQ40" s="262">
        <v>2</v>
      </c>
      <c r="BR40" s="262" t="s">
        <v>610</v>
      </c>
      <c r="BS40" s="262" t="s">
        <v>557</v>
      </c>
    </row>
    <row r="41" spans="2:71" s="16" customFormat="1" ht="35.25" customHeight="1" x14ac:dyDescent="0.25">
      <c r="B41" s="198" t="s">
        <v>58</v>
      </c>
      <c r="C41" s="154" t="s">
        <v>14</v>
      </c>
      <c r="D41" s="172">
        <v>6073017702</v>
      </c>
      <c r="E41" s="172">
        <v>2777</v>
      </c>
      <c r="F41" s="172">
        <v>23</v>
      </c>
      <c r="G41" s="172">
        <v>16</v>
      </c>
      <c r="H41" s="172">
        <v>10.73</v>
      </c>
      <c r="I41" s="281">
        <v>3</v>
      </c>
      <c r="J41" s="281">
        <v>3</v>
      </c>
      <c r="K41" s="281">
        <v>2.5</v>
      </c>
      <c r="L41" s="281">
        <v>3</v>
      </c>
      <c r="M41" s="281">
        <v>3</v>
      </c>
      <c r="N41" s="281">
        <v>2</v>
      </c>
      <c r="O41" s="281">
        <v>2</v>
      </c>
      <c r="P41" s="281">
        <v>3</v>
      </c>
      <c r="Q41" s="281">
        <v>2</v>
      </c>
      <c r="R41" s="184">
        <v>0</v>
      </c>
      <c r="S41" s="262">
        <v>5</v>
      </c>
      <c r="T41" s="262">
        <v>4</v>
      </c>
      <c r="U41" s="262">
        <v>5</v>
      </c>
      <c r="V41" s="262">
        <v>4</v>
      </c>
      <c r="W41" s="262">
        <v>4</v>
      </c>
      <c r="X41" s="184" t="s">
        <v>312</v>
      </c>
      <c r="Y41" s="262">
        <v>4</v>
      </c>
      <c r="Z41" s="184" t="s">
        <v>312</v>
      </c>
      <c r="AA41" s="262">
        <v>3</v>
      </c>
      <c r="AB41" s="262">
        <v>1000000</v>
      </c>
      <c r="AC41" s="262">
        <v>3</v>
      </c>
      <c r="AD41" s="262" t="s">
        <v>546</v>
      </c>
      <c r="AE41" s="262">
        <v>3</v>
      </c>
      <c r="AF41" s="184" t="s">
        <v>312</v>
      </c>
      <c r="AG41" s="262">
        <v>3</v>
      </c>
      <c r="AH41" s="262">
        <v>4</v>
      </c>
      <c r="AI41" s="262">
        <v>0</v>
      </c>
      <c r="AJ41" s="262">
        <v>3</v>
      </c>
      <c r="AK41" s="184" t="s">
        <v>312</v>
      </c>
      <c r="AL41" s="262">
        <v>3</v>
      </c>
      <c r="AM41" s="184" t="s">
        <v>312</v>
      </c>
      <c r="AN41" s="262">
        <v>4</v>
      </c>
      <c r="AO41" s="184" t="s">
        <v>312</v>
      </c>
      <c r="AP41" s="262">
        <v>4</v>
      </c>
      <c r="AQ41" s="262">
        <v>5</v>
      </c>
      <c r="AR41" s="262">
        <v>3</v>
      </c>
      <c r="AS41" s="184" t="s">
        <v>312</v>
      </c>
      <c r="AT41" s="262">
        <v>5</v>
      </c>
      <c r="AU41" s="262">
        <v>2</v>
      </c>
      <c r="AV41" s="262">
        <v>3</v>
      </c>
      <c r="AW41" s="262">
        <v>3</v>
      </c>
      <c r="AX41" s="184" t="s">
        <v>312</v>
      </c>
      <c r="AY41" s="262">
        <v>3</v>
      </c>
      <c r="AZ41" s="262">
        <v>1</v>
      </c>
      <c r="BA41" s="262">
        <v>3</v>
      </c>
      <c r="BB41" s="262">
        <v>3</v>
      </c>
      <c r="BC41" s="184" t="s">
        <v>312</v>
      </c>
      <c r="BD41" s="262">
        <v>3</v>
      </c>
      <c r="BE41" s="262">
        <v>3</v>
      </c>
      <c r="BF41" s="262" t="s">
        <v>542</v>
      </c>
      <c r="BG41" s="262" t="s">
        <v>27</v>
      </c>
      <c r="BH41" s="262" t="s">
        <v>538</v>
      </c>
      <c r="BI41" s="262" t="s">
        <v>311</v>
      </c>
      <c r="BJ41" s="262">
        <v>3</v>
      </c>
      <c r="BK41" s="184" t="s">
        <v>312</v>
      </c>
      <c r="BL41" s="262">
        <v>5</v>
      </c>
      <c r="BM41" s="262">
        <v>5</v>
      </c>
      <c r="BN41" s="262">
        <v>3</v>
      </c>
      <c r="BO41" s="262">
        <v>5</v>
      </c>
      <c r="BP41" s="184" t="s">
        <v>312</v>
      </c>
      <c r="BQ41" s="262">
        <v>4</v>
      </c>
      <c r="BR41" s="262">
        <v>2</v>
      </c>
      <c r="BS41" s="262" t="s">
        <v>557</v>
      </c>
    </row>
    <row r="42" spans="2:71" s="16" customFormat="1" ht="35.25" customHeight="1" x14ac:dyDescent="0.25">
      <c r="B42" s="198" t="s">
        <v>296</v>
      </c>
      <c r="C42" s="154" t="s">
        <v>12</v>
      </c>
      <c r="D42" s="172">
        <v>6073019103</v>
      </c>
      <c r="E42" s="172">
        <v>6373</v>
      </c>
      <c r="F42" s="172">
        <v>7</v>
      </c>
      <c r="G42" s="172">
        <v>7</v>
      </c>
      <c r="H42" s="172">
        <v>5.6</v>
      </c>
      <c r="I42" s="281">
        <v>1</v>
      </c>
      <c r="J42" s="281">
        <v>3</v>
      </c>
      <c r="K42" s="281">
        <v>2.5</v>
      </c>
      <c r="L42" s="281">
        <v>3</v>
      </c>
      <c r="M42" s="281">
        <v>3</v>
      </c>
      <c r="N42" s="281">
        <v>2</v>
      </c>
      <c r="O42" s="281">
        <v>2</v>
      </c>
      <c r="P42" s="281">
        <v>3</v>
      </c>
      <c r="Q42" s="281">
        <v>3</v>
      </c>
      <c r="R42" s="184">
        <v>0</v>
      </c>
      <c r="S42" s="262" t="s">
        <v>373</v>
      </c>
      <c r="T42" s="262" t="s">
        <v>373</v>
      </c>
      <c r="U42" s="262" t="s">
        <v>373</v>
      </c>
      <c r="V42" s="262" t="s">
        <v>373</v>
      </c>
      <c r="W42" s="262" t="s">
        <v>373</v>
      </c>
      <c r="X42" s="184" t="s">
        <v>312</v>
      </c>
      <c r="Y42" s="262" t="s">
        <v>373</v>
      </c>
      <c r="Z42" s="184" t="s">
        <v>312</v>
      </c>
      <c r="AA42" s="262" t="s">
        <v>373</v>
      </c>
      <c r="AB42" s="262" t="s">
        <v>373</v>
      </c>
      <c r="AC42" s="262" t="s">
        <v>373</v>
      </c>
      <c r="AD42" s="262" t="s">
        <v>373</v>
      </c>
      <c r="AE42" s="262" t="s">
        <v>373</v>
      </c>
      <c r="AF42" s="184" t="s">
        <v>312</v>
      </c>
      <c r="AG42" s="262" t="s">
        <v>373</v>
      </c>
      <c r="AH42" s="262" t="s">
        <v>373</v>
      </c>
      <c r="AI42" s="262" t="s">
        <v>373</v>
      </c>
      <c r="AJ42" s="262" t="s">
        <v>373</v>
      </c>
      <c r="AK42" s="184" t="s">
        <v>312</v>
      </c>
      <c r="AL42" s="262" t="s">
        <v>373</v>
      </c>
      <c r="AM42" s="184" t="s">
        <v>312</v>
      </c>
      <c r="AN42" s="262" t="s">
        <v>373</v>
      </c>
      <c r="AO42" s="184" t="s">
        <v>312</v>
      </c>
      <c r="AP42" s="262" t="s">
        <v>373</v>
      </c>
      <c r="AQ42" s="262" t="s">
        <v>373</v>
      </c>
      <c r="AR42" s="262" t="s">
        <v>373</v>
      </c>
      <c r="AS42" s="184" t="s">
        <v>312</v>
      </c>
      <c r="AT42" s="262" t="s">
        <v>373</v>
      </c>
      <c r="AU42" s="262" t="s">
        <v>373</v>
      </c>
      <c r="AV42" s="262" t="s">
        <v>373</v>
      </c>
      <c r="AW42" s="262" t="s">
        <v>373</v>
      </c>
      <c r="AX42" s="184" t="s">
        <v>312</v>
      </c>
      <c r="AY42" s="262" t="s">
        <v>373</v>
      </c>
      <c r="AZ42" s="262" t="s">
        <v>373</v>
      </c>
      <c r="BA42" s="262" t="s">
        <v>373</v>
      </c>
      <c r="BB42" s="262" t="s">
        <v>373</v>
      </c>
      <c r="BC42" s="184" t="s">
        <v>312</v>
      </c>
      <c r="BD42" s="262" t="s">
        <v>373</v>
      </c>
      <c r="BE42" s="262" t="s">
        <v>373</v>
      </c>
      <c r="BF42" s="262" t="s">
        <v>373</v>
      </c>
      <c r="BG42" s="262" t="s">
        <v>373</v>
      </c>
      <c r="BH42" s="262" t="s">
        <v>373</v>
      </c>
      <c r="BI42" s="262" t="s">
        <v>373</v>
      </c>
      <c r="BJ42" s="262" t="s">
        <v>373</v>
      </c>
      <c r="BK42" s="184" t="s">
        <v>312</v>
      </c>
      <c r="BL42" s="262" t="s">
        <v>373</v>
      </c>
      <c r="BM42" s="262" t="s">
        <v>373</v>
      </c>
      <c r="BN42" s="262" t="s">
        <v>373</v>
      </c>
      <c r="BO42" s="262" t="s">
        <v>373</v>
      </c>
      <c r="BP42" s="184" t="s">
        <v>312</v>
      </c>
      <c r="BQ42" s="262" t="s">
        <v>373</v>
      </c>
      <c r="BR42" s="262" t="s">
        <v>373</v>
      </c>
      <c r="BS42" s="262" t="s">
        <v>373</v>
      </c>
    </row>
    <row r="43" spans="2:71" s="16" customFormat="1" ht="35.25" customHeight="1" x14ac:dyDescent="0.25">
      <c r="B43" s="198" t="s">
        <v>343</v>
      </c>
      <c r="C43" s="154" t="s">
        <v>14</v>
      </c>
      <c r="D43" s="172">
        <v>6073014001</v>
      </c>
      <c r="E43" s="172">
        <v>4630</v>
      </c>
      <c r="F43" s="172">
        <v>31</v>
      </c>
      <c r="G43" s="172">
        <v>58</v>
      </c>
      <c r="H43" s="172">
        <v>24.52</v>
      </c>
      <c r="I43" s="281">
        <v>3</v>
      </c>
      <c r="J43" s="281">
        <v>3</v>
      </c>
      <c r="K43" s="281">
        <v>2.5</v>
      </c>
      <c r="L43" s="281">
        <v>3</v>
      </c>
      <c r="M43" s="281">
        <v>3</v>
      </c>
      <c r="N43" s="281">
        <v>1</v>
      </c>
      <c r="O43" s="281">
        <v>2</v>
      </c>
      <c r="P43" s="281">
        <v>3</v>
      </c>
      <c r="Q43" s="281">
        <v>2</v>
      </c>
      <c r="R43" s="184">
        <v>0</v>
      </c>
      <c r="S43" s="262">
        <v>3</v>
      </c>
      <c r="T43" s="262">
        <v>5</v>
      </c>
      <c r="U43" s="262" t="s">
        <v>311</v>
      </c>
      <c r="V43" s="262">
        <v>3</v>
      </c>
      <c r="W43" s="262" t="s">
        <v>311</v>
      </c>
      <c r="X43" s="184" t="s">
        <v>312</v>
      </c>
      <c r="Y43" s="262" t="s">
        <v>311</v>
      </c>
      <c r="Z43" s="184" t="s">
        <v>312</v>
      </c>
      <c r="AA43" s="262">
        <v>3</v>
      </c>
      <c r="AB43" s="262">
        <v>1886000</v>
      </c>
      <c r="AC43" s="262">
        <v>1</v>
      </c>
      <c r="AD43" s="262" t="s">
        <v>608</v>
      </c>
      <c r="AE43" s="262">
        <v>3</v>
      </c>
      <c r="AF43" s="184" t="s">
        <v>312</v>
      </c>
      <c r="AG43" s="262">
        <v>1</v>
      </c>
      <c r="AH43" s="262">
        <v>1</v>
      </c>
      <c r="AI43" s="262">
        <v>0</v>
      </c>
      <c r="AJ43" s="262">
        <v>3</v>
      </c>
      <c r="AK43" s="184" t="s">
        <v>312</v>
      </c>
      <c r="AL43" s="262">
        <v>3</v>
      </c>
      <c r="AM43" s="184" t="s">
        <v>312</v>
      </c>
      <c r="AN43" s="262" t="s">
        <v>311</v>
      </c>
      <c r="AO43" s="184" t="s">
        <v>312</v>
      </c>
      <c r="AP43" s="262">
        <v>5</v>
      </c>
      <c r="AQ43" s="262">
        <v>5</v>
      </c>
      <c r="AR43" s="262">
        <v>5</v>
      </c>
      <c r="AS43" s="184" t="s">
        <v>312</v>
      </c>
      <c r="AT43" s="262">
        <v>5</v>
      </c>
      <c r="AU43" s="262">
        <v>1</v>
      </c>
      <c r="AV43" s="262">
        <v>1</v>
      </c>
      <c r="AW43" s="262">
        <v>5</v>
      </c>
      <c r="AX43" s="184" t="s">
        <v>312</v>
      </c>
      <c r="AY43" s="262">
        <v>3</v>
      </c>
      <c r="AZ43" s="262" t="s">
        <v>311</v>
      </c>
      <c r="BA43" s="262" t="s">
        <v>311</v>
      </c>
      <c r="BB43" s="262">
        <v>3</v>
      </c>
      <c r="BC43" s="184" t="s">
        <v>312</v>
      </c>
      <c r="BD43" s="262">
        <v>3</v>
      </c>
      <c r="BE43" s="262">
        <v>3</v>
      </c>
      <c r="BF43" s="262" t="s">
        <v>542</v>
      </c>
      <c r="BG43" s="262" t="s">
        <v>27</v>
      </c>
      <c r="BH43" s="262" t="s">
        <v>547</v>
      </c>
      <c r="BI43" s="262" t="s">
        <v>616</v>
      </c>
      <c r="BJ43" s="262">
        <v>3</v>
      </c>
      <c r="BK43" s="184" t="s">
        <v>312</v>
      </c>
      <c r="BL43" s="262">
        <v>5</v>
      </c>
      <c r="BM43" s="262">
        <v>3</v>
      </c>
      <c r="BN43" s="262">
        <v>3</v>
      </c>
      <c r="BO43" s="262">
        <v>5</v>
      </c>
      <c r="BP43" s="184" t="s">
        <v>312</v>
      </c>
      <c r="BQ43" s="262">
        <v>2</v>
      </c>
      <c r="BR43" s="262" t="s">
        <v>610</v>
      </c>
      <c r="BS43" s="262" t="s">
        <v>557</v>
      </c>
    </row>
    <row r="44" spans="2:71" s="16" customFormat="1" ht="35.25" customHeight="1" x14ac:dyDescent="0.25">
      <c r="B44" s="198" t="s">
        <v>344</v>
      </c>
      <c r="C44" s="154" t="s">
        <v>14</v>
      </c>
      <c r="D44" s="172">
        <v>6073010200</v>
      </c>
      <c r="E44" s="172">
        <v>6800</v>
      </c>
      <c r="F44" s="172">
        <v>43</v>
      </c>
      <c r="G44" s="172">
        <v>46</v>
      </c>
      <c r="H44" s="172">
        <v>23.76</v>
      </c>
      <c r="I44" s="281">
        <v>3</v>
      </c>
      <c r="J44" s="281">
        <v>1</v>
      </c>
      <c r="K44" s="281">
        <v>2.5</v>
      </c>
      <c r="L44" s="281">
        <v>3</v>
      </c>
      <c r="M44" s="281">
        <v>3</v>
      </c>
      <c r="N44" s="281">
        <v>2</v>
      </c>
      <c r="O44" s="281">
        <v>1</v>
      </c>
      <c r="P44" s="281">
        <v>3</v>
      </c>
      <c r="Q44" s="281">
        <v>1</v>
      </c>
      <c r="R44" s="184">
        <v>0</v>
      </c>
      <c r="S44" s="262">
        <v>4</v>
      </c>
      <c r="T44" s="262">
        <v>3</v>
      </c>
      <c r="U44" s="262">
        <v>5</v>
      </c>
      <c r="V44" s="262">
        <v>5</v>
      </c>
      <c r="W44" s="262">
        <v>3</v>
      </c>
      <c r="X44" s="184" t="s">
        <v>312</v>
      </c>
      <c r="Y44" s="262">
        <v>4</v>
      </c>
      <c r="Z44" s="184" t="s">
        <v>312</v>
      </c>
      <c r="AA44" s="262">
        <v>3</v>
      </c>
      <c r="AB44" s="262">
        <v>8000000</v>
      </c>
      <c r="AC44" s="262">
        <v>5</v>
      </c>
      <c r="AD44" s="262" t="s">
        <v>541</v>
      </c>
      <c r="AE44" s="262">
        <v>3</v>
      </c>
      <c r="AF44" s="184" t="s">
        <v>312</v>
      </c>
      <c r="AG44" s="262">
        <v>5</v>
      </c>
      <c r="AH44" s="262">
        <v>5</v>
      </c>
      <c r="AI44" s="262">
        <v>0</v>
      </c>
      <c r="AJ44" s="262">
        <v>4</v>
      </c>
      <c r="AK44" s="184" t="s">
        <v>312</v>
      </c>
      <c r="AL44" s="262">
        <v>5</v>
      </c>
      <c r="AM44" s="184" t="s">
        <v>312</v>
      </c>
      <c r="AN44" s="262">
        <v>5</v>
      </c>
      <c r="AO44" s="184" t="s">
        <v>312</v>
      </c>
      <c r="AP44" s="262">
        <v>4</v>
      </c>
      <c r="AQ44" s="262">
        <v>5</v>
      </c>
      <c r="AR44" s="262">
        <v>5</v>
      </c>
      <c r="AS44" s="184" t="s">
        <v>312</v>
      </c>
      <c r="AT44" s="262">
        <v>5</v>
      </c>
      <c r="AU44" s="262">
        <v>1</v>
      </c>
      <c r="AV44" s="262">
        <v>1</v>
      </c>
      <c r="AW44" s="262">
        <v>5</v>
      </c>
      <c r="AX44" s="184" t="s">
        <v>312</v>
      </c>
      <c r="AY44" s="262">
        <v>5</v>
      </c>
      <c r="AZ44" s="262">
        <v>5</v>
      </c>
      <c r="BA44" s="262">
        <v>3</v>
      </c>
      <c r="BB44" s="262">
        <v>3</v>
      </c>
      <c r="BC44" s="184" t="s">
        <v>312</v>
      </c>
      <c r="BD44" s="262">
        <v>5</v>
      </c>
      <c r="BE44" s="262">
        <v>3</v>
      </c>
      <c r="BF44" s="262" t="s">
        <v>542</v>
      </c>
      <c r="BG44" s="262" t="s">
        <v>27</v>
      </c>
      <c r="BH44" s="262" t="s">
        <v>547</v>
      </c>
      <c r="BI44" s="262">
        <v>0</v>
      </c>
      <c r="BJ44" s="262">
        <v>5</v>
      </c>
      <c r="BK44" s="184" t="s">
        <v>312</v>
      </c>
      <c r="BL44" s="262">
        <v>5</v>
      </c>
      <c r="BM44" s="262">
        <v>3</v>
      </c>
      <c r="BN44" s="262">
        <v>5</v>
      </c>
      <c r="BO44" s="262">
        <v>5</v>
      </c>
      <c r="BP44" s="184" t="s">
        <v>312</v>
      </c>
      <c r="BQ44" s="262">
        <v>5</v>
      </c>
      <c r="BR44" s="262">
        <v>0</v>
      </c>
      <c r="BS44" s="262" t="s">
        <v>311</v>
      </c>
    </row>
    <row r="45" spans="2:71" s="16" customFormat="1" ht="35.25" customHeight="1" x14ac:dyDescent="0.25">
      <c r="B45" s="198" t="s">
        <v>297</v>
      </c>
      <c r="C45" s="154" t="s">
        <v>12</v>
      </c>
      <c r="D45" s="172">
        <v>6073019103</v>
      </c>
      <c r="E45" s="172">
        <v>6373</v>
      </c>
      <c r="F45" s="172">
        <v>7</v>
      </c>
      <c r="G45" s="172">
        <v>7</v>
      </c>
      <c r="H45" s="172">
        <v>5.6</v>
      </c>
      <c r="I45" s="281">
        <v>1</v>
      </c>
      <c r="J45" s="281">
        <v>3</v>
      </c>
      <c r="K45" s="281">
        <v>2.5</v>
      </c>
      <c r="L45" s="281">
        <v>3</v>
      </c>
      <c r="M45" s="281">
        <v>3</v>
      </c>
      <c r="N45" s="281">
        <v>2</v>
      </c>
      <c r="O45" s="281">
        <v>2</v>
      </c>
      <c r="P45" s="281">
        <v>3</v>
      </c>
      <c r="Q45" s="281">
        <v>3</v>
      </c>
      <c r="R45" s="184">
        <v>0</v>
      </c>
      <c r="S45" s="262" t="s">
        <v>373</v>
      </c>
      <c r="T45" s="262" t="s">
        <v>373</v>
      </c>
      <c r="U45" s="262" t="s">
        <v>373</v>
      </c>
      <c r="V45" s="262" t="s">
        <v>373</v>
      </c>
      <c r="W45" s="262" t="s">
        <v>373</v>
      </c>
      <c r="X45" s="184" t="s">
        <v>312</v>
      </c>
      <c r="Y45" s="262" t="s">
        <v>373</v>
      </c>
      <c r="Z45" s="184" t="s">
        <v>312</v>
      </c>
      <c r="AA45" s="262" t="s">
        <v>373</v>
      </c>
      <c r="AB45" s="262" t="s">
        <v>373</v>
      </c>
      <c r="AC45" s="262" t="s">
        <v>373</v>
      </c>
      <c r="AD45" s="262" t="s">
        <v>373</v>
      </c>
      <c r="AE45" s="262" t="s">
        <v>373</v>
      </c>
      <c r="AF45" s="184" t="s">
        <v>312</v>
      </c>
      <c r="AG45" s="262" t="s">
        <v>373</v>
      </c>
      <c r="AH45" s="262" t="s">
        <v>373</v>
      </c>
      <c r="AI45" s="262" t="s">
        <v>373</v>
      </c>
      <c r="AJ45" s="262" t="s">
        <v>373</v>
      </c>
      <c r="AK45" s="184" t="s">
        <v>312</v>
      </c>
      <c r="AL45" s="262" t="s">
        <v>373</v>
      </c>
      <c r="AM45" s="184" t="s">
        <v>312</v>
      </c>
      <c r="AN45" s="262" t="s">
        <v>373</v>
      </c>
      <c r="AO45" s="184" t="s">
        <v>312</v>
      </c>
      <c r="AP45" s="262" t="s">
        <v>373</v>
      </c>
      <c r="AQ45" s="262" t="s">
        <v>373</v>
      </c>
      <c r="AR45" s="262" t="s">
        <v>373</v>
      </c>
      <c r="AS45" s="184" t="s">
        <v>312</v>
      </c>
      <c r="AT45" s="262" t="s">
        <v>373</v>
      </c>
      <c r="AU45" s="262" t="s">
        <v>373</v>
      </c>
      <c r="AV45" s="262" t="s">
        <v>373</v>
      </c>
      <c r="AW45" s="262" t="s">
        <v>373</v>
      </c>
      <c r="AX45" s="184" t="s">
        <v>312</v>
      </c>
      <c r="AY45" s="262" t="s">
        <v>373</v>
      </c>
      <c r="AZ45" s="262" t="s">
        <v>373</v>
      </c>
      <c r="BA45" s="262" t="s">
        <v>373</v>
      </c>
      <c r="BB45" s="262" t="s">
        <v>373</v>
      </c>
      <c r="BC45" s="184" t="s">
        <v>312</v>
      </c>
      <c r="BD45" s="262" t="s">
        <v>373</v>
      </c>
      <c r="BE45" s="262" t="s">
        <v>373</v>
      </c>
      <c r="BF45" s="262" t="s">
        <v>373</v>
      </c>
      <c r="BG45" s="262" t="s">
        <v>373</v>
      </c>
      <c r="BH45" s="262" t="s">
        <v>373</v>
      </c>
      <c r="BI45" s="262" t="s">
        <v>373</v>
      </c>
      <c r="BJ45" s="262" t="s">
        <v>373</v>
      </c>
      <c r="BK45" s="184" t="s">
        <v>312</v>
      </c>
      <c r="BL45" s="262" t="s">
        <v>373</v>
      </c>
      <c r="BM45" s="262" t="s">
        <v>373</v>
      </c>
      <c r="BN45" s="262" t="s">
        <v>373</v>
      </c>
      <c r="BO45" s="262" t="s">
        <v>373</v>
      </c>
      <c r="BP45" s="184" t="s">
        <v>312</v>
      </c>
      <c r="BQ45" s="262" t="s">
        <v>373</v>
      </c>
      <c r="BR45" s="262" t="s">
        <v>373</v>
      </c>
      <c r="BS45" s="262" t="s">
        <v>373</v>
      </c>
    </row>
    <row r="46" spans="2:71" s="16" customFormat="1" ht="35.25" customHeight="1" x14ac:dyDescent="0.25">
      <c r="B46" s="198" t="s">
        <v>345</v>
      </c>
      <c r="C46" s="154" t="s">
        <v>14</v>
      </c>
      <c r="D46" s="172">
        <v>6073014200</v>
      </c>
      <c r="E46" s="172">
        <v>6277</v>
      </c>
      <c r="F46" s="172">
        <v>26</v>
      </c>
      <c r="G46" s="172">
        <v>60</v>
      </c>
      <c r="H46" s="172">
        <v>23.65</v>
      </c>
      <c r="I46" s="281">
        <v>3</v>
      </c>
      <c r="J46" s="281">
        <v>3</v>
      </c>
      <c r="K46" s="281">
        <v>2.5</v>
      </c>
      <c r="L46" s="281">
        <v>3</v>
      </c>
      <c r="M46" s="281">
        <v>3</v>
      </c>
      <c r="N46" s="281">
        <v>1</v>
      </c>
      <c r="O46" s="281">
        <v>2</v>
      </c>
      <c r="P46" s="281">
        <v>3</v>
      </c>
      <c r="Q46" s="281">
        <v>2</v>
      </c>
      <c r="R46" s="184">
        <v>0</v>
      </c>
      <c r="S46" s="262">
        <v>3</v>
      </c>
      <c r="T46" s="262">
        <v>5</v>
      </c>
      <c r="U46" s="262" t="s">
        <v>311</v>
      </c>
      <c r="V46" s="262">
        <v>3</v>
      </c>
      <c r="W46" s="262" t="s">
        <v>311</v>
      </c>
      <c r="X46" s="184" t="s">
        <v>312</v>
      </c>
      <c r="Y46" s="262" t="s">
        <v>311</v>
      </c>
      <c r="Z46" s="184" t="s">
        <v>312</v>
      </c>
      <c r="AA46" s="262">
        <v>3</v>
      </c>
      <c r="AB46" s="262">
        <v>1889000</v>
      </c>
      <c r="AC46" s="262">
        <v>1</v>
      </c>
      <c r="AD46" s="262" t="s">
        <v>608</v>
      </c>
      <c r="AE46" s="262">
        <v>3</v>
      </c>
      <c r="AF46" s="184" t="s">
        <v>312</v>
      </c>
      <c r="AG46" s="262">
        <v>1</v>
      </c>
      <c r="AH46" s="262">
        <v>1</v>
      </c>
      <c r="AI46" s="262">
        <v>0</v>
      </c>
      <c r="AJ46" s="262">
        <v>3</v>
      </c>
      <c r="AK46" s="184" t="s">
        <v>312</v>
      </c>
      <c r="AL46" s="262">
        <v>3</v>
      </c>
      <c r="AM46" s="184" t="s">
        <v>312</v>
      </c>
      <c r="AN46" s="262" t="s">
        <v>311</v>
      </c>
      <c r="AO46" s="184" t="s">
        <v>312</v>
      </c>
      <c r="AP46" s="262">
        <v>5</v>
      </c>
      <c r="AQ46" s="262">
        <v>5</v>
      </c>
      <c r="AR46" s="262">
        <v>5</v>
      </c>
      <c r="AS46" s="184" t="s">
        <v>312</v>
      </c>
      <c r="AT46" s="262">
        <v>5</v>
      </c>
      <c r="AU46" s="262">
        <v>1</v>
      </c>
      <c r="AV46" s="262">
        <v>1</v>
      </c>
      <c r="AW46" s="262">
        <v>5</v>
      </c>
      <c r="AX46" s="184" t="s">
        <v>312</v>
      </c>
      <c r="AY46" s="262">
        <v>3</v>
      </c>
      <c r="AZ46" s="262" t="s">
        <v>311</v>
      </c>
      <c r="BA46" s="262" t="s">
        <v>311</v>
      </c>
      <c r="BB46" s="262">
        <v>3</v>
      </c>
      <c r="BC46" s="184" t="s">
        <v>312</v>
      </c>
      <c r="BD46" s="262">
        <v>3</v>
      </c>
      <c r="BE46" s="262">
        <v>3</v>
      </c>
      <c r="BF46" s="262" t="s">
        <v>542</v>
      </c>
      <c r="BG46" s="262" t="s">
        <v>27</v>
      </c>
      <c r="BH46" s="262" t="s">
        <v>547</v>
      </c>
      <c r="BI46" s="262" t="s">
        <v>617</v>
      </c>
      <c r="BJ46" s="262">
        <v>3</v>
      </c>
      <c r="BK46" s="184" t="s">
        <v>312</v>
      </c>
      <c r="BL46" s="262">
        <v>5</v>
      </c>
      <c r="BM46" s="262">
        <v>3</v>
      </c>
      <c r="BN46" s="262">
        <v>3</v>
      </c>
      <c r="BO46" s="262">
        <v>5</v>
      </c>
      <c r="BP46" s="184" t="s">
        <v>312</v>
      </c>
      <c r="BQ46" s="262">
        <v>2</v>
      </c>
      <c r="BR46" s="262" t="s">
        <v>610</v>
      </c>
      <c r="BS46" s="262" t="s">
        <v>557</v>
      </c>
    </row>
    <row r="47" spans="2:71" s="16" customFormat="1" ht="35.25" customHeight="1" x14ac:dyDescent="0.25">
      <c r="B47" s="198" t="s">
        <v>346</v>
      </c>
      <c r="C47" s="154" t="s">
        <v>14</v>
      </c>
      <c r="D47" s="172">
        <v>6073014200</v>
      </c>
      <c r="E47" s="172">
        <v>6277</v>
      </c>
      <c r="F47" s="172">
        <v>26</v>
      </c>
      <c r="G47" s="172">
        <v>60</v>
      </c>
      <c r="H47" s="172">
        <v>23.65</v>
      </c>
      <c r="I47" s="281">
        <v>3</v>
      </c>
      <c r="J47" s="281">
        <v>3</v>
      </c>
      <c r="K47" s="281">
        <v>2.5</v>
      </c>
      <c r="L47" s="281">
        <v>3</v>
      </c>
      <c r="M47" s="281">
        <v>3</v>
      </c>
      <c r="N47" s="281">
        <v>1</v>
      </c>
      <c r="O47" s="281">
        <v>2</v>
      </c>
      <c r="P47" s="281">
        <v>3</v>
      </c>
      <c r="Q47" s="281">
        <v>2</v>
      </c>
      <c r="R47" s="184">
        <v>0</v>
      </c>
      <c r="S47" s="262">
        <v>3</v>
      </c>
      <c r="T47" s="262">
        <v>5</v>
      </c>
      <c r="U47" s="262" t="s">
        <v>311</v>
      </c>
      <c r="V47" s="262">
        <v>3</v>
      </c>
      <c r="W47" s="262" t="s">
        <v>311</v>
      </c>
      <c r="X47" s="184" t="s">
        <v>312</v>
      </c>
      <c r="Y47" s="262" t="s">
        <v>311</v>
      </c>
      <c r="Z47" s="184" t="s">
        <v>312</v>
      </c>
      <c r="AA47" s="262">
        <v>1</v>
      </c>
      <c r="AB47" s="262">
        <v>5700000</v>
      </c>
      <c r="AC47" s="262">
        <v>1</v>
      </c>
      <c r="AD47" s="262" t="s">
        <v>618</v>
      </c>
      <c r="AE47" s="262">
        <v>3</v>
      </c>
      <c r="AF47" s="184" t="s">
        <v>312</v>
      </c>
      <c r="AG47" s="262">
        <v>1</v>
      </c>
      <c r="AH47" s="262">
        <v>1</v>
      </c>
      <c r="AI47" s="262">
        <v>0</v>
      </c>
      <c r="AJ47" s="262">
        <v>3</v>
      </c>
      <c r="AK47" s="184" t="s">
        <v>312</v>
      </c>
      <c r="AL47" s="262">
        <v>3</v>
      </c>
      <c r="AM47" s="184" t="s">
        <v>312</v>
      </c>
      <c r="AN47" s="262" t="s">
        <v>311</v>
      </c>
      <c r="AO47" s="184" t="s">
        <v>312</v>
      </c>
      <c r="AP47" s="262">
        <v>5</v>
      </c>
      <c r="AQ47" s="262">
        <v>5</v>
      </c>
      <c r="AR47" s="262">
        <v>5</v>
      </c>
      <c r="AS47" s="184" t="s">
        <v>312</v>
      </c>
      <c r="AT47" s="262">
        <v>5</v>
      </c>
      <c r="AU47" s="262">
        <v>1</v>
      </c>
      <c r="AV47" s="262">
        <v>1</v>
      </c>
      <c r="AW47" s="262">
        <v>5</v>
      </c>
      <c r="AX47" s="184" t="s">
        <v>312</v>
      </c>
      <c r="AY47" s="262">
        <v>3</v>
      </c>
      <c r="AZ47" s="262" t="s">
        <v>311</v>
      </c>
      <c r="BA47" s="262" t="s">
        <v>311</v>
      </c>
      <c r="BB47" s="262">
        <v>3</v>
      </c>
      <c r="BC47" s="184" t="s">
        <v>312</v>
      </c>
      <c r="BD47" s="262">
        <v>3</v>
      </c>
      <c r="BE47" s="262">
        <v>3</v>
      </c>
      <c r="BF47" s="262" t="s">
        <v>542</v>
      </c>
      <c r="BG47" s="262" t="s">
        <v>27</v>
      </c>
      <c r="BH47" s="262" t="s">
        <v>547</v>
      </c>
      <c r="BI47" s="262" t="s">
        <v>619</v>
      </c>
      <c r="BJ47" s="262">
        <v>3</v>
      </c>
      <c r="BK47" s="184" t="s">
        <v>312</v>
      </c>
      <c r="BL47" s="262">
        <v>5</v>
      </c>
      <c r="BM47" s="262">
        <v>3</v>
      </c>
      <c r="BN47" s="262">
        <v>3</v>
      </c>
      <c r="BO47" s="262">
        <v>5</v>
      </c>
      <c r="BP47" s="184" t="s">
        <v>312</v>
      </c>
      <c r="BQ47" s="262">
        <v>2</v>
      </c>
      <c r="BR47" s="262" t="s">
        <v>610</v>
      </c>
      <c r="BS47" s="262" t="s">
        <v>557</v>
      </c>
    </row>
    <row r="48" spans="2:71" s="16" customFormat="1" ht="35.25" customHeight="1" x14ac:dyDescent="0.25">
      <c r="B48" s="198" t="s">
        <v>347</v>
      </c>
      <c r="C48" s="154" t="s">
        <v>14</v>
      </c>
      <c r="D48" s="172">
        <v>6073016804</v>
      </c>
      <c r="E48" s="172">
        <v>7292</v>
      </c>
      <c r="F48" s="172">
        <v>33</v>
      </c>
      <c r="G48" s="172">
        <v>61</v>
      </c>
      <c r="H48" s="172">
        <v>25.65</v>
      </c>
      <c r="I48" s="281">
        <v>3</v>
      </c>
      <c r="J48" s="281">
        <v>1</v>
      </c>
      <c r="K48" s="281">
        <v>2.5</v>
      </c>
      <c r="L48" s="281">
        <v>3</v>
      </c>
      <c r="M48" s="281">
        <v>2</v>
      </c>
      <c r="N48" s="281">
        <v>2</v>
      </c>
      <c r="O48" s="281">
        <v>2</v>
      </c>
      <c r="P48" s="281">
        <v>3</v>
      </c>
      <c r="Q48" s="281">
        <v>1</v>
      </c>
      <c r="R48" s="184">
        <v>0</v>
      </c>
      <c r="S48" s="262">
        <v>2</v>
      </c>
      <c r="T48" s="262">
        <v>2</v>
      </c>
      <c r="U48" s="262" t="s">
        <v>311</v>
      </c>
      <c r="V48" s="262">
        <v>3</v>
      </c>
      <c r="W48" s="262">
        <v>3</v>
      </c>
      <c r="X48" s="184" t="s">
        <v>312</v>
      </c>
      <c r="Y48" s="262">
        <v>3</v>
      </c>
      <c r="Z48" s="184" t="s">
        <v>312</v>
      </c>
      <c r="AA48" s="262">
        <v>1</v>
      </c>
      <c r="AB48" s="262" t="s">
        <v>311</v>
      </c>
      <c r="AC48" s="262">
        <v>3</v>
      </c>
      <c r="AD48" s="262" t="s">
        <v>311</v>
      </c>
      <c r="AE48" s="262">
        <v>1</v>
      </c>
      <c r="AF48" s="184" t="s">
        <v>312</v>
      </c>
      <c r="AG48" s="262">
        <v>2</v>
      </c>
      <c r="AH48" s="262">
        <v>4</v>
      </c>
      <c r="AI48" s="262">
        <v>0</v>
      </c>
      <c r="AJ48" s="262">
        <v>2</v>
      </c>
      <c r="AK48" s="184" t="s">
        <v>312</v>
      </c>
      <c r="AL48" s="262">
        <v>3</v>
      </c>
      <c r="AM48" s="184" t="s">
        <v>312</v>
      </c>
      <c r="AN48" s="262">
        <v>5</v>
      </c>
      <c r="AO48" s="184" t="s">
        <v>312</v>
      </c>
      <c r="AP48" s="262">
        <v>4</v>
      </c>
      <c r="AQ48" s="262">
        <v>4</v>
      </c>
      <c r="AR48" s="262">
        <v>2</v>
      </c>
      <c r="AS48" s="184" t="s">
        <v>312</v>
      </c>
      <c r="AT48" s="262">
        <v>1</v>
      </c>
      <c r="AU48" s="262">
        <v>1</v>
      </c>
      <c r="AV48" s="262">
        <v>1</v>
      </c>
      <c r="AW48" s="262" t="s">
        <v>311</v>
      </c>
      <c r="AX48" s="184" t="s">
        <v>312</v>
      </c>
      <c r="AY48" s="262">
        <v>3</v>
      </c>
      <c r="AZ48" s="262" t="s">
        <v>311</v>
      </c>
      <c r="BA48" s="262">
        <v>3</v>
      </c>
      <c r="BB48" s="262">
        <v>3</v>
      </c>
      <c r="BC48" s="184" t="s">
        <v>312</v>
      </c>
      <c r="BD48" s="262">
        <v>3</v>
      </c>
      <c r="BE48" s="262">
        <v>3</v>
      </c>
      <c r="BF48" s="262" t="s">
        <v>542</v>
      </c>
      <c r="BG48" s="262" t="s">
        <v>27</v>
      </c>
      <c r="BH48" s="262" t="s">
        <v>538</v>
      </c>
      <c r="BI48" s="262" t="s">
        <v>620</v>
      </c>
      <c r="BJ48" s="262">
        <v>3</v>
      </c>
      <c r="BK48" s="184" t="s">
        <v>312</v>
      </c>
      <c r="BL48" s="262">
        <v>5</v>
      </c>
      <c r="BM48" s="262">
        <v>3</v>
      </c>
      <c r="BN48" s="262">
        <v>4</v>
      </c>
      <c r="BO48" s="262">
        <v>3</v>
      </c>
      <c r="BP48" s="184" t="s">
        <v>312</v>
      </c>
      <c r="BQ48" s="262">
        <v>3</v>
      </c>
      <c r="BR48" s="262" t="s">
        <v>311</v>
      </c>
      <c r="BS48" s="262" t="s">
        <v>621</v>
      </c>
    </row>
    <row r="49" spans="2:71" s="16" customFormat="1" ht="35.25" customHeight="1" x14ac:dyDescent="0.25">
      <c r="B49" s="198" t="s">
        <v>309</v>
      </c>
      <c r="C49" s="154" t="s">
        <v>17</v>
      </c>
      <c r="D49" s="172">
        <v>6073014200</v>
      </c>
      <c r="E49" s="172">
        <v>6277</v>
      </c>
      <c r="F49" s="172">
        <v>26</v>
      </c>
      <c r="G49" s="172">
        <v>60</v>
      </c>
      <c r="H49" s="172">
        <v>23.65</v>
      </c>
      <c r="I49" s="281">
        <v>3</v>
      </c>
      <c r="J49" s="281">
        <v>3</v>
      </c>
      <c r="K49" s="281">
        <v>2.5</v>
      </c>
      <c r="L49" s="281">
        <v>3</v>
      </c>
      <c r="M49" s="281">
        <v>3</v>
      </c>
      <c r="N49" s="281">
        <v>1</v>
      </c>
      <c r="O49" s="281">
        <v>2</v>
      </c>
      <c r="P49" s="281">
        <v>3</v>
      </c>
      <c r="Q49" s="281">
        <v>2</v>
      </c>
      <c r="R49" s="184">
        <v>0</v>
      </c>
      <c r="S49" s="262">
        <v>3</v>
      </c>
      <c r="T49" s="262">
        <v>5</v>
      </c>
      <c r="U49" s="262" t="s">
        <v>311</v>
      </c>
      <c r="V49" s="262">
        <v>3</v>
      </c>
      <c r="W49" s="262" t="s">
        <v>311</v>
      </c>
      <c r="X49" s="184" t="s">
        <v>312</v>
      </c>
      <c r="Y49" s="262" t="s">
        <v>311</v>
      </c>
      <c r="Z49" s="184" t="s">
        <v>312</v>
      </c>
      <c r="AA49" s="262">
        <v>1</v>
      </c>
      <c r="AB49" s="262">
        <v>4700000</v>
      </c>
      <c r="AC49" s="262">
        <v>1</v>
      </c>
      <c r="AD49" s="262" t="s">
        <v>608</v>
      </c>
      <c r="AE49" s="262">
        <v>3</v>
      </c>
      <c r="AF49" s="184" t="s">
        <v>312</v>
      </c>
      <c r="AG49" s="262">
        <v>1</v>
      </c>
      <c r="AH49" s="262">
        <v>1</v>
      </c>
      <c r="AI49" s="262">
        <v>0</v>
      </c>
      <c r="AJ49" s="262">
        <v>3</v>
      </c>
      <c r="AK49" s="184" t="s">
        <v>312</v>
      </c>
      <c r="AL49" s="262">
        <v>3</v>
      </c>
      <c r="AM49" s="184" t="s">
        <v>312</v>
      </c>
      <c r="AN49" s="262" t="s">
        <v>311</v>
      </c>
      <c r="AO49" s="184" t="s">
        <v>312</v>
      </c>
      <c r="AP49" s="262">
        <v>5</v>
      </c>
      <c r="AQ49" s="262">
        <v>5</v>
      </c>
      <c r="AR49" s="262">
        <v>5</v>
      </c>
      <c r="AS49" s="184" t="s">
        <v>312</v>
      </c>
      <c r="AT49" s="262">
        <v>5</v>
      </c>
      <c r="AU49" s="262">
        <v>1</v>
      </c>
      <c r="AV49" s="262">
        <v>1</v>
      </c>
      <c r="AW49" s="262">
        <v>5</v>
      </c>
      <c r="AX49" s="184" t="s">
        <v>312</v>
      </c>
      <c r="AY49" s="262">
        <v>3</v>
      </c>
      <c r="AZ49" s="262" t="s">
        <v>311</v>
      </c>
      <c r="BA49" s="262" t="s">
        <v>311</v>
      </c>
      <c r="BB49" s="262">
        <v>3</v>
      </c>
      <c r="BC49" s="184" t="s">
        <v>312</v>
      </c>
      <c r="BD49" s="262">
        <v>3</v>
      </c>
      <c r="BE49" s="262">
        <v>3</v>
      </c>
      <c r="BF49" s="262" t="s">
        <v>542</v>
      </c>
      <c r="BG49" s="262" t="s">
        <v>27</v>
      </c>
      <c r="BH49" s="262" t="s">
        <v>547</v>
      </c>
      <c r="BI49" s="262" t="s">
        <v>656</v>
      </c>
      <c r="BJ49" s="262">
        <v>3</v>
      </c>
      <c r="BK49" s="184" t="s">
        <v>312</v>
      </c>
      <c r="BL49" s="262">
        <v>5</v>
      </c>
      <c r="BM49" s="262">
        <v>3</v>
      </c>
      <c r="BN49" s="262">
        <v>3</v>
      </c>
      <c r="BO49" s="262">
        <v>5</v>
      </c>
      <c r="BP49" s="184" t="s">
        <v>312</v>
      </c>
      <c r="BQ49" s="262">
        <v>2</v>
      </c>
      <c r="BR49" s="262" t="s">
        <v>610</v>
      </c>
      <c r="BS49" s="262" t="s">
        <v>557</v>
      </c>
    </row>
    <row r="50" spans="2:71" s="16" customFormat="1" ht="35.25" customHeight="1" x14ac:dyDescent="0.25">
      <c r="B50" s="198" t="s">
        <v>298</v>
      </c>
      <c r="C50" s="154" t="s">
        <v>12</v>
      </c>
      <c r="D50" s="172">
        <v>6073020014</v>
      </c>
      <c r="E50" s="172">
        <v>7006</v>
      </c>
      <c r="F50" s="172">
        <v>29</v>
      </c>
      <c r="G50" s="172">
        <v>6</v>
      </c>
      <c r="H50" s="172">
        <v>7.56</v>
      </c>
      <c r="I50" s="281">
        <v>1</v>
      </c>
      <c r="J50" s="281">
        <v>3</v>
      </c>
      <c r="K50" s="281">
        <v>2.5</v>
      </c>
      <c r="L50" s="281">
        <v>3</v>
      </c>
      <c r="M50" s="281">
        <v>3</v>
      </c>
      <c r="N50" s="281">
        <v>2</v>
      </c>
      <c r="O50" s="281">
        <v>2</v>
      </c>
      <c r="P50" s="281">
        <v>3</v>
      </c>
      <c r="Q50" s="281">
        <v>3</v>
      </c>
      <c r="R50" s="184">
        <v>0</v>
      </c>
      <c r="S50" s="262" t="s">
        <v>373</v>
      </c>
      <c r="T50" s="262" t="s">
        <v>373</v>
      </c>
      <c r="U50" s="262" t="s">
        <v>373</v>
      </c>
      <c r="V50" s="262" t="s">
        <v>373</v>
      </c>
      <c r="W50" s="262" t="s">
        <v>373</v>
      </c>
      <c r="X50" s="184" t="s">
        <v>312</v>
      </c>
      <c r="Y50" s="262" t="s">
        <v>373</v>
      </c>
      <c r="Z50" s="184" t="s">
        <v>312</v>
      </c>
      <c r="AA50" s="262" t="s">
        <v>373</v>
      </c>
      <c r="AB50" s="262" t="s">
        <v>373</v>
      </c>
      <c r="AC50" s="262" t="s">
        <v>373</v>
      </c>
      <c r="AD50" s="262" t="s">
        <v>373</v>
      </c>
      <c r="AE50" s="262" t="s">
        <v>373</v>
      </c>
      <c r="AF50" s="184" t="s">
        <v>312</v>
      </c>
      <c r="AG50" s="262" t="s">
        <v>373</v>
      </c>
      <c r="AH50" s="262" t="s">
        <v>373</v>
      </c>
      <c r="AI50" s="262" t="s">
        <v>373</v>
      </c>
      <c r="AJ50" s="262" t="s">
        <v>373</v>
      </c>
      <c r="AK50" s="184" t="s">
        <v>312</v>
      </c>
      <c r="AL50" s="262" t="s">
        <v>373</v>
      </c>
      <c r="AM50" s="184" t="s">
        <v>312</v>
      </c>
      <c r="AN50" s="262" t="s">
        <v>373</v>
      </c>
      <c r="AO50" s="184" t="s">
        <v>312</v>
      </c>
      <c r="AP50" s="262" t="s">
        <v>373</v>
      </c>
      <c r="AQ50" s="262" t="s">
        <v>373</v>
      </c>
      <c r="AR50" s="262" t="s">
        <v>373</v>
      </c>
      <c r="AS50" s="184" t="s">
        <v>312</v>
      </c>
      <c r="AT50" s="262" t="s">
        <v>373</v>
      </c>
      <c r="AU50" s="262" t="s">
        <v>373</v>
      </c>
      <c r="AV50" s="262" t="s">
        <v>373</v>
      </c>
      <c r="AW50" s="262" t="s">
        <v>373</v>
      </c>
      <c r="AX50" s="184" t="s">
        <v>312</v>
      </c>
      <c r="AY50" s="262" t="s">
        <v>373</v>
      </c>
      <c r="AZ50" s="262" t="s">
        <v>373</v>
      </c>
      <c r="BA50" s="262" t="s">
        <v>373</v>
      </c>
      <c r="BB50" s="262" t="s">
        <v>373</v>
      </c>
      <c r="BC50" s="184" t="s">
        <v>312</v>
      </c>
      <c r="BD50" s="262" t="s">
        <v>373</v>
      </c>
      <c r="BE50" s="262" t="s">
        <v>373</v>
      </c>
      <c r="BF50" s="262" t="s">
        <v>373</v>
      </c>
      <c r="BG50" s="262" t="s">
        <v>373</v>
      </c>
      <c r="BH50" s="262" t="s">
        <v>373</v>
      </c>
      <c r="BI50" s="262" t="s">
        <v>373</v>
      </c>
      <c r="BJ50" s="262" t="s">
        <v>373</v>
      </c>
      <c r="BK50" s="184" t="s">
        <v>312</v>
      </c>
      <c r="BL50" s="262" t="s">
        <v>373</v>
      </c>
      <c r="BM50" s="262" t="s">
        <v>373</v>
      </c>
      <c r="BN50" s="262" t="s">
        <v>373</v>
      </c>
      <c r="BO50" s="262" t="s">
        <v>373</v>
      </c>
      <c r="BP50" s="184" t="s">
        <v>312</v>
      </c>
      <c r="BQ50" s="262" t="s">
        <v>373</v>
      </c>
      <c r="BR50" s="262" t="s">
        <v>373</v>
      </c>
      <c r="BS50" s="262" t="s">
        <v>373</v>
      </c>
    </row>
    <row r="51" spans="2:71" s="16" customFormat="1" ht="35.25" customHeight="1" x14ac:dyDescent="0.25">
      <c r="B51" s="198" t="s">
        <v>330</v>
      </c>
      <c r="C51" s="154" t="s">
        <v>12</v>
      </c>
      <c r="D51" s="172">
        <v>6073019002</v>
      </c>
      <c r="E51" s="172">
        <v>1759</v>
      </c>
      <c r="F51" s="172">
        <v>55</v>
      </c>
      <c r="G51" s="172">
        <v>39</v>
      </c>
      <c r="H51" s="172">
        <v>24.04</v>
      </c>
      <c r="I51" s="283">
        <v>1.5</v>
      </c>
      <c r="J51" s="283">
        <v>1</v>
      </c>
      <c r="K51" s="283">
        <v>2</v>
      </c>
      <c r="L51" s="283">
        <v>3</v>
      </c>
      <c r="M51" s="283">
        <v>3</v>
      </c>
      <c r="N51" s="283">
        <v>2</v>
      </c>
      <c r="O51" s="283">
        <v>2</v>
      </c>
      <c r="P51" s="283">
        <v>3</v>
      </c>
      <c r="Q51" s="283">
        <v>2</v>
      </c>
      <c r="R51" s="184">
        <v>0</v>
      </c>
      <c r="S51" s="262" t="s">
        <v>373</v>
      </c>
      <c r="T51" s="262" t="s">
        <v>373</v>
      </c>
      <c r="U51" s="262" t="s">
        <v>373</v>
      </c>
      <c r="V51" s="262" t="s">
        <v>373</v>
      </c>
      <c r="W51" s="262" t="s">
        <v>373</v>
      </c>
      <c r="X51" s="184" t="s">
        <v>312</v>
      </c>
      <c r="Y51" s="262" t="s">
        <v>373</v>
      </c>
      <c r="Z51" s="184" t="s">
        <v>312</v>
      </c>
      <c r="AA51" s="262" t="s">
        <v>373</v>
      </c>
      <c r="AB51" s="262" t="s">
        <v>373</v>
      </c>
      <c r="AC51" s="262" t="s">
        <v>373</v>
      </c>
      <c r="AD51" s="262" t="s">
        <v>373</v>
      </c>
      <c r="AE51" s="262" t="s">
        <v>373</v>
      </c>
      <c r="AF51" s="184" t="s">
        <v>312</v>
      </c>
      <c r="AG51" s="262" t="s">
        <v>373</v>
      </c>
      <c r="AH51" s="262" t="s">
        <v>373</v>
      </c>
      <c r="AI51" s="262" t="s">
        <v>373</v>
      </c>
      <c r="AJ51" s="262" t="s">
        <v>373</v>
      </c>
      <c r="AK51" s="184" t="s">
        <v>312</v>
      </c>
      <c r="AL51" s="262" t="s">
        <v>373</v>
      </c>
      <c r="AM51" s="184" t="s">
        <v>312</v>
      </c>
      <c r="AN51" s="262" t="s">
        <v>373</v>
      </c>
      <c r="AO51" s="184" t="s">
        <v>312</v>
      </c>
      <c r="AP51" s="262" t="s">
        <v>373</v>
      </c>
      <c r="AQ51" s="262" t="s">
        <v>373</v>
      </c>
      <c r="AR51" s="262" t="s">
        <v>373</v>
      </c>
      <c r="AS51" s="184" t="s">
        <v>312</v>
      </c>
      <c r="AT51" s="262" t="s">
        <v>373</v>
      </c>
      <c r="AU51" s="262" t="s">
        <v>373</v>
      </c>
      <c r="AV51" s="262" t="s">
        <v>373</v>
      </c>
      <c r="AW51" s="262" t="s">
        <v>373</v>
      </c>
      <c r="AX51" s="184" t="s">
        <v>312</v>
      </c>
      <c r="AY51" s="262" t="s">
        <v>373</v>
      </c>
      <c r="AZ51" s="262" t="s">
        <v>373</v>
      </c>
      <c r="BA51" s="262" t="s">
        <v>373</v>
      </c>
      <c r="BB51" s="262" t="s">
        <v>373</v>
      </c>
      <c r="BC51" s="184" t="s">
        <v>312</v>
      </c>
      <c r="BD51" s="262" t="s">
        <v>373</v>
      </c>
      <c r="BE51" s="262" t="s">
        <v>373</v>
      </c>
      <c r="BF51" s="262" t="s">
        <v>373</v>
      </c>
      <c r="BG51" s="262" t="s">
        <v>373</v>
      </c>
      <c r="BH51" s="262" t="s">
        <v>373</v>
      </c>
      <c r="BI51" s="262" t="s">
        <v>373</v>
      </c>
      <c r="BJ51" s="262" t="s">
        <v>373</v>
      </c>
      <c r="BK51" s="184" t="s">
        <v>312</v>
      </c>
      <c r="BL51" s="262" t="s">
        <v>373</v>
      </c>
      <c r="BM51" s="262" t="s">
        <v>373</v>
      </c>
      <c r="BN51" s="262" t="s">
        <v>373</v>
      </c>
      <c r="BO51" s="262" t="s">
        <v>373</v>
      </c>
      <c r="BP51" s="184" t="s">
        <v>312</v>
      </c>
      <c r="BQ51" s="262" t="s">
        <v>373</v>
      </c>
      <c r="BR51" s="262" t="s">
        <v>373</v>
      </c>
      <c r="BS51" s="262" t="s">
        <v>373</v>
      </c>
    </row>
    <row r="52" spans="2:71" s="16" customFormat="1" ht="35.25" customHeight="1" x14ac:dyDescent="0.25">
      <c r="B52" s="198" t="s">
        <v>316</v>
      </c>
      <c r="C52" s="154" t="s">
        <v>9</v>
      </c>
      <c r="D52" s="172">
        <v>6073013506</v>
      </c>
      <c r="E52" s="172">
        <v>3509</v>
      </c>
      <c r="F52" s="172">
        <v>21</v>
      </c>
      <c r="G52" s="172">
        <v>26</v>
      </c>
      <c r="H52" s="172">
        <v>13.47</v>
      </c>
      <c r="I52" s="283">
        <v>2</v>
      </c>
      <c r="J52" s="283">
        <v>3</v>
      </c>
      <c r="K52" s="283">
        <v>1.5</v>
      </c>
      <c r="L52" s="283">
        <v>3</v>
      </c>
      <c r="M52" s="283">
        <v>3</v>
      </c>
      <c r="N52" s="283">
        <v>3</v>
      </c>
      <c r="O52" s="283">
        <v>3</v>
      </c>
      <c r="P52" s="283">
        <v>3</v>
      </c>
      <c r="Q52" s="283">
        <v>2</v>
      </c>
      <c r="R52" s="184">
        <v>0</v>
      </c>
      <c r="S52" s="262">
        <v>5</v>
      </c>
      <c r="T52" s="262">
        <v>4</v>
      </c>
      <c r="U52" s="262" t="s">
        <v>311</v>
      </c>
      <c r="V52" s="262">
        <v>3</v>
      </c>
      <c r="W52" s="262">
        <v>3</v>
      </c>
      <c r="X52" s="184" t="s">
        <v>312</v>
      </c>
      <c r="Y52" s="262">
        <v>5</v>
      </c>
      <c r="Z52" s="184" t="s">
        <v>312</v>
      </c>
      <c r="AA52" s="262">
        <v>3</v>
      </c>
      <c r="AB52" s="262" t="s">
        <v>552</v>
      </c>
      <c r="AC52" s="262">
        <v>3</v>
      </c>
      <c r="AD52" s="262" t="s">
        <v>546</v>
      </c>
      <c r="AE52" s="262">
        <v>3</v>
      </c>
      <c r="AF52" s="184" t="s">
        <v>312</v>
      </c>
      <c r="AG52" s="262">
        <v>3</v>
      </c>
      <c r="AH52" s="262">
        <v>5</v>
      </c>
      <c r="AI52" s="262">
        <v>0</v>
      </c>
      <c r="AJ52" s="262">
        <v>3</v>
      </c>
      <c r="AK52" s="184" t="s">
        <v>312</v>
      </c>
      <c r="AL52" s="262">
        <v>3</v>
      </c>
      <c r="AM52" s="184" t="s">
        <v>312</v>
      </c>
      <c r="AN52" s="262">
        <v>2</v>
      </c>
      <c r="AO52" s="184" t="s">
        <v>312</v>
      </c>
      <c r="AP52" s="262">
        <v>3</v>
      </c>
      <c r="AQ52" s="262">
        <v>3</v>
      </c>
      <c r="AR52" s="262">
        <v>3</v>
      </c>
      <c r="AS52" s="184" t="s">
        <v>312</v>
      </c>
      <c r="AT52" s="262">
        <v>3</v>
      </c>
      <c r="AU52" s="262">
        <v>2</v>
      </c>
      <c r="AV52" s="262">
        <v>1</v>
      </c>
      <c r="AW52" s="262">
        <v>3</v>
      </c>
      <c r="AX52" s="184" t="s">
        <v>312</v>
      </c>
      <c r="AY52" s="262">
        <v>3</v>
      </c>
      <c r="AZ52" s="262" t="s">
        <v>311</v>
      </c>
      <c r="BA52" s="262" t="s">
        <v>311</v>
      </c>
      <c r="BB52" s="262">
        <v>3</v>
      </c>
      <c r="BC52" s="184" t="s">
        <v>312</v>
      </c>
      <c r="BD52" s="262">
        <v>3</v>
      </c>
      <c r="BE52" s="262">
        <v>3</v>
      </c>
      <c r="BF52" s="262" t="s">
        <v>542</v>
      </c>
      <c r="BG52" s="262" t="s">
        <v>27</v>
      </c>
      <c r="BH52" s="262" t="s">
        <v>547</v>
      </c>
      <c r="BI52" s="262" t="s">
        <v>311</v>
      </c>
      <c r="BJ52" s="262">
        <v>3</v>
      </c>
      <c r="BK52" s="184" t="s">
        <v>312</v>
      </c>
      <c r="BL52" s="262">
        <v>3</v>
      </c>
      <c r="BM52" s="262">
        <v>3</v>
      </c>
      <c r="BN52" s="262">
        <v>3</v>
      </c>
      <c r="BO52" s="262">
        <v>3</v>
      </c>
      <c r="BP52" s="184" t="s">
        <v>312</v>
      </c>
      <c r="BQ52" s="262">
        <v>3</v>
      </c>
      <c r="BR52" s="262" t="s">
        <v>553</v>
      </c>
      <c r="BS52" s="262" t="s">
        <v>552</v>
      </c>
    </row>
    <row r="53" spans="2:71" s="16" customFormat="1" ht="35.25" customHeight="1" x14ac:dyDescent="0.25">
      <c r="B53" s="198" t="s">
        <v>289</v>
      </c>
      <c r="C53" s="154" t="s">
        <v>7</v>
      </c>
      <c r="D53" s="172">
        <v>6073009505</v>
      </c>
      <c r="E53" s="172">
        <v>6442</v>
      </c>
      <c r="F53" s="172">
        <v>40</v>
      </c>
      <c r="G53" s="172">
        <v>8</v>
      </c>
      <c r="H53" s="172">
        <v>9.41</v>
      </c>
      <c r="I53" s="281">
        <v>1</v>
      </c>
      <c r="J53" s="281">
        <v>3</v>
      </c>
      <c r="K53" s="281">
        <v>2.5</v>
      </c>
      <c r="L53" s="281">
        <v>3</v>
      </c>
      <c r="M53" s="281">
        <v>3</v>
      </c>
      <c r="N53" s="281">
        <v>1</v>
      </c>
      <c r="O53" s="281">
        <v>1</v>
      </c>
      <c r="P53" s="281">
        <v>1</v>
      </c>
      <c r="Q53" s="281">
        <v>1</v>
      </c>
      <c r="R53" s="184">
        <v>0</v>
      </c>
      <c r="S53" s="262">
        <v>3</v>
      </c>
      <c r="T53" s="262">
        <v>5</v>
      </c>
      <c r="U53" s="262" t="s">
        <v>311</v>
      </c>
      <c r="V53" s="262">
        <v>3</v>
      </c>
      <c r="W53" s="262">
        <v>4</v>
      </c>
      <c r="X53" s="184" t="s">
        <v>312</v>
      </c>
      <c r="Y53" s="262">
        <v>3</v>
      </c>
      <c r="Z53" s="184" t="s">
        <v>312</v>
      </c>
      <c r="AA53" s="262">
        <v>3</v>
      </c>
      <c r="AB53" s="262" t="s">
        <v>540</v>
      </c>
      <c r="AC53" s="262">
        <v>5</v>
      </c>
      <c r="AD53" s="262" t="s">
        <v>541</v>
      </c>
      <c r="AE53" s="262">
        <v>1</v>
      </c>
      <c r="AF53" s="184" t="s">
        <v>312</v>
      </c>
      <c r="AG53" s="262">
        <v>1</v>
      </c>
      <c r="AH53" s="262">
        <v>4</v>
      </c>
      <c r="AI53" s="262">
        <v>0</v>
      </c>
      <c r="AJ53" s="262">
        <v>3</v>
      </c>
      <c r="AK53" s="184" t="s">
        <v>312</v>
      </c>
      <c r="AL53" s="262">
        <v>3</v>
      </c>
      <c r="AM53" s="184" t="s">
        <v>312</v>
      </c>
      <c r="AN53" s="262">
        <v>2</v>
      </c>
      <c r="AO53" s="184" t="s">
        <v>312</v>
      </c>
      <c r="AP53" s="262">
        <v>3</v>
      </c>
      <c r="AQ53" s="262">
        <v>5</v>
      </c>
      <c r="AR53" s="262">
        <v>2</v>
      </c>
      <c r="AS53" s="184" t="s">
        <v>312</v>
      </c>
      <c r="AT53" s="262">
        <v>3</v>
      </c>
      <c r="AU53" s="262">
        <v>1</v>
      </c>
      <c r="AV53" s="262">
        <v>1</v>
      </c>
      <c r="AW53" s="262">
        <v>3</v>
      </c>
      <c r="AX53" s="184" t="s">
        <v>312</v>
      </c>
      <c r="AY53" s="262">
        <v>3</v>
      </c>
      <c r="AZ53" s="262">
        <v>1</v>
      </c>
      <c r="BA53" s="262">
        <v>3</v>
      </c>
      <c r="BB53" s="262">
        <v>3</v>
      </c>
      <c r="BC53" s="184" t="s">
        <v>312</v>
      </c>
      <c r="BD53" s="262">
        <v>3</v>
      </c>
      <c r="BE53" s="262">
        <v>3</v>
      </c>
      <c r="BF53" s="262" t="s">
        <v>542</v>
      </c>
      <c r="BG53" s="262" t="s">
        <v>311</v>
      </c>
      <c r="BH53" s="262" t="s">
        <v>311</v>
      </c>
      <c r="BI53" s="262" t="s">
        <v>543</v>
      </c>
      <c r="BJ53" s="262">
        <v>3</v>
      </c>
      <c r="BK53" s="184" t="s">
        <v>312</v>
      </c>
      <c r="BL53" s="262" t="s">
        <v>311</v>
      </c>
      <c r="BM53" s="262" t="s">
        <v>311</v>
      </c>
      <c r="BN53" s="262">
        <v>3</v>
      </c>
      <c r="BO53" s="262">
        <v>3</v>
      </c>
      <c r="BP53" s="184" t="s">
        <v>312</v>
      </c>
      <c r="BQ53" s="262">
        <v>3</v>
      </c>
      <c r="BR53" s="262" t="s">
        <v>544</v>
      </c>
      <c r="BS53" s="262" t="s">
        <v>544</v>
      </c>
    </row>
    <row r="54" spans="2:71" s="16" customFormat="1" ht="35.25" customHeight="1" x14ac:dyDescent="0.25">
      <c r="B54" s="198" t="s">
        <v>317</v>
      </c>
      <c r="C54" s="154" t="s">
        <v>9</v>
      </c>
      <c r="D54" s="172">
        <v>6073009304</v>
      </c>
      <c r="E54" s="172">
        <v>7944</v>
      </c>
      <c r="F54" s="172">
        <v>71</v>
      </c>
      <c r="G54" s="172">
        <v>46</v>
      </c>
      <c r="H54" s="172">
        <v>17.82</v>
      </c>
      <c r="I54" s="281">
        <v>3</v>
      </c>
      <c r="J54" s="281">
        <v>3</v>
      </c>
      <c r="K54" s="281">
        <v>2.5</v>
      </c>
      <c r="L54" s="281">
        <v>3</v>
      </c>
      <c r="M54" s="281">
        <v>3</v>
      </c>
      <c r="N54" s="281">
        <v>1</v>
      </c>
      <c r="O54" s="281">
        <v>1</v>
      </c>
      <c r="P54" s="281">
        <v>3</v>
      </c>
      <c r="Q54" s="281">
        <v>3</v>
      </c>
      <c r="R54" s="184">
        <v>0</v>
      </c>
      <c r="S54" s="262">
        <v>5</v>
      </c>
      <c r="T54" s="262">
        <v>3</v>
      </c>
      <c r="U54" s="262" t="s">
        <v>311</v>
      </c>
      <c r="V54" s="262">
        <v>3</v>
      </c>
      <c r="W54" s="262">
        <v>5</v>
      </c>
      <c r="X54" s="184" t="s">
        <v>312</v>
      </c>
      <c r="Y54" s="262">
        <v>5</v>
      </c>
      <c r="Z54" s="184" t="s">
        <v>312</v>
      </c>
      <c r="AA54" s="262">
        <v>1</v>
      </c>
      <c r="AB54" s="262" t="s">
        <v>554</v>
      </c>
      <c r="AC54" s="262">
        <v>1</v>
      </c>
      <c r="AD54" s="262" t="s">
        <v>555</v>
      </c>
      <c r="AE54" s="262" t="s">
        <v>311</v>
      </c>
      <c r="AF54" s="184" t="s">
        <v>312</v>
      </c>
      <c r="AG54" s="262">
        <v>4</v>
      </c>
      <c r="AH54" s="262">
        <v>5</v>
      </c>
      <c r="AI54" s="262">
        <v>0</v>
      </c>
      <c r="AJ54" s="262">
        <v>4</v>
      </c>
      <c r="AK54" s="184" t="s">
        <v>312</v>
      </c>
      <c r="AL54" s="262">
        <v>3</v>
      </c>
      <c r="AM54" s="184" t="s">
        <v>312</v>
      </c>
      <c r="AN54" s="262">
        <v>1</v>
      </c>
      <c r="AO54" s="184" t="s">
        <v>312</v>
      </c>
      <c r="AP54" s="262">
        <v>3</v>
      </c>
      <c r="AQ54" s="262">
        <v>3</v>
      </c>
      <c r="AR54" s="262">
        <v>3</v>
      </c>
      <c r="AS54" s="184" t="s">
        <v>312</v>
      </c>
      <c r="AT54" s="262">
        <v>5</v>
      </c>
      <c r="AU54" s="262">
        <v>5</v>
      </c>
      <c r="AV54" s="262">
        <v>1</v>
      </c>
      <c r="AW54" s="262">
        <v>3</v>
      </c>
      <c r="AX54" s="184" t="s">
        <v>312</v>
      </c>
      <c r="AY54" s="262">
        <v>5</v>
      </c>
      <c r="AZ54" s="262">
        <v>3</v>
      </c>
      <c r="BA54" s="262">
        <v>3</v>
      </c>
      <c r="BB54" s="262">
        <v>2</v>
      </c>
      <c r="BC54" s="184" t="s">
        <v>312</v>
      </c>
      <c r="BD54" s="262">
        <v>5</v>
      </c>
      <c r="BE54" s="262">
        <v>5</v>
      </c>
      <c r="BF54" s="262" t="s">
        <v>542</v>
      </c>
      <c r="BG54" s="262">
        <v>3</v>
      </c>
      <c r="BH54" s="262" t="s">
        <v>538</v>
      </c>
      <c r="BI54" s="262" t="s">
        <v>311</v>
      </c>
      <c r="BJ54" s="262">
        <v>5</v>
      </c>
      <c r="BK54" s="184" t="s">
        <v>312</v>
      </c>
      <c r="BL54" s="262">
        <v>3</v>
      </c>
      <c r="BM54" s="262">
        <v>5</v>
      </c>
      <c r="BN54" s="262">
        <v>3</v>
      </c>
      <c r="BO54" s="262">
        <v>3</v>
      </c>
      <c r="BP54" s="184" t="s">
        <v>312</v>
      </c>
      <c r="BQ54" s="262">
        <v>3</v>
      </c>
      <c r="BR54" s="262" t="s">
        <v>311</v>
      </c>
      <c r="BS54" s="262" t="s">
        <v>311</v>
      </c>
    </row>
    <row r="55" spans="2:71" s="16" customFormat="1" ht="35.25" customHeight="1" x14ac:dyDescent="0.25">
      <c r="B55" s="198" t="s">
        <v>361</v>
      </c>
      <c r="C55" s="154" t="s">
        <v>16</v>
      </c>
      <c r="D55" s="172">
        <v>6073013606</v>
      </c>
      <c r="E55" s="172">
        <v>6386</v>
      </c>
      <c r="F55" s="172">
        <v>24</v>
      </c>
      <c r="G55" s="172">
        <v>19</v>
      </c>
      <c r="H55" s="172">
        <v>11.83</v>
      </c>
      <c r="I55" s="281">
        <v>3</v>
      </c>
      <c r="J55" s="281">
        <v>1</v>
      </c>
      <c r="K55" s="281">
        <v>2.5</v>
      </c>
      <c r="L55" s="281">
        <v>3</v>
      </c>
      <c r="M55" s="281">
        <v>3</v>
      </c>
      <c r="N55" s="281">
        <v>2</v>
      </c>
      <c r="O55" s="281">
        <v>2</v>
      </c>
      <c r="P55" s="281">
        <v>3</v>
      </c>
      <c r="Q55" s="281">
        <v>1</v>
      </c>
      <c r="R55" s="184">
        <v>0</v>
      </c>
      <c r="S55" s="262" t="s">
        <v>373</v>
      </c>
      <c r="T55" s="262" t="s">
        <v>373</v>
      </c>
      <c r="U55" s="262" t="s">
        <v>373</v>
      </c>
      <c r="V55" s="262" t="s">
        <v>373</v>
      </c>
      <c r="W55" s="262" t="s">
        <v>373</v>
      </c>
      <c r="X55" s="184" t="s">
        <v>312</v>
      </c>
      <c r="Y55" s="262" t="s">
        <v>373</v>
      </c>
      <c r="Z55" s="184" t="s">
        <v>312</v>
      </c>
      <c r="AA55" s="262" t="s">
        <v>373</v>
      </c>
      <c r="AB55" s="262" t="s">
        <v>373</v>
      </c>
      <c r="AC55" s="262" t="s">
        <v>373</v>
      </c>
      <c r="AD55" s="262" t="s">
        <v>373</v>
      </c>
      <c r="AE55" s="262" t="s">
        <v>373</v>
      </c>
      <c r="AF55" s="184" t="s">
        <v>312</v>
      </c>
      <c r="AG55" s="262" t="s">
        <v>373</v>
      </c>
      <c r="AH55" s="262" t="s">
        <v>373</v>
      </c>
      <c r="AI55" s="262" t="s">
        <v>373</v>
      </c>
      <c r="AJ55" s="262" t="s">
        <v>373</v>
      </c>
      <c r="AK55" s="184" t="s">
        <v>312</v>
      </c>
      <c r="AL55" s="262" t="s">
        <v>373</v>
      </c>
      <c r="AM55" s="184" t="s">
        <v>312</v>
      </c>
      <c r="AN55" s="262" t="s">
        <v>373</v>
      </c>
      <c r="AO55" s="184" t="s">
        <v>312</v>
      </c>
      <c r="AP55" s="262" t="s">
        <v>373</v>
      </c>
      <c r="AQ55" s="262" t="s">
        <v>373</v>
      </c>
      <c r="AR55" s="262" t="s">
        <v>373</v>
      </c>
      <c r="AS55" s="184" t="s">
        <v>312</v>
      </c>
      <c r="AT55" s="262" t="s">
        <v>373</v>
      </c>
      <c r="AU55" s="262" t="s">
        <v>373</v>
      </c>
      <c r="AV55" s="262" t="s">
        <v>373</v>
      </c>
      <c r="AW55" s="262" t="s">
        <v>373</v>
      </c>
      <c r="AX55" s="184" t="s">
        <v>312</v>
      </c>
      <c r="AY55" s="262" t="s">
        <v>373</v>
      </c>
      <c r="AZ55" s="262" t="s">
        <v>373</v>
      </c>
      <c r="BA55" s="262" t="s">
        <v>373</v>
      </c>
      <c r="BB55" s="262" t="s">
        <v>373</v>
      </c>
      <c r="BC55" s="184" t="s">
        <v>312</v>
      </c>
      <c r="BD55" s="262" t="s">
        <v>373</v>
      </c>
      <c r="BE55" s="262" t="s">
        <v>373</v>
      </c>
      <c r="BF55" s="262" t="s">
        <v>373</v>
      </c>
      <c r="BG55" s="262" t="s">
        <v>373</v>
      </c>
      <c r="BH55" s="262" t="s">
        <v>373</v>
      </c>
      <c r="BI55" s="262" t="s">
        <v>373</v>
      </c>
      <c r="BJ55" s="262" t="s">
        <v>373</v>
      </c>
      <c r="BK55" s="184" t="s">
        <v>312</v>
      </c>
      <c r="BL55" s="262" t="s">
        <v>373</v>
      </c>
      <c r="BM55" s="262" t="s">
        <v>373</v>
      </c>
      <c r="BN55" s="262" t="s">
        <v>373</v>
      </c>
      <c r="BO55" s="262" t="s">
        <v>373</v>
      </c>
      <c r="BP55" s="184" t="s">
        <v>312</v>
      </c>
      <c r="BQ55" s="262" t="s">
        <v>373</v>
      </c>
      <c r="BR55" s="262" t="s">
        <v>373</v>
      </c>
      <c r="BS55" s="262" t="s">
        <v>373</v>
      </c>
    </row>
    <row r="56" spans="2:71" s="16" customFormat="1" ht="35.25" customHeight="1" x14ac:dyDescent="0.25">
      <c r="B56" s="198" t="s">
        <v>368</v>
      </c>
      <c r="C56" s="154" t="s">
        <v>17</v>
      </c>
      <c r="D56" s="172">
        <v>6073014200</v>
      </c>
      <c r="E56" s="172">
        <v>6277</v>
      </c>
      <c r="F56" s="172">
        <v>26</v>
      </c>
      <c r="G56" s="172">
        <v>60</v>
      </c>
      <c r="H56" s="172">
        <v>23.65</v>
      </c>
      <c r="I56" s="281">
        <v>3</v>
      </c>
      <c r="J56" s="281">
        <v>3</v>
      </c>
      <c r="K56" s="281">
        <v>2.5</v>
      </c>
      <c r="L56" s="281">
        <v>3</v>
      </c>
      <c r="M56" s="281">
        <v>3</v>
      </c>
      <c r="N56" s="281">
        <v>1</v>
      </c>
      <c r="O56" s="281">
        <v>2</v>
      </c>
      <c r="P56" s="281">
        <v>3</v>
      </c>
      <c r="Q56" s="281">
        <v>2</v>
      </c>
      <c r="R56" s="184">
        <v>0</v>
      </c>
      <c r="S56" s="262">
        <v>3</v>
      </c>
      <c r="T56" s="262">
        <v>5</v>
      </c>
      <c r="U56" s="262" t="s">
        <v>311</v>
      </c>
      <c r="V56" s="262">
        <v>3</v>
      </c>
      <c r="W56" s="262" t="s">
        <v>311</v>
      </c>
      <c r="X56" s="184" t="s">
        <v>312</v>
      </c>
      <c r="Y56" s="262" t="s">
        <v>311</v>
      </c>
      <c r="Z56" s="184" t="s">
        <v>312</v>
      </c>
      <c r="AA56" s="262">
        <v>3</v>
      </c>
      <c r="AB56" s="262">
        <v>4940000</v>
      </c>
      <c r="AC56" s="262">
        <v>1</v>
      </c>
      <c r="AD56" s="262" t="s">
        <v>608</v>
      </c>
      <c r="AE56" s="262">
        <v>3</v>
      </c>
      <c r="AF56" s="184" t="s">
        <v>312</v>
      </c>
      <c r="AG56" s="262">
        <v>1</v>
      </c>
      <c r="AH56" s="262">
        <v>1</v>
      </c>
      <c r="AI56" s="262">
        <v>0</v>
      </c>
      <c r="AJ56" s="262">
        <v>3</v>
      </c>
      <c r="AK56" s="184" t="s">
        <v>312</v>
      </c>
      <c r="AL56" s="262">
        <v>3</v>
      </c>
      <c r="AM56" s="184" t="s">
        <v>312</v>
      </c>
      <c r="AN56" s="262" t="s">
        <v>311</v>
      </c>
      <c r="AO56" s="184" t="s">
        <v>312</v>
      </c>
      <c r="AP56" s="262">
        <v>5</v>
      </c>
      <c r="AQ56" s="262">
        <v>5</v>
      </c>
      <c r="AR56" s="262">
        <v>5</v>
      </c>
      <c r="AS56" s="184" t="s">
        <v>312</v>
      </c>
      <c r="AT56" s="262">
        <v>5</v>
      </c>
      <c r="AU56" s="262">
        <v>1</v>
      </c>
      <c r="AV56" s="262">
        <v>1</v>
      </c>
      <c r="AW56" s="262">
        <v>5</v>
      </c>
      <c r="AX56" s="184" t="s">
        <v>312</v>
      </c>
      <c r="AY56" s="262">
        <v>3</v>
      </c>
      <c r="AZ56" s="262" t="s">
        <v>311</v>
      </c>
      <c r="BA56" s="262" t="s">
        <v>311</v>
      </c>
      <c r="BB56" s="262">
        <v>3</v>
      </c>
      <c r="BC56" s="184" t="s">
        <v>312</v>
      </c>
      <c r="BD56" s="262">
        <v>3</v>
      </c>
      <c r="BE56" s="262">
        <v>3</v>
      </c>
      <c r="BF56" s="262" t="s">
        <v>542</v>
      </c>
      <c r="BG56" s="262" t="s">
        <v>27</v>
      </c>
      <c r="BH56" s="262" t="s">
        <v>547</v>
      </c>
      <c r="BI56" s="262" t="s">
        <v>657</v>
      </c>
      <c r="BJ56" s="262">
        <v>3</v>
      </c>
      <c r="BK56" s="184" t="s">
        <v>312</v>
      </c>
      <c r="BL56" s="262">
        <v>5</v>
      </c>
      <c r="BM56" s="262">
        <v>3</v>
      </c>
      <c r="BN56" s="262">
        <v>3</v>
      </c>
      <c r="BO56" s="262">
        <v>5</v>
      </c>
      <c r="BP56" s="184" t="s">
        <v>312</v>
      </c>
      <c r="BQ56" s="262">
        <v>2</v>
      </c>
      <c r="BR56" s="262" t="s">
        <v>610</v>
      </c>
      <c r="BS56" s="262" t="s">
        <v>557</v>
      </c>
    </row>
    <row r="57" spans="2:71" s="16" customFormat="1" ht="35.25" customHeight="1" x14ac:dyDescent="0.25">
      <c r="B57" s="198" t="s">
        <v>61</v>
      </c>
      <c r="C57" s="154" t="s">
        <v>15</v>
      </c>
      <c r="D57" s="172">
        <v>6073009706</v>
      </c>
      <c r="E57" s="172">
        <v>6996</v>
      </c>
      <c r="F57" s="172">
        <v>35</v>
      </c>
      <c r="G57" s="172">
        <v>9</v>
      </c>
      <c r="H57" s="172">
        <v>9.6</v>
      </c>
      <c r="I57" s="281">
        <v>3</v>
      </c>
      <c r="J57" s="281">
        <v>3</v>
      </c>
      <c r="K57" s="281">
        <v>2.5</v>
      </c>
      <c r="L57" s="281">
        <v>3</v>
      </c>
      <c r="M57" s="281">
        <v>3</v>
      </c>
      <c r="N57" s="281">
        <v>2</v>
      </c>
      <c r="O57" s="281">
        <v>2</v>
      </c>
      <c r="P57" s="281">
        <v>3</v>
      </c>
      <c r="Q57" s="281">
        <v>3</v>
      </c>
      <c r="R57" s="184">
        <v>0</v>
      </c>
      <c r="S57" s="262">
        <v>5</v>
      </c>
      <c r="T57" s="262">
        <v>5</v>
      </c>
      <c r="U57" s="262">
        <v>4</v>
      </c>
      <c r="V57" s="262">
        <v>3</v>
      </c>
      <c r="W57" s="262">
        <v>5</v>
      </c>
      <c r="X57" s="184" t="s">
        <v>312</v>
      </c>
      <c r="Y57" s="262">
        <v>5</v>
      </c>
      <c r="Z57" s="184" t="s">
        <v>312</v>
      </c>
      <c r="AA57" s="262">
        <v>3</v>
      </c>
      <c r="AB57" s="262" t="s">
        <v>312</v>
      </c>
      <c r="AC57" s="262">
        <v>5</v>
      </c>
      <c r="AD57" s="262" t="s">
        <v>541</v>
      </c>
      <c r="AE57" s="262">
        <v>3</v>
      </c>
      <c r="AF57" s="184" t="s">
        <v>312</v>
      </c>
      <c r="AG57" s="262">
        <v>1</v>
      </c>
      <c r="AH57" s="262">
        <v>5</v>
      </c>
      <c r="AI57" s="262">
        <v>0</v>
      </c>
      <c r="AJ57" s="262">
        <v>2</v>
      </c>
      <c r="AK57" s="184" t="s">
        <v>312</v>
      </c>
      <c r="AL57" s="262">
        <v>3</v>
      </c>
      <c r="AM57" s="184" t="s">
        <v>312</v>
      </c>
      <c r="AN57" s="262">
        <v>2</v>
      </c>
      <c r="AO57" s="184" t="s">
        <v>312</v>
      </c>
      <c r="AP57" s="262">
        <v>3</v>
      </c>
      <c r="AQ57" s="262">
        <v>3</v>
      </c>
      <c r="AR57" s="262">
        <v>2</v>
      </c>
      <c r="AS57" s="184" t="s">
        <v>312</v>
      </c>
      <c r="AT57" s="262">
        <v>3</v>
      </c>
      <c r="AU57" s="262">
        <v>2</v>
      </c>
      <c r="AV57" s="262">
        <v>3</v>
      </c>
      <c r="AW57" s="262">
        <v>3</v>
      </c>
      <c r="AX57" s="184" t="s">
        <v>312</v>
      </c>
      <c r="AY57" s="262">
        <v>5</v>
      </c>
      <c r="AZ57" s="262">
        <v>1</v>
      </c>
      <c r="BA57" s="262">
        <v>3</v>
      </c>
      <c r="BB57" s="262">
        <v>3</v>
      </c>
      <c r="BC57" s="184" t="s">
        <v>312</v>
      </c>
      <c r="BD57" s="262">
        <v>3</v>
      </c>
      <c r="BE57" s="262">
        <v>3</v>
      </c>
      <c r="BF57" s="262" t="s">
        <v>542</v>
      </c>
      <c r="BG57" s="262">
        <v>3</v>
      </c>
      <c r="BH57" s="262" t="s">
        <v>538</v>
      </c>
      <c r="BI57" s="262" t="s">
        <v>612</v>
      </c>
      <c r="BJ57" s="262">
        <v>3</v>
      </c>
      <c r="BK57" s="184" t="s">
        <v>312</v>
      </c>
      <c r="BL57" s="262" t="s">
        <v>311</v>
      </c>
      <c r="BM57" s="262">
        <v>3</v>
      </c>
      <c r="BN57" s="262">
        <v>5</v>
      </c>
      <c r="BO57" s="262">
        <v>4</v>
      </c>
      <c r="BP57" s="184" t="s">
        <v>312</v>
      </c>
      <c r="BQ57" s="262">
        <v>3</v>
      </c>
      <c r="BR57" s="262" t="s">
        <v>561</v>
      </c>
      <c r="BS57" s="262" t="s">
        <v>557</v>
      </c>
    </row>
    <row r="58" spans="2:71" s="16" customFormat="1" ht="35.25" customHeight="1" x14ac:dyDescent="0.25">
      <c r="B58" s="198" t="s">
        <v>369</v>
      </c>
      <c r="C58" s="154" t="s">
        <v>17</v>
      </c>
      <c r="D58" s="172">
        <v>6073010110</v>
      </c>
      <c r="E58" s="172">
        <v>7298</v>
      </c>
      <c r="F58" s="172">
        <v>53</v>
      </c>
      <c r="G58" s="172">
        <v>72</v>
      </c>
      <c r="H58" s="172">
        <v>35.4</v>
      </c>
      <c r="I58" s="281">
        <v>3</v>
      </c>
      <c r="J58" s="281">
        <v>3</v>
      </c>
      <c r="K58" s="281">
        <v>1.5</v>
      </c>
      <c r="L58" s="281">
        <v>3</v>
      </c>
      <c r="M58" s="281">
        <v>2</v>
      </c>
      <c r="N58" s="281">
        <v>2</v>
      </c>
      <c r="O58" s="281">
        <v>2</v>
      </c>
      <c r="P58" s="281">
        <v>3</v>
      </c>
      <c r="Q58" s="281">
        <v>2</v>
      </c>
      <c r="R58" s="184">
        <v>0</v>
      </c>
      <c r="S58" s="262" t="s">
        <v>373</v>
      </c>
      <c r="T58" s="262" t="s">
        <v>373</v>
      </c>
      <c r="U58" s="262" t="s">
        <v>373</v>
      </c>
      <c r="V58" s="262" t="s">
        <v>373</v>
      </c>
      <c r="W58" s="262" t="s">
        <v>373</v>
      </c>
      <c r="X58" s="184" t="s">
        <v>312</v>
      </c>
      <c r="Y58" s="262" t="s">
        <v>373</v>
      </c>
      <c r="Z58" s="184" t="s">
        <v>312</v>
      </c>
      <c r="AA58" s="262" t="s">
        <v>373</v>
      </c>
      <c r="AB58" s="262" t="s">
        <v>373</v>
      </c>
      <c r="AC58" s="262" t="s">
        <v>373</v>
      </c>
      <c r="AD58" s="262" t="s">
        <v>373</v>
      </c>
      <c r="AE58" s="262" t="s">
        <v>373</v>
      </c>
      <c r="AF58" s="184" t="s">
        <v>312</v>
      </c>
      <c r="AG58" s="262" t="s">
        <v>373</v>
      </c>
      <c r="AH58" s="262" t="s">
        <v>373</v>
      </c>
      <c r="AI58" s="262" t="s">
        <v>373</v>
      </c>
      <c r="AJ58" s="262" t="s">
        <v>373</v>
      </c>
      <c r="AK58" s="184" t="s">
        <v>312</v>
      </c>
      <c r="AL58" s="262" t="s">
        <v>373</v>
      </c>
      <c r="AM58" s="184" t="s">
        <v>312</v>
      </c>
      <c r="AN58" s="262" t="s">
        <v>373</v>
      </c>
      <c r="AO58" s="184" t="s">
        <v>312</v>
      </c>
      <c r="AP58" s="262" t="s">
        <v>373</v>
      </c>
      <c r="AQ58" s="262" t="s">
        <v>373</v>
      </c>
      <c r="AR58" s="262" t="s">
        <v>373</v>
      </c>
      <c r="AS58" s="184" t="s">
        <v>312</v>
      </c>
      <c r="AT58" s="262" t="s">
        <v>373</v>
      </c>
      <c r="AU58" s="262" t="s">
        <v>373</v>
      </c>
      <c r="AV58" s="262" t="s">
        <v>373</v>
      </c>
      <c r="AW58" s="262" t="s">
        <v>373</v>
      </c>
      <c r="AX58" s="184" t="s">
        <v>312</v>
      </c>
      <c r="AY58" s="262" t="s">
        <v>373</v>
      </c>
      <c r="AZ58" s="262" t="s">
        <v>373</v>
      </c>
      <c r="BA58" s="262" t="s">
        <v>373</v>
      </c>
      <c r="BB58" s="262" t="s">
        <v>373</v>
      </c>
      <c r="BC58" s="184" t="s">
        <v>312</v>
      </c>
      <c r="BD58" s="262" t="s">
        <v>373</v>
      </c>
      <c r="BE58" s="262" t="s">
        <v>373</v>
      </c>
      <c r="BF58" s="262" t="s">
        <v>373</v>
      </c>
      <c r="BG58" s="262" t="s">
        <v>373</v>
      </c>
      <c r="BH58" s="262" t="s">
        <v>373</v>
      </c>
      <c r="BI58" s="262" t="s">
        <v>373</v>
      </c>
      <c r="BJ58" s="262" t="s">
        <v>373</v>
      </c>
      <c r="BK58" s="184" t="s">
        <v>312</v>
      </c>
      <c r="BL58" s="262" t="s">
        <v>373</v>
      </c>
      <c r="BM58" s="262" t="s">
        <v>373</v>
      </c>
      <c r="BN58" s="262" t="s">
        <v>373</v>
      </c>
      <c r="BO58" s="262" t="s">
        <v>373</v>
      </c>
      <c r="BP58" s="184" t="s">
        <v>312</v>
      </c>
      <c r="BQ58" s="262" t="s">
        <v>373</v>
      </c>
      <c r="BR58" s="262" t="s">
        <v>373</v>
      </c>
      <c r="BS58" s="262" t="s">
        <v>373</v>
      </c>
    </row>
    <row r="59" spans="2:71" s="16" customFormat="1" ht="35.25" customHeight="1" x14ac:dyDescent="0.25">
      <c r="B59" s="198" t="s">
        <v>293</v>
      </c>
      <c r="C59" s="154" t="s">
        <v>11</v>
      </c>
      <c r="D59" s="172">
        <v>6073020307</v>
      </c>
      <c r="E59" s="172">
        <v>7170</v>
      </c>
      <c r="F59" s="172">
        <v>92</v>
      </c>
      <c r="G59" s="172">
        <v>14</v>
      </c>
      <c r="H59" s="172">
        <v>19.66</v>
      </c>
      <c r="I59" s="281">
        <v>1.5</v>
      </c>
      <c r="J59" s="281">
        <v>3</v>
      </c>
      <c r="K59" s="281">
        <v>2.5</v>
      </c>
      <c r="L59" s="281">
        <v>3</v>
      </c>
      <c r="M59" s="281">
        <v>3</v>
      </c>
      <c r="N59" s="281">
        <v>1</v>
      </c>
      <c r="O59" s="281">
        <v>1</v>
      </c>
      <c r="P59" s="281">
        <v>3</v>
      </c>
      <c r="Q59" s="281">
        <v>3</v>
      </c>
      <c r="R59" s="184">
        <v>0</v>
      </c>
      <c r="S59" s="262" t="s">
        <v>373</v>
      </c>
      <c r="T59" s="262" t="s">
        <v>373</v>
      </c>
      <c r="U59" s="262" t="s">
        <v>373</v>
      </c>
      <c r="V59" s="262" t="s">
        <v>373</v>
      </c>
      <c r="W59" s="262" t="s">
        <v>373</v>
      </c>
      <c r="X59" s="184" t="s">
        <v>312</v>
      </c>
      <c r="Y59" s="262" t="s">
        <v>373</v>
      </c>
      <c r="Z59" s="184" t="s">
        <v>312</v>
      </c>
      <c r="AA59" s="262" t="s">
        <v>373</v>
      </c>
      <c r="AB59" s="262" t="s">
        <v>373</v>
      </c>
      <c r="AC59" s="262" t="s">
        <v>373</v>
      </c>
      <c r="AD59" s="262" t="s">
        <v>373</v>
      </c>
      <c r="AE59" s="262" t="s">
        <v>373</v>
      </c>
      <c r="AF59" s="184" t="s">
        <v>312</v>
      </c>
      <c r="AG59" s="262" t="s">
        <v>373</v>
      </c>
      <c r="AH59" s="262" t="s">
        <v>373</v>
      </c>
      <c r="AI59" s="262" t="s">
        <v>373</v>
      </c>
      <c r="AJ59" s="262" t="s">
        <v>373</v>
      </c>
      <c r="AK59" s="184" t="s">
        <v>312</v>
      </c>
      <c r="AL59" s="262" t="s">
        <v>373</v>
      </c>
      <c r="AM59" s="184" t="s">
        <v>312</v>
      </c>
      <c r="AN59" s="262" t="s">
        <v>373</v>
      </c>
      <c r="AO59" s="184" t="s">
        <v>312</v>
      </c>
      <c r="AP59" s="262" t="s">
        <v>373</v>
      </c>
      <c r="AQ59" s="262" t="s">
        <v>373</v>
      </c>
      <c r="AR59" s="262" t="s">
        <v>373</v>
      </c>
      <c r="AS59" s="184" t="s">
        <v>312</v>
      </c>
      <c r="AT59" s="262" t="s">
        <v>373</v>
      </c>
      <c r="AU59" s="262" t="s">
        <v>373</v>
      </c>
      <c r="AV59" s="262" t="s">
        <v>373</v>
      </c>
      <c r="AW59" s="262" t="s">
        <v>373</v>
      </c>
      <c r="AX59" s="184" t="s">
        <v>312</v>
      </c>
      <c r="AY59" s="262" t="s">
        <v>373</v>
      </c>
      <c r="AZ59" s="262" t="s">
        <v>373</v>
      </c>
      <c r="BA59" s="262" t="s">
        <v>373</v>
      </c>
      <c r="BB59" s="262" t="s">
        <v>373</v>
      </c>
      <c r="BC59" s="184" t="s">
        <v>312</v>
      </c>
      <c r="BD59" s="262" t="s">
        <v>373</v>
      </c>
      <c r="BE59" s="262" t="s">
        <v>373</v>
      </c>
      <c r="BF59" s="262" t="s">
        <v>373</v>
      </c>
      <c r="BG59" s="262" t="s">
        <v>373</v>
      </c>
      <c r="BH59" s="262" t="s">
        <v>373</v>
      </c>
      <c r="BI59" s="262" t="s">
        <v>373</v>
      </c>
      <c r="BJ59" s="262" t="s">
        <v>373</v>
      </c>
      <c r="BK59" s="184" t="s">
        <v>312</v>
      </c>
      <c r="BL59" s="262" t="s">
        <v>373</v>
      </c>
      <c r="BM59" s="262" t="s">
        <v>373</v>
      </c>
      <c r="BN59" s="262" t="s">
        <v>373</v>
      </c>
      <c r="BO59" s="262" t="s">
        <v>373</v>
      </c>
      <c r="BP59" s="184" t="s">
        <v>312</v>
      </c>
      <c r="BQ59" s="262" t="s">
        <v>373</v>
      </c>
      <c r="BR59" s="262" t="s">
        <v>373</v>
      </c>
      <c r="BS59" s="262" t="s">
        <v>373</v>
      </c>
    </row>
    <row r="60" spans="2:71" s="16" customFormat="1" ht="35.25" customHeight="1" x14ac:dyDescent="0.25">
      <c r="B60" s="198" t="s">
        <v>69</v>
      </c>
      <c r="C60" s="154" t="s">
        <v>17</v>
      </c>
      <c r="D60" s="172">
        <v>6073014400</v>
      </c>
      <c r="E60" s="172">
        <v>3523</v>
      </c>
      <c r="F60" s="172">
        <v>57</v>
      </c>
      <c r="G60" s="172">
        <v>79</v>
      </c>
      <c r="H60" s="172">
        <v>39.22</v>
      </c>
      <c r="I60" s="281">
        <v>3</v>
      </c>
      <c r="J60" s="281">
        <v>3</v>
      </c>
      <c r="K60" s="281">
        <v>2.5</v>
      </c>
      <c r="L60" s="281">
        <v>3</v>
      </c>
      <c r="M60" s="281">
        <v>1</v>
      </c>
      <c r="N60" s="281">
        <v>1</v>
      </c>
      <c r="O60" s="281">
        <v>2</v>
      </c>
      <c r="P60" s="281">
        <v>3</v>
      </c>
      <c r="Q60" s="281">
        <v>2</v>
      </c>
      <c r="R60" s="184">
        <v>0</v>
      </c>
      <c r="S60" s="262">
        <v>3</v>
      </c>
      <c r="T60" s="262">
        <v>5</v>
      </c>
      <c r="U60" s="262" t="s">
        <v>311</v>
      </c>
      <c r="V60" s="262">
        <v>3</v>
      </c>
      <c r="W60" s="262" t="s">
        <v>311</v>
      </c>
      <c r="X60" s="184" t="s">
        <v>312</v>
      </c>
      <c r="Y60" s="262" t="s">
        <v>311</v>
      </c>
      <c r="Z60" s="184" t="s">
        <v>312</v>
      </c>
      <c r="AA60" s="262">
        <v>1</v>
      </c>
      <c r="AB60" s="262">
        <v>3600000</v>
      </c>
      <c r="AC60" s="262">
        <v>1</v>
      </c>
      <c r="AD60" s="262" t="s">
        <v>608</v>
      </c>
      <c r="AE60" s="262">
        <v>3</v>
      </c>
      <c r="AF60" s="184" t="s">
        <v>312</v>
      </c>
      <c r="AG60" s="262">
        <v>1</v>
      </c>
      <c r="AH60" s="262">
        <v>1</v>
      </c>
      <c r="AI60" s="262">
        <v>0</v>
      </c>
      <c r="AJ60" s="262">
        <v>3</v>
      </c>
      <c r="AK60" s="184" t="s">
        <v>312</v>
      </c>
      <c r="AL60" s="262">
        <v>3</v>
      </c>
      <c r="AM60" s="184" t="s">
        <v>312</v>
      </c>
      <c r="AN60" s="262" t="s">
        <v>311</v>
      </c>
      <c r="AO60" s="184" t="s">
        <v>312</v>
      </c>
      <c r="AP60" s="262">
        <v>5</v>
      </c>
      <c r="AQ60" s="262">
        <v>5</v>
      </c>
      <c r="AR60" s="262">
        <v>5</v>
      </c>
      <c r="AS60" s="184" t="s">
        <v>312</v>
      </c>
      <c r="AT60" s="262">
        <v>5</v>
      </c>
      <c r="AU60" s="262">
        <v>1</v>
      </c>
      <c r="AV60" s="262">
        <v>1</v>
      </c>
      <c r="AW60" s="262">
        <v>5</v>
      </c>
      <c r="AX60" s="184" t="s">
        <v>312</v>
      </c>
      <c r="AY60" s="262">
        <v>3</v>
      </c>
      <c r="AZ60" s="262" t="s">
        <v>311</v>
      </c>
      <c r="BA60" s="262" t="s">
        <v>311</v>
      </c>
      <c r="BB60" s="262">
        <v>3</v>
      </c>
      <c r="BC60" s="184" t="s">
        <v>312</v>
      </c>
      <c r="BD60" s="262">
        <v>3</v>
      </c>
      <c r="BE60" s="262">
        <v>3</v>
      </c>
      <c r="BF60" s="262" t="s">
        <v>542</v>
      </c>
      <c r="BG60" s="262" t="s">
        <v>27</v>
      </c>
      <c r="BH60" s="262" t="s">
        <v>547</v>
      </c>
      <c r="BI60" s="262" t="s">
        <v>658</v>
      </c>
      <c r="BJ60" s="262">
        <v>3</v>
      </c>
      <c r="BK60" s="184" t="s">
        <v>312</v>
      </c>
      <c r="BL60" s="262">
        <v>5</v>
      </c>
      <c r="BM60" s="262">
        <v>3</v>
      </c>
      <c r="BN60" s="262">
        <v>3</v>
      </c>
      <c r="BO60" s="262">
        <v>5</v>
      </c>
      <c r="BP60" s="184" t="s">
        <v>312</v>
      </c>
      <c r="BQ60" s="262">
        <v>2</v>
      </c>
      <c r="BR60" s="262" t="s">
        <v>610</v>
      </c>
      <c r="BS60" s="262" t="s">
        <v>557</v>
      </c>
    </row>
    <row r="61" spans="2:71" s="16" customFormat="1" ht="35.25" customHeight="1" x14ac:dyDescent="0.25">
      <c r="B61" s="198" t="s">
        <v>299</v>
      </c>
      <c r="C61" s="154" t="s">
        <v>12</v>
      </c>
      <c r="D61" s="172">
        <v>6073008350</v>
      </c>
      <c r="E61" s="172">
        <v>6493</v>
      </c>
      <c r="F61" s="172">
        <v>79</v>
      </c>
      <c r="G61" s="172">
        <v>19</v>
      </c>
      <c r="H61" s="172">
        <v>19.690000000000001</v>
      </c>
      <c r="I61" s="281">
        <v>1.5</v>
      </c>
      <c r="J61" s="281">
        <v>3</v>
      </c>
      <c r="K61" s="281">
        <v>2.5</v>
      </c>
      <c r="L61" s="281">
        <v>3</v>
      </c>
      <c r="M61" s="281">
        <v>3</v>
      </c>
      <c r="N61" s="281">
        <v>1</v>
      </c>
      <c r="O61" s="281">
        <v>2</v>
      </c>
      <c r="P61" s="281">
        <v>3</v>
      </c>
      <c r="Q61" s="281">
        <v>3</v>
      </c>
      <c r="R61" s="184">
        <v>0</v>
      </c>
      <c r="S61" s="262">
        <v>5</v>
      </c>
      <c r="T61" s="262">
        <v>5</v>
      </c>
      <c r="U61" s="262">
        <v>4</v>
      </c>
      <c r="V61" s="262">
        <v>3</v>
      </c>
      <c r="W61" s="262">
        <v>3</v>
      </c>
      <c r="X61" s="184" t="s">
        <v>312</v>
      </c>
      <c r="Y61" s="262">
        <v>4</v>
      </c>
      <c r="Z61" s="184" t="s">
        <v>312</v>
      </c>
      <c r="AA61" s="262">
        <v>1</v>
      </c>
      <c r="AB61" s="262">
        <v>2696078</v>
      </c>
      <c r="AC61" s="262">
        <v>5</v>
      </c>
      <c r="AD61" s="262" t="s">
        <v>541</v>
      </c>
      <c r="AE61" s="262">
        <v>3</v>
      </c>
      <c r="AF61" s="184" t="s">
        <v>312</v>
      </c>
      <c r="AG61" s="262">
        <v>4</v>
      </c>
      <c r="AH61" s="262">
        <v>5</v>
      </c>
      <c r="AI61" s="262">
        <v>0</v>
      </c>
      <c r="AJ61" s="262">
        <v>2</v>
      </c>
      <c r="AK61" s="184" t="s">
        <v>312</v>
      </c>
      <c r="AL61" s="262">
        <v>4</v>
      </c>
      <c r="AM61" s="184" t="s">
        <v>312</v>
      </c>
      <c r="AN61" s="262">
        <v>4</v>
      </c>
      <c r="AO61" s="184" t="s">
        <v>312</v>
      </c>
      <c r="AP61" s="262">
        <v>4</v>
      </c>
      <c r="AQ61" s="262">
        <v>4</v>
      </c>
      <c r="AR61" s="262">
        <v>5</v>
      </c>
      <c r="AS61" s="184" t="s">
        <v>312</v>
      </c>
      <c r="AT61" s="262">
        <v>5</v>
      </c>
      <c r="AU61" s="262">
        <v>1</v>
      </c>
      <c r="AV61" s="262">
        <v>1</v>
      </c>
      <c r="AW61" s="262">
        <v>3</v>
      </c>
      <c r="AX61" s="184" t="s">
        <v>312</v>
      </c>
      <c r="AY61" s="262">
        <v>3</v>
      </c>
      <c r="AZ61" s="262" t="s">
        <v>311</v>
      </c>
      <c r="BA61" s="262" t="s">
        <v>311</v>
      </c>
      <c r="BB61" s="262">
        <v>5</v>
      </c>
      <c r="BC61" s="184" t="s">
        <v>312</v>
      </c>
      <c r="BD61" s="262">
        <v>3</v>
      </c>
      <c r="BE61" s="262">
        <v>3</v>
      </c>
      <c r="BF61" s="262" t="s">
        <v>542</v>
      </c>
      <c r="BG61" s="262" t="s">
        <v>27</v>
      </c>
      <c r="BH61" s="262" t="s">
        <v>547</v>
      </c>
      <c r="BI61" s="262" t="s">
        <v>557</v>
      </c>
      <c r="BJ61" s="262">
        <v>3</v>
      </c>
      <c r="BK61" s="184" t="s">
        <v>312</v>
      </c>
      <c r="BL61" s="262" t="s">
        <v>311</v>
      </c>
      <c r="BM61" s="262" t="s">
        <v>311</v>
      </c>
      <c r="BN61" s="262">
        <v>3</v>
      </c>
      <c r="BO61" s="262">
        <v>3</v>
      </c>
      <c r="BP61" s="184" t="s">
        <v>312</v>
      </c>
      <c r="BQ61" s="262">
        <v>3</v>
      </c>
      <c r="BR61" s="262" t="s">
        <v>557</v>
      </c>
      <c r="BS61" s="262" t="s">
        <v>557</v>
      </c>
    </row>
    <row r="62" spans="2:71" s="16" customFormat="1" ht="35.25" customHeight="1" x14ac:dyDescent="0.25">
      <c r="B62" s="198" t="s">
        <v>300</v>
      </c>
      <c r="C62" s="154" t="s">
        <v>12</v>
      </c>
      <c r="D62" s="172">
        <v>6073008350</v>
      </c>
      <c r="E62" s="172">
        <v>6493</v>
      </c>
      <c r="F62" s="172">
        <v>79</v>
      </c>
      <c r="G62" s="172">
        <v>19</v>
      </c>
      <c r="H62" s="172">
        <v>19.690000000000001</v>
      </c>
      <c r="I62" s="281">
        <v>1.5</v>
      </c>
      <c r="J62" s="281">
        <v>3</v>
      </c>
      <c r="K62" s="281">
        <v>2.5</v>
      </c>
      <c r="L62" s="281">
        <v>3</v>
      </c>
      <c r="M62" s="281">
        <v>3</v>
      </c>
      <c r="N62" s="281">
        <v>1</v>
      </c>
      <c r="O62" s="281">
        <v>2</v>
      </c>
      <c r="P62" s="281">
        <v>3</v>
      </c>
      <c r="Q62" s="281">
        <v>3</v>
      </c>
      <c r="R62" s="184">
        <v>0</v>
      </c>
      <c r="S62" s="262">
        <v>5</v>
      </c>
      <c r="T62" s="262">
        <v>5</v>
      </c>
      <c r="U62" s="262">
        <v>4</v>
      </c>
      <c r="V62" s="262">
        <v>3</v>
      </c>
      <c r="W62" s="262">
        <v>3</v>
      </c>
      <c r="X62" s="184" t="s">
        <v>312</v>
      </c>
      <c r="Y62" s="262">
        <v>4</v>
      </c>
      <c r="Z62" s="184" t="s">
        <v>312</v>
      </c>
      <c r="AA62" s="262">
        <v>1</v>
      </c>
      <c r="AB62" s="262">
        <v>4149830</v>
      </c>
      <c r="AC62" s="262">
        <v>5</v>
      </c>
      <c r="AD62" s="262" t="s">
        <v>541</v>
      </c>
      <c r="AE62" s="262">
        <v>3</v>
      </c>
      <c r="AF62" s="184" t="s">
        <v>312</v>
      </c>
      <c r="AG62" s="262">
        <v>4</v>
      </c>
      <c r="AH62" s="262">
        <v>5</v>
      </c>
      <c r="AI62" s="262">
        <v>0</v>
      </c>
      <c r="AJ62" s="262">
        <v>2</v>
      </c>
      <c r="AK62" s="184" t="s">
        <v>312</v>
      </c>
      <c r="AL62" s="262">
        <v>4</v>
      </c>
      <c r="AM62" s="184" t="s">
        <v>312</v>
      </c>
      <c r="AN62" s="262">
        <v>4</v>
      </c>
      <c r="AO62" s="184" t="s">
        <v>312</v>
      </c>
      <c r="AP62" s="262">
        <v>4</v>
      </c>
      <c r="AQ62" s="262">
        <v>4</v>
      </c>
      <c r="AR62" s="262">
        <v>5</v>
      </c>
      <c r="AS62" s="184" t="s">
        <v>312</v>
      </c>
      <c r="AT62" s="262">
        <v>5</v>
      </c>
      <c r="AU62" s="262">
        <v>1</v>
      </c>
      <c r="AV62" s="262">
        <v>1</v>
      </c>
      <c r="AW62" s="262">
        <v>3</v>
      </c>
      <c r="AX62" s="184" t="s">
        <v>312</v>
      </c>
      <c r="AY62" s="262">
        <v>3</v>
      </c>
      <c r="AZ62" s="262" t="s">
        <v>311</v>
      </c>
      <c r="BA62" s="262" t="s">
        <v>311</v>
      </c>
      <c r="BB62" s="262">
        <v>5</v>
      </c>
      <c r="BC62" s="184" t="s">
        <v>312</v>
      </c>
      <c r="BD62" s="262">
        <v>3</v>
      </c>
      <c r="BE62" s="262">
        <v>3</v>
      </c>
      <c r="BF62" s="262" t="s">
        <v>542</v>
      </c>
      <c r="BG62" s="262" t="s">
        <v>27</v>
      </c>
      <c r="BH62" s="262" t="s">
        <v>547</v>
      </c>
      <c r="BI62" s="262" t="s">
        <v>557</v>
      </c>
      <c r="BJ62" s="262">
        <v>3</v>
      </c>
      <c r="BK62" s="184" t="s">
        <v>312</v>
      </c>
      <c r="BL62" s="262" t="s">
        <v>311</v>
      </c>
      <c r="BM62" s="262" t="s">
        <v>311</v>
      </c>
      <c r="BN62" s="262">
        <v>3</v>
      </c>
      <c r="BO62" s="262">
        <v>3</v>
      </c>
      <c r="BP62" s="184" t="s">
        <v>312</v>
      </c>
      <c r="BQ62" s="262">
        <v>3</v>
      </c>
      <c r="BR62" s="262" t="s">
        <v>557</v>
      </c>
      <c r="BS62" s="262" t="s">
        <v>557</v>
      </c>
    </row>
    <row r="63" spans="2:71" s="16" customFormat="1" ht="35.25" customHeight="1" x14ac:dyDescent="0.25">
      <c r="B63" s="198" t="s">
        <v>51</v>
      </c>
      <c r="C63" s="154" t="s">
        <v>12</v>
      </c>
      <c r="D63" s="172">
        <v>6073013506</v>
      </c>
      <c r="E63" s="172">
        <v>3509</v>
      </c>
      <c r="F63" s="172">
        <v>21</v>
      </c>
      <c r="G63" s="172">
        <v>26</v>
      </c>
      <c r="H63" s="172">
        <v>13.47</v>
      </c>
      <c r="I63" s="281">
        <v>1.5</v>
      </c>
      <c r="J63" s="281">
        <v>3</v>
      </c>
      <c r="K63" s="281">
        <v>2.5</v>
      </c>
      <c r="L63" s="281">
        <v>3</v>
      </c>
      <c r="M63" s="281">
        <v>3</v>
      </c>
      <c r="N63" s="281">
        <v>2</v>
      </c>
      <c r="O63" s="281">
        <v>2</v>
      </c>
      <c r="P63" s="281">
        <v>3</v>
      </c>
      <c r="Q63" s="281">
        <v>3</v>
      </c>
      <c r="R63" s="184">
        <v>0</v>
      </c>
      <c r="S63" s="262">
        <v>5</v>
      </c>
      <c r="T63" s="262">
        <v>3</v>
      </c>
      <c r="U63" s="262" t="s">
        <v>311</v>
      </c>
      <c r="V63" s="262">
        <v>3</v>
      </c>
      <c r="W63" s="262">
        <v>3</v>
      </c>
      <c r="X63" s="184" t="s">
        <v>312</v>
      </c>
      <c r="Y63" s="262">
        <v>5</v>
      </c>
      <c r="Z63" s="184" t="s">
        <v>312</v>
      </c>
      <c r="AA63" s="262">
        <v>3</v>
      </c>
      <c r="AB63" s="262" t="s">
        <v>552</v>
      </c>
      <c r="AC63" s="262">
        <v>3</v>
      </c>
      <c r="AD63" s="262" t="s">
        <v>546</v>
      </c>
      <c r="AE63" s="262">
        <v>3</v>
      </c>
      <c r="AF63" s="184" t="s">
        <v>312</v>
      </c>
      <c r="AG63" s="262">
        <v>3</v>
      </c>
      <c r="AH63" s="262">
        <v>5</v>
      </c>
      <c r="AI63" s="262">
        <v>0</v>
      </c>
      <c r="AJ63" s="262">
        <v>3</v>
      </c>
      <c r="AK63" s="184" t="s">
        <v>312</v>
      </c>
      <c r="AL63" s="262">
        <v>2</v>
      </c>
      <c r="AM63" s="184" t="s">
        <v>312</v>
      </c>
      <c r="AN63" s="262">
        <v>2</v>
      </c>
      <c r="AO63" s="184" t="s">
        <v>312</v>
      </c>
      <c r="AP63" s="262">
        <v>3</v>
      </c>
      <c r="AQ63" s="262">
        <v>3</v>
      </c>
      <c r="AR63" s="262">
        <v>3</v>
      </c>
      <c r="AS63" s="184" t="s">
        <v>312</v>
      </c>
      <c r="AT63" s="262">
        <v>3</v>
      </c>
      <c r="AU63" s="262">
        <v>3</v>
      </c>
      <c r="AV63" s="262">
        <v>1</v>
      </c>
      <c r="AW63" s="262">
        <v>3</v>
      </c>
      <c r="AX63" s="184" t="s">
        <v>312</v>
      </c>
      <c r="AY63" s="262">
        <v>3</v>
      </c>
      <c r="AZ63" s="262" t="s">
        <v>311</v>
      </c>
      <c r="BA63" s="262" t="s">
        <v>311</v>
      </c>
      <c r="BB63" s="262">
        <v>3</v>
      </c>
      <c r="BC63" s="184" t="s">
        <v>312</v>
      </c>
      <c r="BD63" s="262">
        <v>3</v>
      </c>
      <c r="BE63" s="262">
        <v>3</v>
      </c>
      <c r="BF63" s="262" t="s">
        <v>542</v>
      </c>
      <c r="BG63" s="262" t="s">
        <v>27</v>
      </c>
      <c r="BH63" s="262" t="s">
        <v>311</v>
      </c>
      <c r="BI63" s="262" t="s">
        <v>311</v>
      </c>
      <c r="BJ63" s="262">
        <v>3</v>
      </c>
      <c r="BK63" s="184" t="s">
        <v>312</v>
      </c>
      <c r="BL63" s="262">
        <v>3</v>
      </c>
      <c r="BM63" s="262">
        <v>3</v>
      </c>
      <c r="BN63" s="262">
        <v>3</v>
      </c>
      <c r="BO63" s="262">
        <v>3</v>
      </c>
      <c r="BP63" s="184" t="s">
        <v>312</v>
      </c>
      <c r="BQ63" s="262">
        <v>3</v>
      </c>
      <c r="BR63" s="262" t="s">
        <v>311</v>
      </c>
      <c r="BS63" s="262" t="s">
        <v>311</v>
      </c>
    </row>
    <row r="64" spans="2:71" s="16" customFormat="1" ht="35.25" customHeight="1" x14ac:dyDescent="0.25">
      <c r="B64" s="198" t="s">
        <v>331</v>
      </c>
      <c r="C64" s="154" t="s">
        <v>12</v>
      </c>
      <c r="D64" s="172">
        <v>6073020018</v>
      </c>
      <c r="E64" s="172">
        <v>7708</v>
      </c>
      <c r="F64" s="172">
        <v>86</v>
      </c>
      <c r="G64" s="172">
        <v>45</v>
      </c>
      <c r="H64" s="172">
        <v>33.58</v>
      </c>
      <c r="I64" s="281">
        <v>3</v>
      </c>
      <c r="J64" s="281">
        <v>3</v>
      </c>
      <c r="K64" s="281">
        <v>2.5</v>
      </c>
      <c r="L64" s="281">
        <v>3</v>
      </c>
      <c r="M64" s="281">
        <v>3</v>
      </c>
      <c r="N64" s="281">
        <v>1</v>
      </c>
      <c r="O64" s="281">
        <v>1</v>
      </c>
      <c r="P64" s="281">
        <v>3</v>
      </c>
      <c r="Q64" s="281">
        <v>3</v>
      </c>
      <c r="R64" s="184">
        <v>0</v>
      </c>
      <c r="S64" s="262">
        <v>5</v>
      </c>
      <c r="T64" s="262">
        <v>5</v>
      </c>
      <c r="U64" s="262">
        <v>5</v>
      </c>
      <c r="V64" s="262">
        <v>3</v>
      </c>
      <c r="W64" s="262">
        <v>5</v>
      </c>
      <c r="X64" s="184" t="s">
        <v>312</v>
      </c>
      <c r="Y64" s="262">
        <v>5</v>
      </c>
      <c r="Z64" s="184" t="s">
        <v>312</v>
      </c>
      <c r="AA64" s="262">
        <v>1</v>
      </c>
      <c r="AB64" s="262" t="s">
        <v>591</v>
      </c>
      <c r="AC64" s="262">
        <v>3</v>
      </c>
      <c r="AD64" s="262" t="s">
        <v>590</v>
      </c>
      <c r="AE64" s="262">
        <v>3</v>
      </c>
      <c r="AF64" s="184" t="s">
        <v>312</v>
      </c>
      <c r="AG64" s="262">
        <v>3</v>
      </c>
      <c r="AH64" s="262">
        <v>5</v>
      </c>
      <c r="AI64" s="262">
        <v>0</v>
      </c>
      <c r="AJ64" s="262">
        <v>5</v>
      </c>
      <c r="AK64" s="184" t="s">
        <v>312</v>
      </c>
      <c r="AL64" s="262">
        <v>5</v>
      </c>
      <c r="AM64" s="184" t="s">
        <v>312</v>
      </c>
      <c r="AN64" s="262">
        <v>2</v>
      </c>
      <c r="AO64" s="184" t="s">
        <v>312</v>
      </c>
      <c r="AP64" s="262">
        <v>5</v>
      </c>
      <c r="AQ64" s="262">
        <v>5</v>
      </c>
      <c r="AR64" s="262">
        <v>5</v>
      </c>
      <c r="AS64" s="184" t="s">
        <v>312</v>
      </c>
      <c r="AT64" s="262">
        <v>3</v>
      </c>
      <c r="AU64" s="262" t="s">
        <v>311</v>
      </c>
      <c r="AV64" s="262">
        <v>1</v>
      </c>
      <c r="AW64" s="262">
        <v>3</v>
      </c>
      <c r="AX64" s="184" t="s">
        <v>312</v>
      </c>
      <c r="AY64" s="262">
        <v>5</v>
      </c>
      <c r="AZ64" s="262">
        <v>5</v>
      </c>
      <c r="BA64" s="262">
        <v>3</v>
      </c>
      <c r="BB64" s="262">
        <v>5</v>
      </c>
      <c r="BC64" s="184" t="s">
        <v>312</v>
      </c>
      <c r="BD64" s="262">
        <v>3</v>
      </c>
      <c r="BE64" s="262">
        <v>3</v>
      </c>
      <c r="BF64" s="262" t="s">
        <v>542</v>
      </c>
      <c r="BG64" s="262" t="s">
        <v>27</v>
      </c>
      <c r="BH64" s="262" t="s">
        <v>311</v>
      </c>
      <c r="BI64" s="262" t="s">
        <v>591</v>
      </c>
      <c r="BJ64" s="262">
        <v>3</v>
      </c>
      <c r="BK64" s="184" t="s">
        <v>312</v>
      </c>
      <c r="BL64" s="262">
        <v>3</v>
      </c>
      <c r="BM64" s="262">
        <v>3</v>
      </c>
      <c r="BN64" s="262">
        <v>5</v>
      </c>
      <c r="BO64" s="262">
        <v>5</v>
      </c>
      <c r="BP64" s="184" t="s">
        <v>312</v>
      </c>
      <c r="BQ64" s="262">
        <v>4</v>
      </c>
      <c r="BR64" s="262">
        <v>0</v>
      </c>
      <c r="BS64" s="262" t="s">
        <v>561</v>
      </c>
    </row>
    <row r="65" spans="2:71" s="16" customFormat="1" ht="35.25" customHeight="1" x14ac:dyDescent="0.25">
      <c r="B65" s="198" t="s">
        <v>301</v>
      </c>
      <c r="C65" s="154" t="s">
        <v>12</v>
      </c>
      <c r="D65" s="172">
        <v>6073019106</v>
      </c>
      <c r="E65" s="172">
        <v>9131</v>
      </c>
      <c r="F65" s="172">
        <v>25</v>
      </c>
      <c r="G65" s="172">
        <v>28</v>
      </c>
      <c r="H65" s="172">
        <v>14.66</v>
      </c>
      <c r="I65" s="281">
        <v>1</v>
      </c>
      <c r="J65" s="281">
        <v>3</v>
      </c>
      <c r="K65" s="281">
        <v>2.5</v>
      </c>
      <c r="L65" s="281">
        <v>3</v>
      </c>
      <c r="M65" s="281">
        <v>3</v>
      </c>
      <c r="N65" s="281">
        <v>2</v>
      </c>
      <c r="O65" s="281">
        <v>1</v>
      </c>
      <c r="P65" s="281">
        <v>3</v>
      </c>
      <c r="Q65" s="281">
        <v>3</v>
      </c>
      <c r="R65" s="184">
        <v>0</v>
      </c>
      <c r="S65" s="262" t="s">
        <v>373</v>
      </c>
      <c r="T65" s="262" t="s">
        <v>373</v>
      </c>
      <c r="U65" s="262" t="s">
        <v>373</v>
      </c>
      <c r="V65" s="262" t="s">
        <v>373</v>
      </c>
      <c r="W65" s="262" t="s">
        <v>373</v>
      </c>
      <c r="X65" s="184" t="s">
        <v>312</v>
      </c>
      <c r="Y65" s="262" t="s">
        <v>373</v>
      </c>
      <c r="Z65" s="184" t="s">
        <v>312</v>
      </c>
      <c r="AA65" s="262" t="s">
        <v>373</v>
      </c>
      <c r="AB65" s="262" t="s">
        <v>373</v>
      </c>
      <c r="AC65" s="262" t="s">
        <v>373</v>
      </c>
      <c r="AD65" s="262" t="s">
        <v>373</v>
      </c>
      <c r="AE65" s="262" t="s">
        <v>373</v>
      </c>
      <c r="AF65" s="184" t="s">
        <v>312</v>
      </c>
      <c r="AG65" s="262" t="s">
        <v>373</v>
      </c>
      <c r="AH65" s="262" t="s">
        <v>373</v>
      </c>
      <c r="AI65" s="262" t="s">
        <v>373</v>
      </c>
      <c r="AJ65" s="262" t="s">
        <v>373</v>
      </c>
      <c r="AK65" s="184" t="s">
        <v>312</v>
      </c>
      <c r="AL65" s="262" t="s">
        <v>373</v>
      </c>
      <c r="AM65" s="184" t="s">
        <v>312</v>
      </c>
      <c r="AN65" s="262" t="s">
        <v>373</v>
      </c>
      <c r="AO65" s="184" t="s">
        <v>312</v>
      </c>
      <c r="AP65" s="262" t="s">
        <v>373</v>
      </c>
      <c r="AQ65" s="262" t="s">
        <v>373</v>
      </c>
      <c r="AR65" s="262" t="s">
        <v>373</v>
      </c>
      <c r="AS65" s="184" t="s">
        <v>312</v>
      </c>
      <c r="AT65" s="262" t="s">
        <v>373</v>
      </c>
      <c r="AU65" s="262" t="s">
        <v>373</v>
      </c>
      <c r="AV65" s="262" t="s">
        <v>373</v>
      </c>
      <c r="AW65" s="262" t="s">
        <v>373</v>
      </c>
      <c r="AX65" s="184" t="s">
        <v>312</v>
      </c>
      <c r="AY65" s="262" t="s">
        <v>373</v>
      </c>
      <c r="AZ65" s="262" t="s">
        <v>373</v>
      </c>
      <c r="BA65" s="262" t="s">
        <v>373</v>
      </c>
      <c r="BB65" s="262" t="s">
        <v>373</v>
      </c>
      <c r="BC65" s="184" t="s">
        <v>312</v>
      </c>
      <c r="BD65" s="262" t="s">
        <v>373</v>
      </c>
      <c r="BE65" s="262" t="s">
        <v>373</v>
      </c>
      <c r="BF65" s="262" t="s">
        <v>373</v>
      </c>
      <c r="BG65" s="262" t="s">
        <v>373</v>
      </c>
      <c r="BH65" s="262" t="s">
        <v>373</v>
      </c>
      <c r="BI65" s="262" t="s">
        <v>373</v>
      </c>
      <c r="BJ65" s="262" t="s">
        <v>373</v>
      </c>
      <c r="BK65" s="184" t="s">
        <v>312</v>
      </c>
      <c r="BL65" s="262" t="s">
        <v>373</v>
      </c>
      <c r="BM65" s="262" t="s">
        <v>373</v>
      </c>
      <c r="BN65" s="262" t="s">
        <v>373</v>
      </c>
      <c r="BO65" s="262" t="s">
        <v>373</v>
      </c>
      <c r="BP65" s="184" t="s">
        <v>312</v>
      </c>
      <c r="BQ65" s="262" t="s">
        <v>373</v>
      </c>
      <c r="BR65" s="262" t="s">
        <v>373</v>
      </c>
      <c r="BS65" s="262" t="s">
        <v>373</v>
      </c>
    </row>
    <row r="66" spans="2:71" s="16" customFormat="1" ht="35.25" customHeight="1" x14ac:dyDescent="0.25">
      <c r="B66" s="198" t="s">
        <v>294</v>
      </c>
      <c r="C66" s="154" t="s">
        <v>12</v>
      </c>
      <c r="D66" s="172">
        <v>6073018700</v>
      </c>
      <c r="E66" s="172">
        <v>37452</v>
      </c>
      <c r="F66" s="172">
        <v>93</v>
      </c>
      <c r="G66" s="172">
        <v>24</v>
      </c>
      <c r="H66" s="172">
        <v>26.04</v>
      </c>
      <c r="I66" s="281">
        <v>1</v>
      </c>
      <c r="J66" s="281">
        <v>3</v>
      </c>
      <c r="K66" s="281">
        <v>3</v>
      </c>
      <c r="L66" s="281">
        <v>3</v>
      </c>
      <c r="M66" s="281">
        <v>3</v>
      </c>
      <c r="N66" s="281">
        <v>1</v>
      </c>
      <c r="O66" s="281">
        <v>2</v>
      </c>
      <c r="P66" s="281">
        <v>3</v>
      </c>
      <c r="Q66" s="281">
        <v>3</v>
      </c>
      <c r="R66" s="184">
        <v>0</v>
      </c>
      <c r="S66" s="262">
        <v>5</v>
      </c>
      <c r="T66" s="262">
        <v>2</v>
      </c>
      <c r="U66" s="262" t="s">
        <v>311</v>
      </c>
      <c r="V66" s="262">
        <v>3</v>
      </c>
      <c r="W66" s="262">
        <v>5</v>
      </c>
      <c r="X66" s="184" t="s">
        <v>312</v>
      </c>
      <c r="Y66" s="262">
        <v>5</v>
      </c>
      <c r="Z66" s="184" t="s">
        <v>312</v>
      </c>
      <c r="AA66" s="262">
        <v>3</v>
      </c>
      <c r="AB66" s="262" t="s">
        <v>592</v>
      </c>
      <c r="AC66" s="262">
        <v>5</v>
      </c>
      <c r="AD66" s="262" t="s">
        <v>541</v>
      </c>
      <c r="AE66" s="262">
        <v>1</v>
      </c>
      <c r="AF66" s="184" t="s">
        <v>312</v>
      </c>
      <c r="AG66" s="262">
        <v>2</v>
      </c>
      <c r="AH66" s="262">
        <v>4</v>
      </c>
      <c r="AI66" s="262">
        <v>0</v>
      </c>
      <c r="AJ66" s="262">
        <v>2</v>
      </c>
      <c r="AK66" s="184" t="s">
        <v>312</v>
      </c>
      <c r="AL66" s="262">
        <v>5</v>
      </c>
      <c r="AM66" s="184" t="s">
        <v>312</v>
      </c>
      <c r="AN66" s="262">
        <v>4</v>
      </c>
      <c r="AO66" s="184" t="s">
        <v>312</v>
      </c>
      <c r="AP66" s="262">
        <v>5</v>
      </c>
      <c r="AQ66" s="262">
        <v>5</v>
      </c>
      <c r="AR66" s="262">
        <v>5</v>
      </c>
      <c r="AS66" s="184" t="s">
        <v>312</v>
      </c>
      <c r="AT66" s="262">
        <v>5</v>
      </c>
      <c r="AU66" s="262">
        <v>3</v>
      </c>
      <c r="AV66" s="262">
        <v>1</v>
      </c>
      <c r="AW66" s="262">
        <v>3</v>
      </c>
      <c r="AX66" s="184" t="s">
        <v>312</v>
      </c>
      <c r="AY66" s="262">
        <v>3</v>
      </c>
      <c r="AZ66" s="262" t="s">
        <v>311</v>
      </c>
      <c r="BA66" s="262" t="s">
        <v>311</v>
      </c>
      <c r="BB66" s="262">
        <v>3</v>
      </c>
      <c r="BC66" s="184" t="s">
        <v>312</v>
      </c>
      <c r="BD66" s="262">
        <v>3</v>
      </c>
      <c r="BE66" s="262">
        <v>3</v>
      </c>
      <c r="BF66" s="262" t="s">
        <v>542</v>
      </c>
      <c r="BG66" s="262" t="s">
        <v>27</v>
      </c>
      <c r="BH66" s="262" t="s">
        <v>547</v>
      </c>
      <c r="BI66" s="262">
        <v>0</v>
      </c>
      <c r="BJ66" s="262">
        <v>3</v>
      </c>
      <c r="BK66" s="184" t="s">
        <v>312</v>
      </c>
      <c r="BL66" s="262" t="s">
        <v>311</v>
      </c>
      <c r="BM66" s="262" t="s">
        <v>311</v>
      </c>
      <c r="BN66" s="262">
        <v>3</v>
      </c>
      <c r="BO66" s="262">
        <v>3</v>
      </c>
      <c r="BP66" s="184" t="s">
        <v>312</v>
      </c>
      <c r="BQ66" s="262">
        <v>3</v>
      </c>
      <c r="BR66" s="262">
        <v>0</v>
      </c>
      <c r="BS66" s="262" t="s">
        <v>557</v>
      </c>
    </row>
    <row r="67" spans="2:71" s="16" customFormat="1" ht="35.25" customHeight="1" x14ac:dyDescent="0.25">
      <c r="B67" s="198" t="s">
        <v>42</v>
      </c>
      <c r="C67" s="154" t="s">
        <v>9</v>
      </c>
      <c r="D67" s="172">
        <v>6073010014</v>
      </c>
      <c r="E67" s="172">
        <v>17679</v>
      </c>
      <c r="F67" s="172">
        <v>86</v>
      </c>
      <c r="G67" s="172">
        <v>36</v>
      </c>
      <c r="H67" s="172">
        <v>29.49</v>
      </c>
      <c r="I67" s="281">
        <v>1.5</v>
      </c>
      <c r="J67" s="281">
        <v>3</v>
      </c>
      <c r="K67" s="281">
        <v>2.5</v>
      </c>
      <c r="L67" s="281">
        <v>3</v>
      </c>
      <c r="M67" s="281">
        <v>3</v>
      </c>
      <c r="N67" s="281">
        <v>1</v>
      </c>
      <c r="O67" s="281">
        <v>2</v>
      </c>
      <c r="P67" s="281">
        <v>3</v>
      </c>
      <c r="Q67" s="281">
        <v>3</v>
      </c>
      <c r="R67" s="184">
        <v>0</v>
      </c>
      <c r="S67" s="262">
        <v>5</v>
      </c>
      <c r="T67" s="262">
        <v>3</v>
      </c>
      <c r="U67" s="262" t="s">
        <v>311</v>
      </c>
      <c r="V67" s="262">
        <v>3</v>
      </c>
      <c r="W67" s="262">
        <v>4</v>
      </c>
      <c r="X67" s="184" t="s">
        <v>312</v>
      </c>
      <c r="Y67" s="262">
        <v>5</v>
      </c>
      <c r="Z67" s="184" t="s">
        <v>312</v>
      </c>
      <c r="AA67" s="262">
        <v>1</v>
      </c>
      <c r="AB67" s="262" t="s">
        <v>552</v>
      </c>
      <c r="AC67" s="262">
        <v>1</v>
      </c>
      <c r="AD67" s="262" t="s">
        <v>556</v>
      </c>
      <c r="AE67" s="262">
        <v>3</v>
      </c>
      <c r="AF67" s="184" t="s">
        <v>312</v>
      </c>
      <c r="AG67" s="262">
        <v>4</v>
      </c>
      <c r="AH67" s="262">
        <v>1</v>
      </c>
      <c r="AI67" s="262">
        <v>0</v>
      </c>
      <c r="AJ67" s="262">
        <v>3</v>
      </c>
      <c r="AK67" s="184" t="s">
        <v>312</v>
      </c>
      <c r="AL67" s="262">
        <v>1</v>
      </c>
      <c r="AM67" s="184" t="s">
        <v>312</v>
      </c>
      <c r="AN67" s="262">
        <v>2</v>
      </c>
      <c r="AO67" s="184" t="s">
        <v>312</v>
      </c>
      <c r="AP67" s="262">
        <v>3</v>
      </c>
      <c r="AQ67" s="262">
        <v>3</v>
      </c>
      <c r="AR67" s="262">
        <v>3</v>
      </c>
      <c r="AS67" s="184" t="s">
        <v>312</v>
      </c>
      <c r="AT67" s="262">
        <v>3</v>
      </c>
      <c r="AU67" s="262">
        <v>3</v>
      </c>
      <c r="AV67" s="262">
        <v>1</v>
      </c>
      <c r="AW67" s="262">
        <v>3</v>
      </c>
      <c r="AX67" s="184" t="s">
        <v>312</v>
      </c>
      <c r="AY67" s="262">
        <v>3</v>
      </c>
      <c r="AZ67" s="262" t="s">
        <v>311</v>
      </c>
      <c r="BA67" s="262" t="s">
        <v>311</v>
      </c>
      <c r="BB67" s="262">
        <v>3</v>
      </c>
      <c r="BC67" s="184" t="s">
        <v>312</v>
      </c>
      <c r="BD67" s="262">
        <v>3</v>
      </c>
      <c r="BE67" s="262">
        <v>3</v>
      </c>
      <c r="BF67" s="262" t="s">
        <v>542</v>
      </c>
      <c r="BG67" s="262" t="s">
        <v>27</v>
      </c>
      <c r="BH67" s="262" t="s">
        <v>311</v>
      </c>
      <c r="BI67" s="262" t="s">
        <v>311</v>
      </c>
      <c r="BJ67" s="262">
        <v>3</v>
      </c>
      <c r="BK67" s="184" t="s">
        <v>312</v>
      </c>
      <c r="BL67" s="262">
        <v>3</v>
      </c>
      <c r="BM67" s="262">
        <v>3</v>
      </c>
      <c r="BN67" s="262">
        <v>3</v>
      </c>
      <c r="BO67" s="262">
        <v>3</v>
      </c>
      <c r="BP67" s="184" t="s">
        <v>312</v>
      </c>
      <c r="BQ67" s="262">
        <v>3</v>
      </c>
      <c r="BR67" s="262" t="s">
        <v>311</v>
      </c>
      <c r="BS67" s="262" t="s">
        <v>311</v>
      </c>
    </row>
    <row r="68" spans="2:71" s="16" customFormat="1" ht="35.25" customHeight="1" x14ac:dyDescent="0.25">
      <c r="B68" s="198" t="s">
        <v>318</v>
      </c>
      <c r="C68" s="154" t="s">
        <v>9</v>
      </c>
      <c r="D68" s="172">
        <v>6073013314</v>
      </c>
      <c r="E68" s="172">
        <v>14837</v>
      </c>
      <c r="F68" s="172">
        <v>30</v>
      </c>
      <c r="G68" s="172">
        <v>25</v>
      </c>
      <c r="H68" s="172">
        <v>14.73</v>
      </c>
      <c r="I68" s="281">
        <v>1.5</v>
      </c>
      <c r="J68" s="281">
        <v>3</v>
      </c>
      <c r="K68" s="281">
        <v>1.5</v>
      </c>
      <c r="L68" s="281">
        <v>3</v>
      </c>
      <c r="M68" s="281">
        <v>3</v>
      </c>
      <c r="N68" s="281">
        <v>2</v>
      </c>
      <c r="O68" s="281">
        <v>1</v>
      </c>
      <c r="P68" s="281">
        <v>3</v>
      </c>
      <c r="Q68" s="281">
        <v>3</v>
      </c>
      <c r="R68" s="184">
        <v>0</v>
      </c>
      <c r="S68" s="262">
        <v>5</v>
      </c>
      <c r="T68" s="262">
        <v>5</v>
      </c>
      <c r="U68" s="262" t="s">
        <v>311</v>
      </c>
      <c r="V68" s="262">
        <v>3</v>
      </c>
      <c r="W68" s="262">
        <v>4</v>
      </c>
      <c r="X68" s="184" t="s">
        <v>312</v>
      </c>
      <c r="Y68" s="262">
        <v>5</v>
      </c>
      <c r="Z68" s="184" t="s">
        <v>312</v>
      </c>
      <c r="AA68" s="262" t="s">
        <v>311</v>
      </c>
      <c r="AB68" s="262" t="s">
        <v>311</v>
      </c>
      <c r="AC68" s="262" t="s">
        <v>311</v>
      </c>
      <c r="AD68" s="262" t="s">
        <v>557</v>
      </c>
      <c r="AE68" s="262">
        <v>3</v>
      </c>
      <c r="AF68" s="184" t="s">
        <v>312</v>
      </c>
      <c r="AG68" s="262">
        <v>4</v>
      </c>
      <c r="AH68" s="262">
        <v>5</v>
      </c>
      <c r="AI68" s="262">
        <v>0</v>
      </c>
      <c r="AJ68" s="262">
        <v>4</v>
      </c>
      <c r="AK68" s="184" t="s">
        <v>312</v>
      </c>
      <c r="AL68" s="262">
        <v>3</v>
      </c>
      <c r="AM68" s="184" t="s">
        <v>312</v>
      </c>
      <c r="AN68" s="262">
        <v>2</v>
      </c>
      <c r="AO68" s="184" t="s">
        <v>312</v>
      </c>
      <c r="AP68" s="262">
        <v>3</v>
      </c>
      <c r="AQ68" s="262">
        <v>3</v>
      </c>
      <c r="AR68" s="262">
        <v>3</v>
      </c>
      <c r="AS68" s="184" t="s">
        <v>312</v>
      </c>
      <c r="AT68" s="262">
        <v>3</v>
      </c>
      <c r="AU68" s="262">
        <v>1</v>
      </c>
      <c r="AV68" s="262">
        <v>1</v>
      </c>
      <c r="AW68" s="262">
        <v>3</v>
      </c>
      <c r="AX68" s="184" t="s">
        <v>312</v>
      </c>
      <c r="AY68" s="262">
        <v>3</v>
      </c>
      <c r="AZ68" s="262" t="s">
        <v>311</v>
      </c>
      <c r="BA68" s="262" t="s">
        <v>311</v>
      </c>
      <c r="BB68" s="262">
        <v>3</v>
      </c>
      <c r="BC68" s="184" t="s">
        <v>312</v>
      </c>
      <c r="BD68" s="262">
        <v>3</v>
      </c>
      <c r="BE68" s="262">
        <v>3</v>
      </c>
      <c r="BF68" s="262" t="s">
        <v>542</v>
      </c>
      <c r="BG68" s="262">
        <v>3</v>
      </c>
      <c r="BH68" s="262" t="s">
        <v>311</v>
      </c>
      <c r="BI68" s="262" t="s">
        <v>311</v>
      </c>
      <c r="BJ68" s="262">
        <v>3</v>
      </c>
      <c r="BK68" s="184" t="s">
        <v>312</v>
      </c>
      <c r="BL68" s="262">
        <v>3</v>
      </c>
      <c r="BM68" s="262">
        <v>5</v>
      </c>
      <c r="BN68" s="262" t="s">
        <v>311</v>
      </c>
      <c r="BO68" s="262" t="s">
        <v>311</v>
      </c>
      <c r="BP68" s="184" t="s">
        <v>312</v>
      </c>
      <c r="BQ68" s="262">
        <v>3</v>
      </c>
      <c r="BR68" s="262" t="s">
        <v>311</v>
      </c>
      <c r="BS68" s="262" t="s">
        <v>311</v>
      </c>
    </row>
    <row r="69" spans="2:71" s="16" customFormat="1" ht="35.25" customHeight="1" x14ac:dyDescent="0.25">
      <c r="B69" s="198" t="s">
        <v>370</v>
      </c>
      <c r="C69" s="154" t="s">
        <v>17</v>
      </c>
      <c r="D69" s="172">
        <v>6073014001</v>
      </c>
      <c r="E69" s="172">
        <v>4630</v>
      </c>
      <c r="F69" s="172">
        <v>31</v>
      </c>
      <c r="G69" s="172">
        <v>58</v>
      </c>
      <c r="H69" s="172">
        <v>24.52</v>
      </c>
      <c r="I69" s="281">
        <v>3</v>
      </c>
      <c r="J69" s="281">
        <v>3</v>
      </c>
      <c r="K69" s="281">
        <v>2.5</v>
      </c>
      <c r="L69" s="281">
        <v>3</v>
      </c>
      <c r="M69" s="281">
        <v>3</v>
      </c>
      <c r="N69" s="281">
        <v>1</v>
      </c>
      <c r="O69" s="281">
        <v>2</v>
      </c>
      <c r="P69" s="281">
        <v>3</v>
      </c>
      <c r="Q69" s="281">
        <v>2</v>
      </c>
      <c r="R69" s="184">
        <v>0</v>
      </c>
      <c r="S69" s="262">
        <v>3</v>
      </c>
      <c r="T69" s="262">
        <v>5</v>
      </c>
      <c r="U69" s="262" t="s">
        <v>311</v>
      </c>
      <c r="V69" s="262">
        <v>3</v>
      </c>
      <c r="W69" s="262" t="s">
        <v>311</v>
      </c>
      <c r="X69" s="184" t="s">
        <v>312</v>
      </c>
      <c r="Y69" s="262" t="s">
        <v>311</v>
      </c>
      <c r="Z69" s="184" t="s">
        <v>312</v>
      </c>
      <c r="AA69" s="262">
        <v>3</v>
      </c>
      <c r="AB69" s="262">
        <v>1887000</v>
      </c>
      <c r="AC69" s="262">
        <v>1</v>
      </c>
      <c r="AD69" s="262" t="s">
        <v>608</v>
      </c>
      <c r="AE69" s="262">
        <v>3</v>
      </c>
      <c r="AF69" s="184" t="s">
        <v>312</v>
      </c>
      <c r="AG69" s="262">
        <v>1</v>
      </c>
      <c r="AH69" s="262">
        <v>1</v>
      </c>
      <c r="AI69" s="262">
        <v>0</v>
      </c>
      <c r="AJ69" s="262">
        <v>3</v>
      </c>
      <c r="AK69" s="184" t="s">
        <v>312</v>
      </c>
      <c r="AL69" s="262">
        <v>3</v>
      </c>
      <c r="AM69" s="184" t="s">
        <v>312</v>
      </c>
      <c r="AN69" s="262" t="s">
        <v>311</v>
      </c>
      <c r="AO69" s="184" t="s">
        <v>312</v>
      </c>
      <c r="AP69" s="262">
        <v>5</v>
      </c>
      <c r="AQ69" s="262">
        <v>5</v>
      </c>
      <c r="AR69" s="262">
        <v>5</v>
      </c>
      <c r="AS69" s="184" t="s">
        <v>312</v>
      </c>
      <c r="AT69" s="262">
        <v>5</v>
      </c>
      <c r="AU69" s="262">
        <v>1</v>
      </c>
      <c r="AV69" s="262">
        <v>1</v>
      </c>
      <c r="AW69" s="262">
        <v>5</v>
      </c>
      <c r="AX69" s="184" t="s">
        <v>312</v>
      </c>
      <c r="AY69" s="262">
        <v>3</v>
      </c>
      <c r="AZ69" s="262" t="s">
        <v>311</v>
      </c>
      <c r="BA69" s="262" t="s">
        <v>311</v>
      </c>
      <c r="BB69" s="262">
        <v>3</v>
      </c>
      <c r="BC69" s="184" t="s">
        <v>312</v>
      </c>
      <c r="BD69" s="262">
        <v>3</v>
      </c>
      <c r="BE69" s="262">
        <v>3</v>
      </c>
      <c r="BF69" s="262" t="s">
        <v>542</v>
      </c>
      <c r="BG69" s="262" t="s">
        <v>27</v>
      </c>
      <c r="BH69" s="262" t="s">
        <v>547</v>
      </c>
      <c r="BI69" s="262" t="s">
        <v>659</v>
      </c>
      <c r="BJ69" s="262">
        <v>3</v>
      </c>
      <c r="BK69" s="184" t="s">
        <v>312</v>
      </c>
      <c r="BL69" s="262">
        <v>5</v>
      </c>
      <c r="BM69" s="262">
        <v>3</v>
      </c>
      <c r="BN69" s="262">
        <v>3</v>
      </c>
      <c r="BO69" s="262">
        <v>5</v>
      </c>
      <c r="BP69" s="184" t="s">
        <v>312</v>
      </c>
      <c r="BQ69" s="262">
        <v>2</v>
      </c>
      <c r="BR69" s="262" t="s">
        <v>610</v>
      </c>
      <c r="BS69" s="262" t="s">
        <v>557</v>
      </c>
    </row>
    <row r="70" spans="2:71" s="16" customFormat="1" ht="35.25" customHeight="1" x14ac:dyDescent="0.25">
      <c r="B70" s="198" t="s">
        <v>70</v>
      </c>
      <c r="C70" s="154" t="s">
        <v>17</v>
      </c>
      <c r="D70" s="172">
        <v>6073021900</v>
      </c>
      <c r="E70" s="172">
        <v>6816</v>
      </c>
      <c r="F70" s="172">
        <v>95</v>
      </c>
      <c r="G70" s="172">
        <v>66</v>
      </c>
      <c r="H70" s="172">
        <v>48.7</v>
      </c>
      <c r="I70" s="281">
        <v>3</v>
      </c>
      <c r="J70" s="281">
        <v>3</v>
      </c>
      <c r="K70" s="281">
        <v>1.5</v>
      </c>
      <c r="L70" s="281">
        <v>3</v>
      </c>
      <c r="M70" s="281">
        <v>1</v>
      </c>
      <c r="N70" s="281">
        <v>1</v>
      </c>
      <c r="O70" s="281">
        <v>2</v>
      </c>
      <c r="P70" s="281">
        <v>3</v>
      </c>
      <c r="Q70" s="281">
        <v>2</v>
      </c>
      <c r="R70" s="184">
        <v>0</v>
      </c>
      <c r="S70" s="262">
        <v>4</v>
      </c>
      <c r="T70" s="262">
        <v>5</v>
      </c>
      <c r="U70" s="262">
        <v>5</v>
      </c>
      <c r="V70" s="262">
        <v>3</v>
      </c>
      <c r="W70" s="262">
        <v>3</v>
      </c>
      <c r="X70" s="184" t="s">
        <v>312</v>
      </c>
      <c r="Y70" s="262">
        <v>5</v>
      </c>
      <c r="Z70" s="184" t="s">
        <v>312</v>
      </c>
      <c r="AA70" s="262">
        <v>1</v>
      </c>
      <c r="AB70" s="262">
        <v>7500000</v>
      </c>
      <c r="AC70" s="262">
        <v>3</v>
      </c>
      <c r="AD70" s="262">
        <v>100000</v>
      </c>
      <c r="AE70" s="262">
        <v>3</v>
      </c>
      <c r="AF70" s="184" t="s">
        <v>312</v>
      </c>
      <c r="AG70" s="262">
        <v>5</v>
      </c>
      <c r="AH70" s="262" t="s">
        <v>311</v>
      </c>
      <c r="AI70" s="262">
        <v>0</v>
      </c>
      <c r="AJ70" s="262">
        <v>5</v>
      </c>
      <c r="AK70" s="184" t="s">
        <v>312</v>
      </c>
      <c r="AL70" s="262">
        <v>4</v>
      </c>
      <c r="AM70" s="184" t="s">
        <v>312</v>
      </c>
      <c r="AN70" s="262">
        <v>2</v>
      </c>
      <c r="AO70" s="184" t="s">
        <v>312</v>
      </c>
      <c r="AP70" s="262">
        <v>5</v>
      </c>
      <c r="AQ70" s="262">
        <v>5</v>
      </c>
      <c r="AR70" s="262">
        <v>3</v>
      </c>
      <c r="AS70" s="184" t="s">
        <v>312</v>
      </c>
      <c r="AT70" s="262">
        <v>5</v>
      </c>
      <c r="AU70" s="262">
        <v>5</v>
      </c>
      <c r="AV70" s="262">
        <v>3</v>
      </c>
      <c r="AW70" s="262">
        <v>5</v>
      </c>
      <c r="AX70" s="184" t="s">
        <v>312</v>
      </c>
      <c r="AY70" s="262">
        <v>3</v>
      </c>
      <c r="AZ70" s="262" t="s">
        <v>311</v>
      </c>
      <c r="BA70" s="262" t="s">
        <v>311</v>
      </c>
      <c r="BB70" s="262">
        <v>3</v>
      </c>
      <c r="BC70" s="184" t="s">
        <v>312</v>
      </c>
      <c r="BD70" s="262">
        <v>5</v>
      </c>
      <c r="BE70" s="262">
        <v>5</v>
      </c>
      <c r="BF70" s="262" t="s">
        <v>601</v>
      </c>
      <c r="BG70" s="262" t="s">
        <v>27</v>
      </c>
      <c r="BH70" s="262" t="s">
        <v>538</v>
      </c>
      <c r="BI70" s="262">
        <v>13.5</v>
      </c>
      <c r="BJ70" s="262">
        <v>5</v>
      </c>
      <c r="BK70" s="184" t="s">
        <v>312</v>
      </c>
      <c r="BL70" s="262">
        <v>5</v>
      </c>
      <c r="BM70" s="262">
        <v>5</v>
      </c>
      <c r="BN70" s="262">
        <v>5</v>
      </c>
      <c r="BO70" s="262">
        <v>5</v>
      </c>
      <c r="BP70" s="184" t="s">
        <v>312</v>
      </c>
      <c r="BQ70" s="262">
        <v>4</v>
      </c>
      <c r="BR70" s="262">
        <v>4</v>
      </c>
      <c r="BS70" s="262" t="s">
        <v>660</v>
      </c>
    </row>
    <row r="71" spans="2:71" s="16" customFormat="1" ht="35.25" customHeight="1" x14ac:dyDescent="0.25">
      <c r="B71" s="198" t="s">
        <v>59</v>
      </c>
      <c r="C71" s="154" t="s">
        <v>14</v>
      </c>
      <c r="D71" s="172">
        <v>6073011902</v>
      </c>
      <c r="E71" s="172">
        <v>5246</v>
      </c>
      <c r="F71" s="172">
        <v>33</v>
      </c>
      <c r="G71" s="172">
        <v>70</v>
      </c>
      <c r="H71" s="172">
        <v>28.57</v>
      </c>
      <c r="I71" s="281">
        <v>3</v>
      </c>
      <c r="J71" s="281">
        <v>3</v>
      </c>
      <c r="K71" s="281">
        <v>1.5</v>
      </c>
      <c r="L71" s="281">
        <v>3</v>
      </c>
      <c r="M71" s="281">
        <v>3</v>
      </c>
      <c r="N71" s="281">
        <v>2</v>
      </c>
      <c r="O71" s="281">
        <v>2</v>
      </c>
      <c r="P71" s="281">
        <v>3</v>
      </c>
      <c r="Q71" s="281">
        <v>2</v>
      </c>
      <c r="R71" s="184">
        <v>0</v>
      </c>
      <c r="S71" s="262">
        <v>4</v>
      </c>
      <c r="T71" s="262">
        <v>5</v>
      </c>
      <c r="U71" s="262">
        <v>5</v>
      </c>
      <c r="V71" s="262">
        <v>3</v>
      </c>
      <c r="W71" s="262">
        <v>4</v>
      </c>
      <c r="X71" s="184" t="s">
        <v>312</v>
      </c>
      <c r="Y71" s="262">
        <v>5</v>
      </c>
      <c r="Z71" s="184" t="s">
        <v>312</v>
      </c>
      <c r="AA71" s="262">
        <v>3</v>
      </c>
      <c r="AB71" s="262">
        <v>1500000</v>
      </c>
      <c r="AC71" s="262">
        <v>3</v>
      </c>
      <c r="AD71" s="262">
        <v>23200</v>
      </c>
      <c r="AE71" s="262">
        <v>3</v>
      </c>
      <c r="AF71" s="184" t="s">
        <v>312</v>
      </c>
      <c r="AG71" s="262">
        <v>4</v>
      </c>
      <c r="AH71" s="262" t="s">
        <v>311</v>
      </c>
      <c r="AI71" s="262">
        <v>0</v>
      </c>
      <c r="AJ71" s="262">
        <v>4</v>
      </c>
      <c r="AK71" s="184" t="s">
        <v>312</v>
      </c>
      <c r="AL71" s="262">
        <v>1</v>
      </c>
      <c r="AM71" s="184" t="s">
        <v>312</v>
      </c>
      <c r="AN71" s="262">
        <v>2</v>
      </c>
      <c r="AO71" s="184" t="s">
        <v>312</v>
      </c>
      <c r="AP71" s="262">
        <v>5</v>
      </c>
      <c r="AQ71" s="262">
        <v>5</v>
      </c>
      <c r="AR71" s="262">
        <v>5</v>
      </c>
      <c r="AS71" s="184" t="s">
        <v>312</v>
      </c>
      <c r="AT71" s="262">
        <v>5</v>
      </c>
      <c r="AU71" s="262">
        <v>4</v>
      </c>
      <c r="AV71" s="262">
        <v>3</v>
      </c>
      <c r="AW71" s="262">
        <v>5</v>
      </c>
      <c r="AX71" s="184" t="s">
        <v>312</v>
      </c>
      <c r="AY71" s="262">
        <v>3</v>
      </c>
      <c r="AZ71" s="262" t="s">
        <v>311</v>
      </c>
      <c r="BA71" s="262" t="s">
        <v>311</v>
      </c>
      <c r="BB71" s="262">
        <v>3</v>
      </c>
      <c r="BC71" s="184" t="s">
        <v>312</v>
      </c>
      <c r="BD71" s="262">
        <v>5</v>
      </c>
      <c r="BE71" s="262">
        <v>5</v>
      </c>
      <c r="BF71" s="262" t="s">
        <v>601</v>
      </c>
      <c r="BG71" s="262" t="s">
        <v>27</v>
      </c>
      <c r="BH71" s="262" t="s">
        <v>538</v>
      </c>
      <c r="BI71" s="262">
        <v>1.1299999999999999</v>
      </c>
      <c r="BJ71" s="262">
        <v>5</v>
      </c>
      <c r="BK71" s="184" t="s">
        <v>312</v>
      </c>
      <c r="BL71" s="262">
        <v>5</v>
      </c>
      <c r="BM71" s="262">
        <v>5</v>
      </c>
      <c r="BN71" s="262">
        <v>5</v>
      </c>
      <c r="BO71" s="262">
        <v>5</v>
      </c>
      <c r="BP71" s="184" t="s">
        <v>312</v>
      </c>
      <c r="BQ71" s="262">
        <v>4</v>
      </c>
      <c r="BR71" s="262">
        <v>1.1299999999999999</v>
      </c>
      <c r="BS71" s="262" t="s">
        <v>622</v>
      </c>
    </row>
    <row r="72" spans="2:71" s="16" customFormat="1" ht="35.25" customHeight="1" x14ac:dyDescent="0.25">
      <c r="B72" s="198" t="s">
        <v>313</v>
      </c>
      <c r="C72" s="154" t="s">
        <v>7</v>
      </c>
      <c r="D72" s="263" t="s">
        <v>742</v>
      </c>
      <c r="E72" s="263" t="s">
        <v>742</v>
      </c>
      <c r="F72" s="263" t="s">
        <v>742</v>
      </c>
      <c r="G72" s="263" t="s">
        <v>742</v>
      </c>
      <c r="H72" s="263" t="s">
        <v>742</v>
      </c>
      <c r="I72" s="282" t="s">
        <v>742</v>
      </c>
      <c r="J72" s="282" t="s">
        <v>742</v>
      </c>
      <c r="K72" s="282" t="s">
        <v>742</v>
      </c>
      <c r="L72" s="282" t="s">
        <v>742</v>
      </c>
      <c r="M72" s="282" t="s">
        <v>742</v>
      </c>
      <c r="N72" s="282" t="s">
        <v>742</v>
      </c>
      <c r="O72" s="282" t="s">
        <v>742</v>
      </c>
      <c r="P72" s="282" t="s">
        <v>742</v>
      </c>
      <c r="Q72" s="282" t="s">
        <v>742</v>
      </c>
      <c r="R72" s="185">
        <v>0</v>
      </c>
      <c r="S72" s="262">
        <v>4</v>
      </c>
      <c r="T72" s="262">
        <v>5</v>
      </c>
      <c r="U72" s="262" t="s">
        <v>311</v>
      </c>
      <c r="V72" s="262">
        <v>3</v>
      </c>
      <c r="W72" s="262">
        <v>3</v>
      </c>
      <c r="X72" s="184" t="s">
        <v>312</v>
      </c>
      <c r="Y72" s="262">
        <v>3</v>
      </c>
      <c r="Z72" s="184" t="s">
        <v>312</v>
      </c>
      <c r="AA72" s="262">
        <v>3</v>
      </c>
      <c r="AB72" s="262" t="s">
        <v>545</v>
      </c>
      <c r="AC72" s="262">
        <v>3</v>
      </c>
      <c r="AD72" s="262" t="s">
        <v>546</v>
      </c>
      <c r="AE72" s="262">
        <v>1</v>
      </c>
      <c r="AF72" s="184" t="s">
        <v>312</v>
      </c>
      <c r="AG72" s="262">
        <v>3</v>
      </c>
      <c r="AH72" s="262">
        <v>5</v>
      </c>
      <c r="AI72" s="262">
        <v>0</v>
      </c>
      <c r="AJ72" s="262">
        <v>3</v>
      </c>
      <c r="AK72" s="184" t="s">
        <v>312</v>
      </c>
      <c r="AL72" s="262">
        <v>3</v>
      </c>
      <c r="AM72" s="184" t="s">
        <v>312</v>
      </c>
      <c r="AN72" s="262">
        <v>3</v>
      </c>
      <c r="AO72" s="184" t="s">
        <v>312</v>
      </c>
      <c r="AP72" s="262">
        <v>3</v>
      </c>
      <c r="AQ72" s="262">
        <v>5</v>
      </c>
      <c r="AR72" s="262">
        <v>3</v>
      </c>
      <c r="AS72" s="184" t="s">
        <v>312</v>
      </c>
      <c r="AT72" s="262">
        <v>3</v>
      </c>
      <c r="AU72" s="262">
        <v>3</v>
      </c>
      <c r="AV72" s="262">
        <v>1</v>
      </c>
      <c r="AW72" s="262">
        <v>3</v>
      </c>
      <c r="AX72" s="184" t="s">
        <v>312</v>
      </c>
      <c r="AY72" s="262">
        <v>5</v>
      </c>
      <c r="AZ72" s="262">
        <v>1</v>
      </c>
      <c r="BA72" s="262">
        <v>3</v>
      </c>
      <c r="BB72" s="262">
        <v>3</v>
      </c>
      <c r="BC72" s="184" t="s">
        <v>312</v>
      </c>
      <c r="BD72" s="262">
        <v>3</v>
      </c>
      <c r="BE72" s="262">
        <v>3</v>
      </c>
      <c r="BF72" s="262" t="s">
        <v>542</v>
      </c>
      <c r="BG72" s="262" t="s">
        <v>311</v>
      </c>
      <c r="BH72" s="262" t="s">
        <v>311</v>
      </c>
      <c r="BI72" s="262" t="s">
        <v>544</v>
      </c>
      <c r="BJ72" s="262">
        <v>3</v>
      </c>
      <c r="BK72" s="184" t="s">
        <v>312</v>
      </c>
      <c r="BL72" s="262" t="s">
        <v>311</v>
      </c>
      <c r="BM72" s="262" t="s">
        <v>311</v>
      </c>
      <c r="BN72" s="262">
        <v>3</v>
      </c>
      <c r="BO72" s="262">
        <v>3</v>
      </c>
      <c r="BP72" s="184" t="s">
        <v>312</v>
      </c>
      <c r="BQ72" s="262">
        <v>3</v>
      </c>
      <c r="BR72" s="262" t="s">
        <v>544</v>
      </c>
      <c r="BS72" s="262" t="s">
        <v>544</v>
      </c>
    </row>
    <row r="73" spans="2:71" s="16" customFormat="1" ht="35.25" customHeight="1" x14ac:dyDescent="0.25">
      <c r="B73" s="198" t="s">
        <v>323</v>
      </c>
      <c r="C73" s="154" t="s">
        <v>11</v>
      </c>
      <c r="D73" s="172">
        <v>6073020307</v>
      </c>
      <c r="E73" s="172">
        <v>7170</v>
      </c>
      <c r="F73" s="172">
        <v>92</v>
      </c>
      <c r="G73" s="172">
        <v>14</v>
      </c>
      <c r="H73" s="172">
        <v>19.66</v>
      </c>
      <c r="I73" s="281">
        <v>1.5</v>
      </c>
      <c r="J73" s="281">
        <v>3</v>
      </c>
      <c r="K73" s="281">
        <v>2.5</v>
      </c>
      <c r="L73" s="281">
        <v>3</v>
      </c>
      <c r="M73" s="281">
        <v>3</v>
      </c>
      <c r="N73" s="281">
        <v>1</v>
      </c>
      <c r="O73" s="281">
        <v>1</v>
      </c>
      <c r="P73" s="281">
        <v>3</v>
      </c>
      <c r="Q73" s="281">
        <v>3</v>
      </c>
      <c r="R73" s="184">
        <v>0</v>
      </c>
      <c r="S73" s="262" t="s">
        <v>373</v>
      </c>
      <c r="T73" s="262" t="s">
        <v>373</v>
      </c>
      <c r="U73" s="262" t="s">
        <v>373</v>
      </c>
      <c r="V73" s="262" t="s">
        <v>373</v>
      </c>
      <c r="W73" s="262" t="s">
        <v>373</v>
      </c>
      <c r="X73" s="184" t="s">
        <v>312</v>
      </c>
      <c r="Y73" s="262" t="s">
        <v>373</v>
      </c>
      <c r="Z73" s="184" t="s">
        <v>312</v>
      </c>
      <c r="AA73" s="262" t="s">
        <v>373</v>
      </c>
      <c r="AB73" s="262" t="s">
        <v>373</v>
      </c>
      <c r="AC73" s="262" t="s">
        <v>373</v>
      </c>
      <c r="AD73" s="262" t="s">
        <v>373</v>
      </c>
      <c r="AE73" s="262" t="s">
        <v>373</v>
      </c>
      <c r="AF73" s="184" t="s">
        <v>312</v>
      </c>
      <c r="AG73" s="262" t="s">
        <v>373</v>
      </c>
      <c r="AH73" s="262" t="s">
        <v>373</v>
      </c>
      <c r="AI73" s="262" t="s">
        <v>373</v>
      </c>
      <c r="AJ73" s="262" t="s">
        <v>373</v>
      </c>
      <c r="AK73" s="184" t="s">
        <v>312</v>
      </c>
      <c r="AL73" s="262" t="s">
        <v>373</v>
      </c>
      <c r="AM73" s="184" t="s">
        <v>312</v>
      </c>
      <c r="AN73" s="262" t="s">
        <v>373</v>
      </c>
      <c r="AO73" s="184" t="s">
        <v>312</v>
      </c>
      <c r="AP73" s="262" t="s">
        <v>373</v>
      </c>
      <c r="AQ73" s="262" t="s">
        <v>373</v>
      </c>
      <c r="AR73" s="262" t="s">
        <v>373</v>
      </c>
      <c r="AS73" s="184" t="s">
        <v>312</v>
      </c>
      <c r="AT73" s="262" t="s">
        <v>373</v>
      </c>
      <c r="AU73" s="262" t="s">
        <v>373</v>
      </c>
      <c r="AV73" s="262" t="s">
        <v>373</v>
      </c>
      <c r="AW73" s="262" t="s">
        <v>373</v>
      </c>
      <c r="AX73" s="184" t="s">
        <v>312</v>
      </c>
      <c r="AY73" s="262" t="s">
        <v>373</v>
      </c>
      <c r="AZ73" s="262" t="s">
        <v>373</v>
      </c>
      <c r="BA73" s="262" t="s">
        <v>373</v>
      </c>
      <c r="BB73" s="262" t="s">
        <v>373</v>
      </c>
      <c r="BC73" s="184" t="s">
        <v>312</v>
      </c>
      <c r="BD73" s="262" t="s">
        <v>373</v>
      </c>
      <c r="BE73" s="262" t="s">
        <v>373</v>
      </c>
      <c r="BF73" s="262" t="s">
        <v>373</v>
      </c>
      <c r="BG73" s="262" t="s">
        <v>373</v>
      </c>
      <c r="BH73" s="262" t="s">
        <v>373</v>
      </c>
      <c r="BI73" s="262" t="s">
        <v>373</v>
      </c>
      <c r="BJ73" s="262" t="s">
        <v>373</v>
      </c>
      <c r="BK73" s="184" t="s">
        <v>312</v>
      </c>
      <c r="BL73" s="262" t="s">
        <v>373</v>
      </c>
      <c r="BM73" s="262" t="s">
        <v>373</v>
      </c>
      <c r="BN73" s="262" t="s">
        <v>373</v>
      </c>
      <c r="BO73" s="262" t="s">
        <v>373</v>
      </c>
      <c r="BP73" s="184" t="s">
        <v>312</v>
      </c>
      <c r="BQ73" s="262" t="s">
        <v>373</v>
      </c>
      <c r="BR73" s="262" t="s">
        <v>373</v>
      </c>
      <c r="BS73" s="262" t="s">
        <v>373</v>
      </c>
    </row>
    <row r="74" spans="2:71" s="16" customFormat="1" ht="35.25" customHeight="1" x14ac:dyDescent="0.25">
      <c r="B74" s="198" t="s">
        <v>348</v>
      </c>
      <c r="C74" s="154" t="s">
        <v>14</v>
      </c>
      <c r="D74" s="172">
        <v>6073008346</v>
      </c>
      <c r="E74" s="172">
        <v>4615</v>
      </c>
      <c r="F74" s="172">
        <v>30</v>
      </c>
      <c r="G74" s="172">
        <v>6</v>
      </c>
      <c r="H74" s="172">
        <v>7.55</v>
      </c>
      <c r="I74" s="281">
        <v>1</v>
      </c>
      <c r="J74" s="281">
        <v>1</v>
      </c>
      <c r="K74" s="281">
        <v>1.5</v>
      </c>
      <c r="L74" s="281">
        <v>3</v>
      </c>
      <c r="M74" s="281">
        <v>3</v>
      </c>
      <c r="N74" s="281">
        <v>2</v>
      </c>
      <c r="O74" s="281">
        <v>2</v>
      </c>
      <c r="P74" s="281">
        <v>1</v>
      </c>
      <c r="Q74" s="281">
        <v>2</v>
      </c>
      <c r="R74" s="185">
        <v>0</v>
      </c>
      <c r="S74" s="262">
        <v>5</v>
      </c>
      <c r="T74" s="262">
        <v>3</v>
      </c>
      <c r="U74" s="262" t="s">
        <v>311</v>
      </c>
      <c r="V74" s="262">
        <v>4</v>
      </c>
      <c r="W74" s="262">
        <v>3</v>
      </c>
      <c r="X74" s="184" t="s">
        <v>312</v>
      </c>
      <c r="Y74" s="262">
        <v>5</v>
      </c>
      <c r="Z74" s="184" t="s">
        <v>312</v>
      </c>
      <c r="AA74" s="262">
        <v>3</v>
      </c>
      <c r="AB74" s="262" t="s">
        <v>623</v>
      </c>
      <c r="AC74" s="262">
        <v>3</v>
      </c>
      <c r="AD74" s="262" t="s">
        <v>624</v>
      </c>
      <c r="AE74" s="262">
        <v>3</v>
      </c>
      <c r="AF74" s="184" t="s">
        <v>312</v>
      </c>
      <c r="AG74" s="262">
        <v>4</v>
      </c>
      <c r="AH74" s="262">
        <v>4</v>
      </c>
      <c r="AI74" s="262">
        <v>0</v>
      </c>
      <c r="AJ74" s="262">
        <v>4</v>
      </c>
      <c r="AK74" s="184" t="s">
        <v>312</v>
      </c>
      <c r="AL74" s="262">
        <v>3</v>
      </c>
      <c r="AM74" s="184" t="s">
        <v>312</v>
      </c>
      <c r="AN74" s="262">
        <v>3</v>
      </c>
      <c r="AO74" s="184" t="s">
        <v>312</v>
      </c>
      <c r="AP74" s="262">
        <v>5</v>
      </c>
      <c r="AQ74" s="262">
        <v>5</v>
      </c>
      <c r="AR74" s="262">
        <v>4</v>
      </c>
      <c r="AS74" s="184" t="s">
        <v>312</v>
      </c>
      <c r="AT74" s="262">
        <v>5</v>
      </c>
      <c r="AU74" s="262">
        <v>4</v>
      </c>
      <c r="AV74" s="262">
        <v>3</v>
      </c>
      <c r="AW74" s="262">
        <v>3</v>
      </c>
      <c r="AX74" s="184" t="s">
        <v>312</v>
      </c>
      <c r="AY74" s="262">
        <v>5</v>
      </c>
      <c r="AZ74" s="262">
        <v>5</v>
      </c>
      <c r="BA74" s="262">
        <v>3</v>
      </c>
      <c r="BB74" s="262">
        <v>4</v>
      </c>
      <c r="BC74" s="184" t="s">
        <v>312</v>
      </c>
      <c r="BD74" s="262" t="s">
        <v>311</v>
      </c>
      <c r="BE74" s="262" t="s">
        <v>311</v>
      </c>
      <c r="BF74" s="262" t="s">
        <v>601</v>
      </c>
      <c r="BG74" s="262">
        <v>3</v>
      </c>
      <c r="BH74" s="262" t="s">
        <v>311</v>
      </c>
      <c r="BI74" s="262" t="s">
        <v>312</v>
      </c>
      <c r="BJ74" s="262">
        <v>5</v>
      </c>
      <c r="BK74" s="184" t="s">
        <v>312</v>
      </c>
      <c r="BL74" s="262">
        <v>5</v>
      </c>
      <c r="BM74" s="262">
        <v>3</v>
      </c>
      <c r="BN74" s="262">
        <v>5</v>
      </c>
      <c r="BO74" s="262">
        <v>4</v>
      </c>
      <c r="BP74" s="184" t="s">
        <v>312</v>
      </c>
      <c r="BQ74" s="262">
        <v>4</v>
      </c>
      <c r="BR74" s="262">
        <v>94</v>
      </c>
      <c r="BS74" s="262" t="s">
        <v>625</v>
      </c>
    </row>
    <row r="75" spans="2:71" s="16" customFormat="1" ht="35.25" customHeight="1" x14ac:dyDescent="0.25">
      <c r="B75" s="198" t="s">
        <v>324</v>
      </c>
      <c r="C75" s="154" t="s">
        <v>11</v>
      </c>
      <c r="D75" s="172">
        <v>6073008350</v>
      </c>
      <c r="E75" s="172">
        <v>6493</v>
      </c>
      <c r="F75" s="172">
        <v>79</v>
      </c>
      <c r="G75" s="172">
        <v>19</v>
      </c>
      <c r="H75" s="172">
        <v>19.690000000000001</v>
      </c>
      <c r="I75" s="281">
        <v>1.5</v>
      </c>
      <c r="J75" s="281">
        <v>3</v>
      </c>
      <c r="K75" s="281">
        <v>2.5</v>
      </c>
      <c r="L75" s="281">
        <v>3</v>
      </c>
      <c r="M75" s="281">
        <v>3</v>
      </c>
      <c r="N75" s="281">
        <v>1</v>
      </c>
      <c r="O75" s="281">
        <v>2</v>
      </c>
      <c r="P75" s="281">
        <v>3</v>
      </c>
      <c r="Q75" s="281">
        <v>3</v>
      </c>
      <c r="R75" s="184">
        <v>0</v>
      </c>
      <c r="S75" s="262">
        <v>5</v>
      </c>
      <c r="T75" s="262">
        <v>3</v>
      </c>
      <c r="U75" s="262" t="s">
        <v>311</v>
      </c>
      <c r="V75" s="262">
        <v>3</v>
      </c>
      <c r="W75" s="262">
        <v>3</v>
      </c>
      <c r="X75" s="184" t="s">
        <v>312</v>
      </c>
      <c r="Y75" s="262">
        <v>5</v>
      </c>
      <c r="Z75" s="184" t="s">
        <v>312</v>
      </c>
      <c r="AA75" s="262">
        <v>1</v>
      </c>
      <c r="AB75" s="262" t="s">
        <v>575</v>
      </c>
      <c r="AC75" s="262">
        <v>1</v>
      </c>
      <c r="AD75" s="262" t="s">
        <v>576</v>
      </c>
      <c r="AE75" s="262">
        <v>3</v>
      </c>
      <c r="AF75" s="184" t="s">
        <v>312</v>
      </c>
      <c r="AG75" s="262">
        <v>5</v>
      </c>
      <c r="AH75" s="262">
        <v>5</v>
      </c>
      <c r="AI75" s="262">
        <v>0</v>
      </c>
      <c r="AJ75" s="262">
        <v>5</v>
      </c>
      <c r="AK75" s="184" t="s">
        <v>312</v>
      </c>
      <c r="AL75" s="262">
        <v>5</v>
      </c>
      <c r="AM75" s="184" t="s">
        <v>312</v>
      </c>
      <c r="AN75" s="262">
        <v>1</v>
      </c>
      <c r="AO75" s="184" t="s">
        <v>312</v>
      </c>
      <c r="AP75" s="262">
        <v>3</v>
      </c>
      <c r="AQ75" s="262">
        <v>3</v>
      </c>
      <c r="AR75" s="262">
        <v>3</v>
      </c>
      <c r="AS75" s="184" t="s">
        <v>312</v>
      </c>
      <c r="AT75" s="262">
        <v>3</v>
      </c>
      <c r="AU75" s="262">
        <v>3</v>
      </c>
      <c r="AV75" s="262">
        <v>1</v>
      </c>
      <c r="AW75" s="262">
        <v>3</v>
      </c>
      <c r="AX75" s="184" t="s">
        <v>312</v>
      </c>
      <c r="AY75" s="262">
        <v>5</v>
      </c>
      <c r="AZ75" s="262">
        <v>5</v>
      </c>
      <c r="BA75" s="262">
        <v>5</v>
      </c>
      <c r="BB75" s="262">
        <v>1</v>
      </c>
      <c r="BC75" s="184" t="s">
        <v>312</v>
      </c>
      <c r="BD75" s="262">
        <v>1</v>
      </c>
      <c r="BE75" s="262">
        <v>1</v>
      </c>
      <c r="BF75" s="262" t="s">
        <v>542</v>
      </c>
      <c r="BG75" s="262">
        <v>3</v>
      </c>
      <c r="BH75" s="262" t="s">
        <v>538</v>
      </c>
      <c r="BI75" s="262" t="s">
        <v>577</v>
      </c>
      <c r="BJ75" s="262">
        <v>1</v>
      </c>
      <c r="BK75" s="184" t="s">
        <v>312</v>
      </c>
      <c r="BL75" s="262">
        <v>5</v>
      </c>
      <c r="BM75" s="262">
        <v>3</v>
      </c>
      <c r="BN75" s="262">
        <v>3</v>
      </c>
      <c r="BO75" s="262">
        <v>5</v>
      </c>
      <c r="BP75" s="184" t="s">
        <v>312</v>
      </c>
      <c r="BQ75" s="262">
        <v>3</v>
      </c>
      <c r="BR75" s="262" t="s">
        <v>578</v>
      </c>
      <c r="BS75" s="262" t="s">
        <v>579</v>
      </c>
    </row>
    <row r="76" spans="2:71" s="16" customFormat="1" ht="35.25" customHeight="1" x14ac:dyDescent="0.25">
      <c r="B76" s="198" t="s">
        <v>48</v>
      </c>
      <c r="C76" s="154" t="s">
        <v>11</v>
      </c>
      <c r="D76" s="172">
        <v>6073021400</v>
      </c>
      <c r="E76" s="172">
        <v>7225</v>
      </c>
      <c r="F76" s="172">
        <v>37</v>
      </c>
      <c r="G76" s="172">
        <v>17</v>
      </c>
      <c r="H76" s="172">
        <v>12.94</v>
      </c>
      <c r="I76" s="281">
        <v>3</v>
      </c>
      <c r="J76" s="281">
        <v>3</v>
      </c>
      <c r="K76" s="281">
        <v>3</v>
      </c>
      <c r="L76" s="281">
        <v>1</v>
      </c>
      <c r="M76" s="281">
        <v>3</v>
      </c>
      <c r="N76" s="281">
        <v>2</v>
      </c>
      <c r="O76" s="281">
        <v>2</v>
      </c>
      <c r="P76" s="281">
        <v>3</v>
      </c>
      <c r="Q76" s="281">
        <v>3</v>
      </c>
      <c r="R76" s="184">
        <v>0</v>
      </c>
      <c r="S76" s="262">
        <v>5</v>
      </c>
      <c r="T76" s="262">
        <v>3</v>
      </c>
      <c r="U76" s="262" t="s">
        <v>311</v>
      </c>
      <c r="V76" s="262">
        <v>3</v>
      </c>
      <c r="W76" s="262">
        <v>3</v>
      </c>
      <c r="X76" s="184" t="s">
        <v>312</v>
      </c>
      <c r="Y76" s="262">
        <v>5</v>
      </c>
      <c r="Z76" s="184" t="s">
        <v>312</v>
      </c>
      <c r="AA76" s="262">
        <v>1</v>
      </c>
      <c r="AB76" s="262" t="s">
        <v>580</v>
      </c>
      <c r="AC76" s="262">
        <v>1</v>
      </c>
      <c r="AD76" s="262" t="s">
        <v>581</v>
      </c>
      <c r="AE76" s="262">
        <v>3</v>
      </c>
      <c r="AF76" s="184" t="s">
        <v>312</v>
      </c>
      <c r="AG76" s="262">
        <v>5</v>
      </c>
      <c r="AH76" s="262">
        <v>5</v>
      </c>
      <c r="AI76" s="262">
        <v>0</v>
      </c>
      <c r="AJ76" s="262">
        <v>5</v>
      </c>
      <c r="AK76" s="184" t="s">
        <v>312</v>
      </c>
      <c r="AL76" s="262">
        <v>3</v>
      </c>
      <c r="AM76" s="184" t="s">
        <v>312</v>
      </c>
      <c r="AN76" s="262">
        <v>1</v>
      </c>
      <c r="AO76" s="184" t="s">
        <v>312</v>
      </c>
      <c r="AP76" s="262">
        <v>3</v>
      </c>
      <c r="AQ76" s="262">
        <v>3</v>
      </c>
      <c r="AR76" s="262">
        <v>3</v>
      </c>
      <c r="AS76" s="184" t="s">
        <v>312</v>
      </c>
      <c r="AT76" s="262">
        <v>3</v>
      </c>
      <c r="AU76" s="262">
        <v>3</v>
      </c>
      <c r="AV76" s="262">
        <v>1</v>
      </c>
      <c r="AW76" s="262">
        <v>3</v>
      </c>
      <c r="AX76" s="184" t="s">
        <v>312</v>
      </c>
      <c r="AY76" s="262">
        <v>5</v>
      </c>
      <c r="AZ76" s="262">
        <v>5</v>
      </c>
      <c r="BA76" s="262">
        <v>5</v>
      </c>
      <c r="BB76" s="262">
        <v>1</v>
      </c>
      <c r="BC76" s="184" t="s">
        <v>312</v>
      </c>
      <c r="BD76" s="262">
        <v>3</v>
      </c>
      <c r="BE76" s="262">
        <v>3</v>
      </c>
      <c r="BF76" s="262" t="s">
        <v>542</v>
      </c>
      <c r="BG76" s="262">
        <v>3</v>
      </c>
      <c r="BH76" s="262" t="s">
        <v>547</v>
      </c>
      <c r="BI76" s="262" t="s">
        <v>311</v>
      </c>
      <c r="BJ76" s="262">
        <v>3</v>
      </c>
      <c r="BK76" s="184" t="s">
        <v>312</v>
      </c>
      <c r="BL76" s="262">
        <v>5</v>
      </c>
      <c r="BM76" s="262">
        <v>3</v>
      </c>
      <c r="BN76" s="262">
        <v>3</v>
      </c>
      <c r="BO76" s="262">
        <v>5</v>
      </c>
      <c r="BP76" s="184" t="s">
        <v>312</v>
      </c>
      <c r="BQ76" s="262">
        <v>3</v>
      </c>
      <c r="BR76" s="262">
        <v>0</v>
      </c>
      <c r="BS76" s="262" t="s">
        <v>311</v>
      </c>
    </row>
    <row r="77" spans="2:71" s="16" customFormat="1" ht="35.25" customHeight="1" x14ac:dyDescent="0.25">
      <c r="B77" s="198" t="s">
        <v>360</v>
      </c>
      <c r="C77" s="154" t="s">
        <v>15</v>
      </c>
      <c r="D77" s="263" t="s">
        <v>742</v>
      </c>
      <c r="E77" s="263" t="s">
        <v>742</v>
      </c>
      <c r="F77" s="263" t="s">
        <v>742</v>
      </c>
      <c r="G77" s="263" t="s">
        <v>742</v>
      </c>
      <c r="H77" s="263" t="s">
        <v>742</v>
      </c>
      <c r="I77" s="282" t="s">
        <v>742</v>
      </c>
      <c r="J77" s="282" t="s">
        <v>742</v>
      </c>
      <c r="K77" s="282" t="s">
        <v>742</v>
      </c>
      <c r="L77" s="282" t="s">
        <v>742</v>
      </c>
      <c r="M77" s="282" t="s">
        <v>742</v>
      </c>
      <c r="N77" s="282" t="s">
        <v>742</v>
      </c>
      <c r="O77" s="282" t="s">
        <v>742</v>
      </c>
      <c r="P77" s="282" t="s">
        <v>742</v>
      </c>
      <c r="Q77" s="282" t="s">
        <v>742</v>
      </c>
      <c r="R77" s="184">
        <v>0</v>
      </c>
      <c r="S77" s="262">
        <v>5</v>
      </c>
      <c r="T77" s="262">
        <v>2</v>
      </c>
      <c r="U77" s="262" t="s">
        <v>311</v>
      </c>
      <c r="V77" s="262">
        <v>3</v>
      </c>
      <c r="W77" s="262">
        <v>4</v>
      </c>
      <c r="X77" s="184" t="s">
        <v>312</v>
      </c>
      <c r="Y77" s="262">
        <v>5</v>
      </c>
      <c r="Z77" s="184" t="s">
        <v>312</v>
      </c>
      <c r="AA77" s="262">
        <v>5</v>
      </c>
      <c r="AB77" s="262" t="s">
        <v>637</v>
      </c>
      <c r="AC77" s="262">
        <v>5</v>
      </c>
      <c r="AD77" s="262" t="s">
        <v>541</v>
      </c>
      <c r="AE77" s="262">
        <v>3</v>
      </c>
      <c r="AF77" s="184" t="s">
        <v>312</v>
      </c>
      <c r="AG77" s="262">
        <v>2</v>
      </c>
      <c r="AH77" s="262">
        <v>3</v>
      </c>
      <c r="AI77" s="262" t="s">
        <v>311</v>
      </c>
      <c r="AJ77" s="262">
        <v>5</v>
      </c>
      <c r="AK77" s="184" t="s">
        <v>312</v>
      </c>
      <c r="AL77" s="262">
        <v>5</v>
      </c>
      <c r="AM77" s="184" t="s">
        <v>312</v>
      </c>
      <c r="AN77" s="262">
        <v>5</v>
      </c>
      <c r="AO77" s="184" t="s">
        <v>312</v>
      </c>
      <c r="AP77" s="262">
        <v>4</v>
      </c>
      <c r="AQ77" s="262">
        <v>5</v>
      </c>
      <c r="AR77" s="262">
        <v>3</v>
      </c>
      <c r="AS77" s="184" t="s">
        <v>312</v>
      </c>
      <c r="AT77" s="262">
        <v>5</v>
      </c>
      <c r="AU77" s="262">
        <v>2</v>
      </c>
      <c r="AV77" s="262">
        <v>1</v>
      </c>
      <c r="AW77" s="262">
        <v>5</v>
      </c>
      <c r="AX77" s="184" t="s">
        <v>312</v>
      </c>
      <c r="AY77" s="262">
        <v>5</v>
      </c>
      <c r="AZ77" s="262">
        <v>5</v>
      </c>
      <c r="BA77" s="262">
        <v>5</v>
      </c>
      <c r="BB77" s="262">
        <v>3</v>
      </c>
      <c r="BC77" s="184" t="s">
        <v>312</v>
      </c>
      <c r="BD77" s="262">
        <v>3</v>
      </c>
      <c r="BE77" s="262">
        <v>3</v>
      </c>
      <c r="BF77" s="262" t="s">
        <v>542</v>
      </c>
      <c r="BG77" s="262" t="s">
        <v>27</v>
      </c>
      <c r="BH77" s="262" t="s">
        <v>547</v>
      </c>
      <c r="BI77" s="262" t="s">
        <v>311</v>
      </c>
      <c r="BJ77" s="262">
        <v>3</v>
      </c>
      <c r="BK77" s="184" t="s">
        <v>312</v>
      </c>
      <c r="BL77" s="262">
        <v>3</v>
      </c>
      <c r="BM77" s="262">
        <v>3</v>
      </c>
      <c r="BN77" s="262">
        <v>5</v>
      </c>
      <c r="BO77" s="262">
        <v>5</v>
      </c>
      <c r="BP77" s="184" t="s">
        <v>312</v>
      </c>
      <c r="BQ77" s="262">
        <v>3</v>
      </c>
      <c r="BR77" s="262" t="s">
        <v>311</v>
      </c>
      <c r="BS77" s="262" t="s">
        <v>311</v>
      </c>
    </row>
    <row r="78" spans="2:71" s="16" customFormat="1" ht="35.25" customHeight="1" x14ac:dyDescent="0.25">
      <c r="B78" s="198" t="s">
        <v>52</v>
      </c>
      <c r="C78" s="154" t="s">
        <v>12</v>
      </c>
      <c r="D78" s="172">
        <v>6073017032</v>
      </c>
      <c r="E78" s="172">
        <v>13593</v>
      </c>
      <c r="F78" s="172">
        <v>47</v>
      </c>
      <c r="G78" s="172">
        <v>6</v>
      </c>
      <c r="H78" s="172">
        <v>9.27</v>
      </c>
      <c r="I78" s="281">
        <v>2</v>
      </c>
      <c r="J78" s="281">
        <v>3</v>
      </c>
      <c r="K78" s="281">
        <v>2.5</v>
      </c>
      <c r="L78" s="281">
        <v>3</v>
      </c>
      <c r="M78" s="281">
        <v>3</v>
      </c>
      <c r="N78" s="281">
        <v>2</v>
      </c>
      <c r="O78" s="281">
        <v>2</v>
      </c>
      <c r="P78" s="281">
        <v>3</v>
      </c>
      <c r="Q78" s="281">
        <v>3</v>
      </c>
      <c r="R78" s="184">
        <v>0</v>
      </c>
      <c r="S78" s="262">
        <v>5</v>
      </c>
      <c r="T78" s="262">
        <v>5</v>
      </c>
      <c r="U78" s="262">
        <v>5</v>
      </c>
      <c r="V78" s="262">
        <v>3</v>
      </c>
      <c r="W78" s="262">
        <v>5</v>
      </c>
      <c r="X78" s="184" t="s">
        <v>312</v>
      </c>
      <c r="Y78" s="262">
        <v>5</v>
      </c>
      <c r="Z78" s="184" t="s">
        <v>312</v>
      </c>
      <c r="AA78" s="262">
        <v>3</v>
      </c>
      <c r="AB78" s="262" t="s">
        <v>560</v>
      </c>
      <c r="AC78" s="262">
        <v>3</v>
      </c>
      <c r="AD78" s="262" t="s">
        <v>560</v>
      </c>
      <c r="AE78" s="262">
        <v>3</v>
      </c>
      <c r="AF78" s="184" t="s">
        <v>312</v>
      </c>
      <c r="AG78" s="262">
        <v>2</v>
      </c>
      <c r="AH78" s="262">
        <v>5</v>
      </c>
      <c r="AI78" s="262">
        <v>0</v>
      </c>
      <c r="AJ78" s="262">
        <v>4</v>
      </c>
      <c r="AK78" s="184" t="s">
        <v>312</v>
      </c>
      <c r="AL78" s="262">
        <v>4</v>
      </c>
      <c r="AM78" s="184" t="s">
        <v>312</v>
      </c>
      <c r="AN78" s="262">
        <v>4</v>
      </c>
      <c r="AO78" s="184" t="s">
        <v>312</v>
      </c>
      <c r="AP78" s="262">
        <v>5</v>
      </c>
      <c r="AQ78" s="262">
        <v>5</v>
      </c>
      <c r="AR78" s="262">
        <v>3</v>
      </c>
      <c r="AS78" s="184" t="s">
        <v>312</v>
      </c>
      <c r="AT78" s="262">
        <v>3</v>
      </c>
      <c r="AU78" s="262" t="s">
        <v>311</v>
      </c>
      <c r="AV78" s="262">
        <v>1</v>
      </c>
      <c r="AW78" s="262">
        <v>3</v>
      </c>
      <c r="AX78" s="184" t="s">
        <v>312</v>
      </c>
      <c r="AY78" s="262">
        <v>5</v>
      </c>
      <c r="AZ78" s="262">
        <v>3</v>
      </c>
      <c r="BA78" s="262">
        <v>3</v>
      </c>
      <c r="BB78" s="262">
        <v>5</v>
      </c>
      <c r="BC78" s="184" t="s">
        <v>312</v>
      </c>
      <c r="BD78" s="262">
        <v>3</v>
      </c>
      <c r="BE78" s="262">
        <v>3</v>
      </c>
      <c r="BF78" s="262" t="s">
        <v>542</v>
      </c>
      <c r="BG78" s="262" t="s">
        <v>27</v>
      </c>
      <c r="BH78" s="262" t="s">
        <v>311</v>
      </c>
      <c r="BI78" s="262" t="s">
        <v>560</v>
      </c>
      <c r="BJ78" s="262">
        <v>3</v>
      </c>
      <c r="BK78" s="184" t="s">
        <v>312</v>
      </c>
      <c r="BL78" s="262">
        <v>3</v>
      </c>
      <c r="BM78" s="262">
        <v>3</v>
      </c>
      <c r="BN78" s="262">
        <v>4</v>
      </c>
      <c r="BO78" s="262">
        <v>4</v>
      </c>
      <c r="BP78" s="184" t="s">
        <v>312</v>
      </c>
      <c r="BQ78" s="262">
        <v>4</v>
      </c>
      <c r="BR78" s="262">
        <v>0</v>
      </c>
      <c r="BS78" s="262" t="s">
        <v>561</v>
      </c>
    </row>
    <row r="79" spans="2:71" s="16" customFormat="1" ht="35.25" customHeight="1" x14ac:dyDescent="0.25">
      <c r="B79" s="198" t="s">
        <v>745</v>
      </c>
      <c r="C79" s="154" t="s">
        <v>9</v>
      </c>
      <c r="D79" s="172">
        <v>6073013421</v>
      </c>
      <c r="E79" s="172">
        <v>4695</v>
      </c>
      <c r="F79" s="172">
        <v>12</v>
      </c>
      <c r="G79" s="172">
        <v>34</v>
      </c>
      <c r="H79" s="172">
        <v>13.47</v>
      </c>
      <c r="I79" s="281">
        <v>3</v>
      </c>
      <c r="J79" s="281">
        <v>3</v>
      </c>
      <c r="K79" s="281">
        <v>2.5</v>
      </c>
      <c r="L79" s="281">
        <v>3</v>
      </c>
      <c r="M79" s="281">
        <v>3</v>
      </c>
      <c r="N79" s="281">
        <v>2</v>
      </c>
      <c r="O79" s="281">
        <v>2</v>
      </c>
      <c r="P79" s="281">
        <v>3</v>
      </c>
      <c r="Q79" s="281">
        <v>3</v>
      </c>
      <c r="R79" s="184">
        <v>0</v>
      </c>
      <c r="S79" s="262">
        <v>5</v>
      </c>
      <c r="T79" s="262">
        <v>3</v>
      </c>
      <c r="U79" s="262" t="s">
        <v>311</v>
      </c>
      <c r="V79" s="262">
        <v>3</v>
      </c>
      <c r="W79" s="262">
        <v>3</v>
      </c>
      <c r="X79" s="184" t="s">
        <v>312</v>
      </c>
      <c r="Y79" s="262">
        <v>5</v>
      </c>
      <c r="Z79" s="184" t="s">
        <v>312</v>
      </c>
      <c r="AA79" s="262">
        <v>1</v>
      </c>
      <c r="AB79" s="262" t="s">
        <v>552</v>
      </c>
      <c r="AC79" s="262">
        <v>1</v>
      </c>
      <c r="AD79" s="262" t="s">
        <v>311</v>
      </c>
      <c r="AE79" s="262">
        <v>3</v>
      </c>
      <c r="AF79" s="184" t="s">
        <v>312</v>
      </c>
      <c r="AG79" s="262">
        <v>4</v>
      </c>
      <c r="AH79" s="262">
        <v>1</v>
      </c>
      <c r="AI79" s="262">
        <v>0</v>
      </c>
      <c r="AJ79" s="262">
        <v>4</v>
      </c>
      <c r="AK79" s="184" t="s">
        <v>312</v>
      </c>
      <c r="AL79" s="262">
        <v>1</v>
      </c>
      <c r="AM79" s="184" t="s">
        <v>312</v>
      </c>
      <c r="AN79" s="262">
        <v>2</v>
      </c>
      <c r="AO79" s="184" t="s">
        <v>312</v>
      </c>
      <c r="AP79" s="262">
        <v>3</v>
      </c>
      <c r="AQ79" s="262">
        <v>3</v>
      </c>
      <c r="AR79" s="262">
        <v>3</v>
      </c>
      <c r="AS79" s="184" t="s">
        <v>312</v>
      </c>
      <c r="AT79" s="262">
        <v>3</v>
      </c>
      <c r="AU79" s="262">
        <v>2</v>
      </c>
      <c r="AV79" s="262">
        <v>1</v>
      </c>
      <c r="AW79" s="262">
        <v>3</v>
      </c>
      <c r="AX79" s="184" t="s">
        <v>312</v>
      </c>
      <c r="AY79" s="262">
        <v>3</v>
      </c>
      <c r="AZ79" s="262" t="s">
        <v>311</v>
      </c>
      <c r="BA79" s="262" t="s">
        <v>311</v>
      </c>
      <c r="BB79" s="262">
        <v>3</v>
      </c>
      <c r="BC79" s="184" t="s">
        <v>312</v>
      </c>
      <c r="BD79" s="262">
        <v>3</v>
      </c>
      <c r="BE79" s="262">
        <v>3</v>
      </c>
      <c r="BF79" s="262" t="s">
        <v>542</v>
      </c>
      <c r="BG79" s="262" t="s">
        <v>27</v>
      </c>
      <c r="BH79" s="262" t="s">
        <v>311</v>
      </c>
      <c r="BI79" s="262" t="s">
        <v>311</v>
      </c>
      <c r="BJ79" s="262">
        <v>3</v>
      </c>
      <c r="BK79" s="184" t="s">
        <v>312</v>
      </c>
      <c r="BL79" s="262">
        <v>3</v>
      </c>
      <c r="BM79" s="262">
        <v>3</v>
      </c>
      <c r="BN79" s="262">
        <v>3</v>
      </c>
      <c r="BO79" s="262">
        <v>3</v>
      </c>
      <c r="BP79" s="184" t="s">
        <v>312</v>
      </c>
      <c r="BQ79" s="262">
        <v>3</v>
      </c>
      <c r="BR79" s="262" t="s">
        <v>311</v>
      </c>
      <c r="BS79" s="262" t="s">
        <v>311</v>
      </c>
    </row>
    <row r="80" spans="2:71" s="16" customFormat="1" ht="35.25" customHeight="1" x14ac:dyDescent="0.25">
      <c r="B80" s="198" t="s">
        <v>53</v>
      </c>
      <c r="C80" s="154" t="s">
        <v>12</v>
      </c>
      <c r="D80" s="172">
        <v>6073016612</v>
      </c>
      <c r="E80" s="172">
        <v>6143</v>
      </c>
      <c r="F80" s="172">
        <v>22</v>
      </c>
      <c r="G80" s="172">
        <v>17</v>
      </c>
      <c r="H80" s="172">
        <v>10.75</v>
      </c>
      <c r="I80" s="281">
        <v>1</v>
      </c>
      <c r="J80" s="281">
        <v>3</v>
      </c>
      <c r="K80" s="281">
        <v>2.5</v>
      </c>
      <c r="L80" s="281">
        <v>3</v>
      </c>
      <c r="M80" s="281">
        <v>3</v>
      </c>
      <c r="N80" s="281">
        <v>2</v>
      </c>
      <c r="O80" s="281">
        <v>1</v>
      </c>
      <c r="P80" s="281">
        <v>3</v>
      </c>
      <c r="Q80" s="281">
        <v>3</v>
      </c>
      <c r="R80" s="184">
        <v>0</v>
      </c>
      <c r="S80" s="262">
        <v>5</v>
      </c>
      <c r="T80" s="262">
        <v>5</v>
      </c>
      <c r="U80" s="262">
        <v>4</v>
      </c>
      <c r="V80" s="262">
        <v>3</v>
      </c>
      <c r="W80" s="262">
        <v>3</v>
      </c>
      <c r="X80" s="184" t="s">
        <v>312</v>
      </c>
      <c r="Y80" s="262">
        <v>5</v>
      </c>
      <c r="Z80" s="184" t="s">
        <v>312</v>
      </c>
      <c r="AA80" s="262">
        <v>3</v>
      </c>
      <c r="AB80" s="262" t="s">
        <v>593</v>
      </c>
      <c r="AC80" s="262">
        <v>3</v>
      </c>
      <c r="AD80" s="262" t="s">
        <v>541</v>
      </c>
      <c r="AE80" s="262">
        <v>3</v>
      </c>
      <c r="AF80" s="184" t="s">
        <v>312</v>
      </c>
      <c r="AG80" s="262">
        <v>3</v>
      </c>
      <c r="AH80" s="262">
        <v>5</v>
      </c>
      <c r="AI80" s="262">
        <v>0</v>
      </c>
      <c r="AJ80" s="262">
        <v>4</v>
      </c>
      <c r="AK80" s="184" t="s">
        <v>312</v>
      </c>
      <c r="AL80" s="262">
        <v>3</v>
      </c>
      <c r="AM80" s="184" t="s">
        <v>312</v>
      </c>
      <c r="AN80" s="262">
        <v>4</v>
      </c>
      <c r="AO80" s="184" t="s">
        <v>312</v>
      </c>
      <c r="AP80" s="262">
        <v>3</v>
      </c>
      <c r="AQ80" s="262">
        <v>3</v>
      </c>
      <c r="AR80" s="262">
        <v>3</v>
      </c>
      <c r="AS80" s="184" t="s">
        <v>312</v>
      </c>
      <c r="AT80" s="262">
        <v>3</v>
      </c>
      <c r="AU80" s="262">
        <v>3</v>
      </c>
      <c r="AV80" s="262">
        <v>1</v>
      </c>
      <c r="AW80" s="262">
        <v>5</v>
      </c>
      <c r="AX80" s="184" t="s">
        <v>312</v>
      </c>
      <c r="AY80" s="262">
        <v>5</v>
      </c>
      <c r="AZ80" s="262">
        <v>3</v>
      </c>
      <c r="BA80" s="262">
        <v>3</v>
      </c>
      <c r="BB80" s="262">
        <v>5</v>
      </c>
      <c r="BC80" s="184" t="s">
        <v>312</v>
      </c>
      <c r="BD80" s="262">
        <v>3</v>
      </c>
      <c r="BE80" s="262">
        <v>3</v>
      </c>
      <c r="BF80" s="262" t="s">
        <v>542</v>
      </c>
      <c r="BG80" s="262" t="s">
        <v>27</v>
      </c>
      <c r="BH80" s="262" t="s">
        <v>547</v>
      </c>
      <c r="BI80" s="262" t="s">
        <v>311</v>
      </c>
      <c r="BJ80" s="262">
        <v>3</v>
      </c>
      <c r="BK80" s="184" t="s">
        <v>312</v>
      </c>
      <c r="BL80" s="262">
        <v>3</v>
      </c>
      <c r="BM80" s="262">
        <v>3</v>
      </c>
      <c r="BN80" s="262">
        <v>3</v>
      </c>
      <c r="BO80" s="262">
        <v>3</v>
      </c>
      <c r="BP80" s="184" t="s">
        <v>312</v>
      </c>
      <c r="BQ80" s="262">
        <v>3</v>
      </c>
      <c r="BR80" s="262">
        <v>0</v>
      </c>
      <c r="BS80" s="262" t="s">
        <v>557</v>
      </c>
    </row>
    <row r="81" spans="2:71" s="16" customFormat="1" ht="35.25" customHeight="1" x14ac:dyDescent="0.25">
      <c r="B81" s="198" t="s">
        <v>62</v>
      </c>
      <c r="C81" s="154" t="s">
        <v>16</v>
      </c>
      <c r="D81" s="172">
        <v>6073021302</v>
      </c>
      <c r="E81" s="172">
        <v>7361</v>
      </c>
      <c r="F81" s="172">
        <v>41</v>
      </c>
      <c r="G81" s="172">
        <v>18</v>
      </c>
      <c r="H81" s="172">
        <v>13.81</v>
      </c>
      <c r="I81" s="281">
        <v>1</v>
      </c>
      <c r="J81" s="281">
        <v>3</v>
      </c>
      <c r="K81" s="281">
        <v>2.5</v>
      </c>
      <c r="L81" s="281">
        <v>3</v>
      </c>
      <c r="M81" s="281">
        <v>3</v>
      </c>
      <c r="N81" s="281">
        <v>2</v>
      </c>
      <c r="O81" s="281">
        <v>2</v>
      </c>
      <c r="P81" s="281">
        <v>3</v>
      </c>
      <c r="Q81" s="281">
        <v>3</v>
      </c>
      <c r="R81" s="186">
        <v>0</v>
      </c>
      <c r="S81" s="262">
        <v>4</v>
      </c>
      <c r="T81" s="262">
        <v>1</v>
      </c>
      <c r="U81" s="262" t="s">
        <v>311</v>
      </c>
      <c r="V81" s="262">
        <v>3</v>
      </c>
      <c r="W81" s="262">
        <v>3</v>
      </c>
      <c r="X81" s="184" t="s">
        <v>312</v>
      </c>
      <c r="Y81" s="262">
        <v>4</v>
      </c>
      <c r="Z81" s="184" t="s">
        <v>312</v>
      </c>
      <c r="AA81" s="262">
        <v>5</v>
      </c>
      <c r="AB81" s="262" t="s">
        <v>638</v>
      </c>
      <c r="AC81" s="262">
        <v>3</v>
      </c>
      <c r="AD81" s="262" t="s">
        <v>546</v>
      </c>
      <c r="AE81" s="262">
        <v>3</v>
      </c>
      <c r="AF81" s="184" t="s">
        <v>312</v>
      </c>
      <c r="AG81" s="262">
        <v>5</v>
      </c>
      <c r="AH81" s="262">
        <v>1</v>
      </c>
      <c r="AI81" s="262">
        <v>0</v>
      </c>
      <c r="AJ81" s="262">
        <v>5</v>
      </c>
      <c r="AK81" s="184" t="s">
        <v>312</v>
      </c>
      <c r="AL81" s="262">
        <v>3</v>
      </c>
      <c r="AM81" s="184" t="s">
        <v>312</v>
      </c>
      <c r="AN81" s="262">
        <v>4</v>
      </c>
      <c r="AO81" s="184" t="s">
        <v>312</v>
      </c>
      <c r="AP81" s="262">
        <v>5</v>
      </c>
      <c r="AQ81" s="262">
        <v>5</v>
      </c>
      <c r="AR81" s="262">
        <v>5</v>
      </c>
      <c r="AS81" s="184" t="s">
        <v>312</v>
      </c>
      <c r="AT81" s="262" t="s">
        <v>311</v>
      </c>
      <c r="AU81" s="262">
        <v>1</v>
      </c>
      <c r="AV81" s="262">
        <v>1</v>
      </c>
      <c r="AW81" s="262">
        <v>5</v>
      </c>
      <c r="AX81" s="184" t="s">
        <v>312</v>
      </c>
      <c r="AY81" s="262">
        <v>5</v>
      </c>
      <c r="AZ81" s="262">
        <v>3</v>
      </c>
      <c r="BA81" s="262">
        <v>3</v>
      </c>
      <c r="BB81" s="262">
        <v>3</v>
      </c>
      <c r="BC81" s="184" t="s">
        <v>312</v>
      </c>
      <c r="BD81" s="262">
        <v>3</v>
      </c>
      <c r="BE81" s="262">
        <v>5</v>
      </c>
      <c r="BF81" s="262" t="s">
        <v>542</v>
      </c>
      <c r="BG81" s="262" t="s">
        <v>27</v>
      </c>
      <c r="BH81" s="262" t="s">
        <v>538</v>
      </c>
      <c r="BI81" s="262" t="s">
        <v>544</v>
      </c>
      <c r="BJ81" s="262" t="s">
        <v>311</v>
      </c>
      <c r="BK81" s="184" t="s">
        <v>312</v>
      </c>
      <c r="BL81" s="262" t="s">
        <v>311</v>
      </c>
      <c r="BM81" s="262" t="s">
        <v>311</v>
      </c>
      <c r="BN81" s="262">
        <v>3</v>
      </c>
      <c r="BO81" s="262">
        <v>3</v>
      </c>
      <c r="BP81" s="184" t="s">
        <v>312</v>
      </c>
      <c r="BQ81" s="262" t="s">
        <v>311</v>
      </c>
      <c r="BR81" s="262" t="s">
        <v>544</v>
      </c>
      <c r="BS81" s="262" t="s">
        <v>544</v>
      </c>
    </row>
    <row r="82" spans="2:71" s="16" customFormat="1" ht="35.25" customHeight="1" x14ac:dyDescent="0.25">
      <c r="B82" s="198" t="s">
        <v>63</v>
      </c>
      <c r="C82" s="154" t="s">
        <v>16</v>
      </c>
      <c r="D82" s="172">
        <v>6073021302</v>
      </c>
      <c r="E82" s="172">
        <v>7361</v>
      </c>
      <c r="F82" s="172">
        <v>86</v>
      </c>
      <c r="G82" s="172">
        <v>36</v>
      </c>
      <c r="H82" s="172">
        <v>29.49</v>
      </c>
      <c r="I82" s="281">
        <v>2</v>
      </c>
      <c r="J82" s="281">
        <v>3</v>
      </c>
      <c r="K82" s="281">
        <v>2.5</v>
      </c>
      <c r="L82" s="281">
        <v>3</v>
      </c>
      <c r="M82" s="281">
        <v>3</v>
      </c>
      <c r="N82" s="281">
        <v>1</v>
      </c>
      <c r="O82" s="281">
        <v>2</v>
      </c>
      <c r="P82" s="281">
        <v>3</v>
      </c>
      <c r="Q82" s="281">
        <v>3</v>
      </c>
      <c r="R82" s="186">
        <v>0</v>
      </c>
      <c r="S82" s="262">
        <v>4</v>
      </c>
      <c r="T82" s="262">
        <v>1</v>
      </c>
      <c r="U82" s="262" t="s">
        <v>311</v>
      </c>
      <c r="V82" s="262">
        <v>3</v>
      </c>
      <c r="W82" s="262">
        <v>3</v>
      </c>
      <c r="X82" s="184" t="s">
        <v>312</v>
      </c>
      <c r="Y82" s="262">
        <v>4</v>
      </c>
      <c r="Z82" s="184" t="s">
        <v>312</v>
      </c>
      <c r="AA82" s="262">
        <v>5</v>
      </c>
      <c r="AB82" s="262" t="s">
        <v>639</v>
      </c>
      <c r="AC82" s="262">
        <v>3</v>
      </c>
      <c r="AD82" s="262" t="s">
        <v>546</v>
      </c>
      <c r="AE82" s="262">
        <v>3</v>
      </c>
      <c r="AF82" s="184" t="s">
        <v>312</v>
      </c>
      <c r="AG82" s="262">
        <v>5</v>
      </c>
      <c r="AH82" s="262">
        <v>1</v>
      </c>
      <c r="AI82" s="262">
        <v>0</v>
      </c>
      <c r="AJ82" s="262">
        <v>5</v>
      </c>
      <c r="AK82" s="184" t="s">
        <v>312</v>
      </c>
      <c r="AL82" s="262">
        <v>3</v>
      </c>
      <c r="AM82" s="184" t="s">
        <v>312</v>
      </c>
      <c r="AN82" s="262">
        <v>4</v>
      </c>
      <c r="AO82" s="184" t="s">
        <v>312</v>
      </c>
      <c r="AP82" s="262">
        <v>5</v>
      </c>
      <c r="AQ82" s="262">
        <v>5</v>
      </c>
      <c r="AR82" s="262">
        <v>5</v>
      </c>
      <c r="AS82" s="184" t="s">
        <v>312</v>
      </c>
      <c r="AT82" s="262" t="s">
        <v>311</v>
      </c>
      <c r="AU82" s="262">
        <v>1</v>
      </c>
      <c r="AV82" s="262">
        <v>1</v>
      </c>
      <c r="AW82" s="262">
        <v>5</v>
      </c>
      <c r="AX82" s="184" t="s">
        <v>312</v>
      </c>
      <c r="AY82" s="262">
        <v>5</v>
      </c>
      <c r="AZ82" s="262">
        <v>3</v>
      </c>
      <c r="BA82" s="262">
        <v>3</v>
      </c>
      <c r="BB82" s="262">
        <v>3</v>
      </c>
      <c r="BC82" s="184" t="s">
        <v>312</v>
      </c>
      <c r="BD82" s="262">
        <v>3</v>
      </c>
      <c r="BE82" s="262">
        <v>5</v>
      </c>
      <c r="BF82" s="262" t="s">
        <v>542</v>
      </c>
      <c r="BG82" s="262" t="s">
        <v>27</v>
      </c>
      <c r="BH82" s="262" t="s">
        <v>538</v>
      </c>
      <c r="BI82" s="262" t="s">
        <v>544</v>
      </c>
      <c r="BJ82" s="262" t="s">
        <v>311</v>
      </c>
      <c r="BK82" s="184" t="s">
        <v>312</v>
      </c>
      <c r="BL82" s="262" t="s">
        <v>311</v>
      </c>
      <c r="BM82" s="262" t="s">
        <v>311</v>
      </c>
      <c r="BN82" s="262">
        <v>3</v>
      </c>
      <c r="BO82" s="262">
        <v>3</v>
      </c>
      <c r="BP82" s="184" t="s">
        <v>312</v>
      </c>
      <c r="BQ82" s="262" t="s">
        <v>311</v>
      </c>
      <c r="BR82" s="262" t="s">
        <v>544</v>
      </c>
      <c r="BS82" s="262" t="s">
        <v>544</v>
      </c>
    </row>
    <row r="83" spans="2:71" s="16" customFormat="1" ht="35.25" customHeight="1" x14ac:dyDescent="0.25">
      <c r="B83" s="198" t="s">
        <v>307</v>
      </c>
      <c r="C83" s="154" t="s">
        <v>13</v>
      </c>
      <c r="D83" s="172">
        <v>6073017813</v>
      </c>
      <c r="E83" s="172">
        <v>4106</v>
      </c>
      <c r="F83" s="172">
        <v>82</v>
      </c>
      <c r="G83" s="172">
        <v>4</v>
      </c>
      <c r="H83" s="172">
        <v>10.58</v>
      </c>
      <c r="I83" s="281">
        <v>3</v>
      </c>
      <c r="J83" s="281">
        <v>3</v>
      </c>
      <c r="K83" s="281">
        <v>2.5</v>
      </c>
      <c r="L83" s="281">
        <v>3</v>
      </c>
      <c r="M83" s="281">
        <v>3</v>
      </c>
      <c r="N83" s="281">
        <v>1</v>
      </c>
      <c r="O83" s="281">
        <v>2</v>
      </c>
      <c r="P83" s="281">
        <v>3</v>
      </c>
      <c r="Q83" s="281">
        <v>3</v>
      </c>
      <c r="R83" s="184">
        <v>0</v>
      </c>
      <c r="S83" s="262" t="s">
        <v>373</v>
      </c>
      <c r="T83" s="262" t="s">
        <v>373</v>
      </c>
      <c r="U83" s="262" t="s">
        <v>373</v>
      </c>
      <c r="V83" s="262" t="s">
        <v>373</v>
      </c>
      <c r="W83" s="262" t="s">
        <v>373</v>
      </c>
      <c r="X83" s="184" t="s">
        <v>312</v>
      </c>
      <c r="Y83" s="262" t="s">
        <v>373</v>
      </c>
      <c r="Z83" s="184" t="s">
        <v>312</v>
      </c>
      <c r="AA83" s="262" t="s">
        <v>373</v>
      </c>
      <c r="AB83" s="262" t="s">
        <v>373</v>
      </c>
      <c r="AC83" s="262" t="s">
        <v>373</v>
      </c>
      <c r="AD83" s="262" t="s">
        <v>373</v>
      </c>
      <c r="AE83" s="262" t="s">
        <v>373</v>
      </c>
      <c r="AF83" s="184" t="s">
        <v>312</v>
      </c>
      <c r="AG83" s="262" t="s">
        <v>373</v>
      </c>
      <c r="AH83" s="262" t="s">
        <v>373</v>
      </c>
      <c r="AI83" s="262" t="s">
        <v>373</v>
      </c>
      <c r="AJ83" s="262" t="s">
        <v>373</v>
      </c>
      <c r="AK83" s="184" t="s">
        <v>312</v>
      </c>
      <c r="AL83" s="262" t="s">
        <v>373</v>
      </c>
      <c r="AM83" s="184" t="s">
        <v>312</v>
      </c>
      <c r="AN83" s="262" t="s">
        <v>373</v>
      </c>
      <c r="AO83" s="184" t="s">
        <v>312</v>
      </c>
      <c r="AP83" s="262" t="s">
        <v>373</v>
      </c>
      <c r="AQ83" s="262" t="s">
        <v>373</v>
      </c>
      <c r="AR83" s="262" t="s">
        <v>373</v>
      </c>
      <c r="AS83" s="184" t="s">
        <v>312</v>
      </c>
      <c r="AT83" s="262" t="s">
        <v>373</v>
      </c>
      <c r="AU83" s="262" t="s">
        <v>373</v>
      </c>
      <c r="AV83" s="262" t="s">
        <v>373</v>
      </c>
      <c r="AW83" s="262" t="s">
        <v>373</v>
      </c>
      <c r="AX83" s="184" t="s">
        <v>312</v>
      </c>
      <c r="AY83" s="262" t="s">
        <v>373</v>
      </c>
      <c r="AZ83" s="262" t="s">
        <v>373</v>
      </c>
      <c r="BA83" s="262" t="s">
        <v>373</v>
      </c>
      <c r="BB83" s="262" t="s">
        <v>373</v>
      </c>
      <c r="BC83" s="184" t="s">
        <v>312</v>
      </c>
      <c r="BD83" s="262" t="s">
        <v>373</v>
      </c>
      <c r="BE83" s="262" t="s">
        <v>373</v>
      </c>
      <c r="BF83" s="262" t="s">
        <v>373</v>
      </c>
      <c r="BG83" s="262" t="s">
        <v>373</v>
      </c>
      <c r="BH83" s="262" t="s">
        <v>373</v>
      </c>
      <c r="BI83" s="262" t="s">
        <v>373</v>
      </c>
      <c r="BJ83" s="262" t="s">
        <v>373</v>
      </c>
      <c r="BK83" s="184" t="s">
        <v>312</v>
      </c>
      <c r="BL83" s="262" t="s">
        <v>373</v>
      </c>
      <c r="BM83" s="262" t="s">
        <v>373</v>
      </c>
      <c r="BN83" s="262" t="s">
        <v>373</v>
      </c>
      <c r="BO83" s="262" t="s">
        <v>373</v>
      </c>
      <c r="BP83" s="184" t="s">
        <v>312</v>
      </c>
      <c r="BQ83" s="262" t="s">
        <v>373</v>
      </c>
      <c r="BR83" s="262" t="s">
        <v>373</v>
      </c>
      <c r="BS83" s="262" t="s">
        <v>373</v>
      </c>
    </row>
    <row r="84" spans="2:71" s="16" customFormat="1" ht="35.25" customHeight="1" x14ac:dyDescent="0.25">
      <c r="B84" s="198" t="s">
        <v>362</v>
      </c>
      <c r="C84" s="154" t="s">
        <v>16</v>
      </c>
      <c r="D84" s="263" t="s">
        <v>742</v>
      </c>
      <c r="E84" s="263" t="s">
        <v>742</v>
      </c>
      <c r="F84" s="263" t="s">
        <v>742</v>
      </c>
      <c r="G84" s="263" t="s">
        <v>742</v>
      </c>
      <c r="H84" s="263" t="s">
        <v>742</v>
      </c>
      <c r="I84" s="282" t="s">
        <v>742</v>
      </c>
      <c r="J84" s="282" t="s">
        <v>742</v>
      </c>
      <c r="K84" s="282" t="s">
        <v>742</v>
      </c>
      <c r="L84" s="282" t="s">
        <v>742</v>
      </c>
      <c r="M84" s="282" t="s">
        <v>742</v>
      </c>
      <c r="N84" s="282" t="s">
        <v>742</v>
      </c>
      <c r="O84" s="282" t="s">
        <v>742</v>
      </c>
      <c r="P84" s="282" t="s">
        <v>742</v>
      </c>
      <c r="Q84" s="282" t="s">
        <v>742</v>
      </c>
      <c r="R84" s="184">
        <v>0</v>
      </c>
      <c r="S84" s="262" t="s">
        <v>373</v>
      </c>
      <c r="T84" s="262" t="s">
        <v>373</v>
      </c>
      <c r="U84" s="262" t="s">
        <v>373</v>
      </c>
      <c r="V84" s="262" t="s">
        <v>373</v>
      </c>
      <c r="W84" s="262" t="s">
        <v>373</v>
      </c>
      <c r="X84" s="184" t="s">
        <v>312</v>
      </c>
      <c r="Y84" s="262" t="s">
        <v>373</v>
      </c>
      <c r="Z84" s="184" t="s">
        <v>312</v>
      </c>
      <c r="AA84" s="262" t="s">
        <v>373</v>
      </c>
      <c r="AB84" s="262" t="s">
        <v>373</v>
      </c>
      <c r="AC84" s="262" t="s">
        <v>373</v>
      </c>
      <c r="AD84" s="262" t="s">
        <v>373</v>
      </c>
      <c r="AE84" s="262" t="s">
        <v>373</v>
      </c>
      <c r="AF84" s="184" t="s">
        <v>312</v>
      </c>
      <c r="AG84" s="262" t="s">
        <v>373</v>
      </c>
      <c r="AH84" s="262" t="s">
        <v>373</v>
      </c>
      <c r="AI84" s="262" t="s">
        <v>373</v>
      </c>
      <c r="AJ84" s="262" t="s">
        <v>373</v>
      </c>
      <c r="AK84" s="184" t="s">
        <v>312</v>
      </c>
      <c r="AL84" s="262" t="s">
        <v>373</v>
      </c>
      <c r="AM84" s="184" t="s">
        <v>312</v>
      </c>
      <c r="AN84" s="262" t="s">
        <v>373</v>
      </c>
      <c r="AO84" s="184" t="s">
        <v>312</v>
      </c>
      <c r="AP84" s="262" t="s">
        <v>373</v>
      </c>
      <c r="AQ84" s="262" t="s">
        <v>373</v>
      </c>
      <c r="AR84" s="262" t="s">
        <v>373</v>
      </c>
      <c r="AS84" s="184" t="s">
        <v>312</v>
      </c>
      <c r="AT84" s="262" t="s">
        <v>373</v>
      </c>
      <c r="AU84" s="262" t="s">
        <v>373</v>
      </c>
      <c r="AV84" s="262" t="s">
        <v>373</v>
      </c>
      <c r="AW84" s="262" t="s">
        <v>373</v>
      </c>
      <c r="AX84" s="184" t="s">
        <v>312</v>
      </c>
      <c r="AY84" s="262" t="s">
        <v>373</v>
      </c>
      <c r="AZ84" s="262" t="s">
        <v>373</v>
      </c>
      <c r="BA84" s="262" t="s">
        <v>373</v>
      </c>
      <c r="BB84" s="262" t="s">
        <v>373</v>
      </c>
      <c r="BC84" s="184" t="s">
        <v>312</v>
      </c>
      <c r="BD84" s="262" t="s">
        <v>373</v>
      </c>
      <c r="BE84" s="262" t="s">
        <v>373</v>
      </c>
      <c r="BF84" s="262" t="s">
        <v>373</v>
      </c>
      <c r="BG84" s="262" t="s">
        <v>373</v>
      </c>
      <c r="BH84" s="262" t="s">
        <v>373</v>
      </c>
      <c r="BI84" s="262" t="s">
        <v>373</v>
      </c>
      <c r="BJ84" s="262" t="s">
        <v>373</v>
      </c>
      <c r="BK84" s="184" t="s">
        <v>312</v>
      </c>
      <c r="BL84" s="262" t="s">
        <v>373</v>
      </c>
      <c r="BM84" s="262" t="s">
        <v>373</v>
      </c>
      <c r="BN84" s="262" t="s">
        <v>373</v>
      </c>
      <c r="BO84" s="262" t="s">
        <v>373</v>
      </c>
      <c r="BP84" s="184" t="s">
        <v>312</v>
      </c>
      <c r="BQ84" s="262" t="s">
        <v>373</v>
      </c>
      <c r="BR84" s="262" t="s">
        <v>373</v>
      </c>
      <c r="BS84" s="262" t="s">
        <v>373</v>
      </c>
    </row>
    <row r="85" spans="2:71" s="16" customFormat="1" ht="35.25" customHeight="1" x14ac:dyDescent="0.25">
      <c r="B85" s="198" t="s">
        <v>336</v>
      </c>
      <c r="C85" s="154" t="s">
        <v>13</v>
      </c>
      <c r="D85" s="263" t="s">
        <v>742</v>
      </c>
      <c r="E85" s="263" t="s">
        <v>742</v>
      </c>
      <c r="F85" s="263" t="s">
        <v>742</v>
      </c>
      <c r="G85" s="263" t="s">
        <v>742</v>
      </c>
      <c r="H85" s="263" t="s">
        <v>742</v>
      </c>
      <c r="I85" s="282" t="s">
        <v>742</v>
      </c>
      <c r="J85" s="282" t="s">
        <v>742</v>
      </c>
      <c r="K85" s="282" t="s">
        <v>742</v>
      </c>
      <c r="L85" s="282" t="s">
        <v>742</v>
      </c>
      <c r="M85" s="282" t="s">
        <v>742</v>
      </c>
      <c r="N85" s="282" t="s">
        <v>742</v>
      </c>
      <c r="O85" s="282" t="s">
        <v>742</v>
      </c>
      <c r="P85" s="282" t="s">
        <v>742</v>
      </c>
      <c r="Q85" s="282" t="s">
        <v>742</v>
      </c>
      <c r="R85" s="184">
        <v>0</v>
      </c>
      <c r="S85" s="262">
        <v>5</v>
      </c>
      <c r="T85" s="262">
        <v>5</v>
      </c>
      <c r="U85" s="262" t="s">
        <v>311</v>
      </c>
      <c r="V85" s="262">
        <v>3</v>
      </c>
      <c r="W85" s="262">
        <v>5</v>
      </c>
      <c r="X85" s="184" t="s">
        <v>312</v>
      </c>
      <c r="Y85" s="262">
        <v>5</v>
      </c>
      <c r="Z85" s="184" t="s">
        <v>312</v>
      </c>
      <c r="AA85" s="262">
        <v>3</v>
      </c>
      <c r="AB85" s="262" t="s">
        <v>599</v>
      </c>
      <c r="AC85" s="262">
        <v>3</v>
      </c>
      <c r="AD85" s="262" t="s">
        <v>546</v>
      </c>
      <c r="AE85" s="262">
        <v>3</v>
      </c>
      <c r="AF85" s="184" t="s">
        <v>312</v>
      </c>
      <c r="AG85" s="262">
        <v>3</v>
      </c>
      <c r="AH85" s="262">
        <v>5</v>
      </c>
      <c r="AI85" s="262">
        <v>0</v>
      </c>
      <c r="AJ85" s="262">
        <v>4</v>
      </c>
      <c r="AK85" s="184" t="s">
        <v>312</v>
      </c>
      <c r="AL85" s="262">
        <v>4</v>
      </c>
      <c r="AM85" s="184" t="s">
        <v>312</v>
      </c>
      <c r="AN85" s="262">
        <v>2</v>
      </c>
      <c r="AO85" s="184" t="s">
        <v>312</v>
      </c>
      <c r="AP85" s="262">
        <v>3</v>
      </c>
      <c r="AQ85" s="262">
        <v>3</v>
      </c>
      <c r="AR85" s="262">
        <v>3</v>
      </c>
      <c r="AS85" s="184" t="s">
        <v>312</v>
      </c>
      <c r="AT85" s="262">
        <v>3</v>
      </c>
      <c r="AU85" s="262">
        <v>3</v>
      </c>
      <c r="AV85" s="262">
        <v>1</v>
      </c>
      <c r="AW85" s="262">
        <v>3</v>
      </c>
      <c r="AX85" s="184" t="s">
        <v>312</v>
      </c>
      <c r="AY85" s="262">
        <v>3</v>
      </c>
      <c r="AZ85" s="262" t="s">
        <v>311</v>
      </c>
      <c r="BA85" s="262" t="s">
        <v>311</v>
      </c>
      <c r="BB85" s="262">
        <v>3</v>
      </c>
      <c r="BC85" s="184" t="s">
        <v>312</v>
      </c>
      <c r="BD85" s="262">
        <v>3</v>
      </c>
      <c r="BE85" s="262">
        <v>3</v>
      </c>
      <c r="BF85" s="262" t="s">
        <v>542</v>
      </c>
      <c r="BG85" s="262" t="s">
        <v>27</v>
      </c>
      <c r="BH85" s="262" t="s">
        <v>547</v>
      </c>
      <c r="BI85" s="262" t="s">
        <v>311</v>
      </c>
      <c r="BJ85" s="262">
        <v>3</v>
      </c>
      <c r="BK85" s="184" t="s">
        <v>312</v>
      </c>
      <c r="BL85" s="262">
        <v>3</v>
      </c>
      <c r="BM85" s="262">
        <v>3</v>
      </c>
      <c r="BN85" s="262">
        <v>3</v>
      </c>
      <c r="BO85" s="262">
        <v>3</v>
      </c>
      <c r="BP85" s="184" t="s">
        <v>312</v>
      </c>
      <c r="BQ85" s="262">
        <v>3</v>
      </c>
      <c r="BR85" s="262" t="s">
        <v>311</v>
      </c>
      <c r="BS85" s="262" t="s">
        <v>311</v>
      </c>
    </row>
    <row r="86" spans="2:71" s="16" customFormat="1" ht="35.25" customHeight="1" x14ac:dyDescent="0.25">
      <c r="B86" s="198" t="s">
        <v>302</v>
      </c>
      <c r="C86" s="154" t="s">
        <v>12</v>
      </c>
      <c r="D86" s="172">
        <v>6073020709</v>
      </c>
      <c r="E86" s="172">
        <v>8007</v>
      </c>
      <c r="F86" s="172">
        <v>49</v>
      </c>
      <c r="G86" s="172">
        <v>17</v>
      </c>
      <c r="H86" s="172">
        <v>14.84</v>
      </c>
      <c r="I86" s="281">
        <v>2</v>
      </c>
      <c r="J86" s="281">
        <v>3</v>
      </c>
      <c r="K86" s="281">
        <v>2.5</v>
      </c>
      <c r="L86" s="281">
        <v>3</v>
      </c>
      <c r="M86" s="281">
        <v>3</v>
      </c>
      <c r="N86" s="281">
        <v>2</v>
      </c>
      <c r="O86" s="281">
        <v>1</v>
      </c>
      <c r="P86" s="281">
        <v>3</v>
      </c>
      <c r="Q86" s="281">
        <v>3</v>
      </c>
      <c r="R86" s="184">
        <v>0</v>
      </c>
      <c r="S86" s="262" t="s">
        <v>373</v>
      </c>
      <c r="T86" s="262" t="s">
        <v>373</v>
      </c>
      <c r="U86" s="262" t="s">
        <v>373</v>
      </c>
      <c r="V86" s="262" t="s">
        <v>373</v>
      </c>
      <c r="W86" s="262" t="s">
        <v>373</v>
      </c>
      <c r="X86" s="184" t="s">
        <v>312</v>
      </c>
      <c r="Y86" s="262" t="s">
        <v>373</v>
      </c>
      <c r="Z86" s="184" t="s">
        <v>312</v>
      </c>
      <c r="AA86" s="262" t="s">
        <v>373</v>
      </c>
      <c r="AB86" s="262" t="s">
        <v>373</v>
      </c>
      <c r="AC86" s="262" t="s">
        <v>373</v>
      </c>
      <c r="AD86" s="262" t="s">
        <v>373</v>
      </c>
      <c r="AE86" s="262" t="s">
        <v>373</v>
      </c>
      <c r="AF86" s="184" t="s">
        <v>312</v>
      </c>
      <c r="AG86" s="262" t="s">
        <v>373</v>
      </c>
      <c r="AH86" s="262" t="s">
        <v>373</v>
      </c>
      <c r="AI86" s="262" t="s">
        <v>373</v>
      </c>
      <c r="AJ86" s="262" t="s">
        <v>373</v>
      </c>
      <c r="AK86" s="184" t="s">
        <v>312</v>
      </c>
      <c r="AL86" s="262" t="s">
        <v>373</v>
      </c>
      <c r="AM86" s="184" t="s">
        <v>312</v>
      </c>
      <c r="AN86" s="262" t="s">
        <v>373</v>
      </c>
      <c r="AO86" s="184" t="s">
        <v>312</v>
      </c>
      <c r="AP86" s="262" t="s">
        <v>373</v>
      </c>
      <c r="AQ86" s="262" t="s">
        <v>373</v>
      </c>
      <c r="AR86" s="262" t="s">
        <v>373</v>
      </c>
      <c r="AS86" s="184" t="s">
        <v>312</v>
      </c>
      <c r="AT86" s="262" t="s">
        <v>373</v>
      </c>
      <c r="AU86" s="262" t="s">
        <v>373</v>
      </c>
      <c r="AV86" s="262" t="s">
        <v>373</v>
      </c>
      <c r="AW86" s="262" t="s">
        <v>373</v>
      </c>
      <c r="AX86" s="184" t="s">
        <v>312</v>
      </c>
      <c r="AY86" s="262" t="s">
        <v>373</v>
      </c>
      <c r="AZ86" s="262" t="s">
        <v>373</v>
      </c>
      <c r="BA86" s="262" t="s">
        <v>373</v>
      </c>
      <c r="BB86" s="262" t="s">
        <v>373</v>
      </c>
      <c r="BC86" s="184" t="s">
        <v>312</v>
      </c>
      <c r="BD86" s="262" t="s">
        <v>373</v>
      </c>
      <c r="BE86" s="262" t="s">
        <v>373</v>
      </c>
      <c r="BF86" s="262" t="s">
        <v>373</v>
      </c>
      <c r="BG86" s="262" t="s">
        <v>373</v>
      </c>
      <c r="BH86" s="262" t="s">
        <v>373</v>
      </c>
      <c r="BI86" s="262" t="s">
        <v>373</v>
      </c>
      <c r="BJ86" s="262" t="s">
        <v>373</v>
      </c>
      <c r="BK86" s="184" t="s">
        <v>312</v>
      </c>
      <c r="BL86" s="262" t="s">
        <v>373</v>
      </c>
      <c r="BM86" s="262" t="s">
        <v>373</v>
      </c>
      <c r="BN86" s="262" t="s">
        <v>373</v>
      </c>
      <c r="BO86" s="262" t="s">
        <v>373</v>
      </c>
      <c r="BP86" s="184" t="s">
        <v>312</v>
      </c>
      <c r="BQ86" s="262" t="s">
        <v>373</v>
      </c>
      <c r="BR86" s="262" t="s">
        <v>373</v>
      </c>
      <c r="BS86" s="262" t="s">
        <v>373</v>
      </c>
    </row>
    <row r="87" spans="2:71" s="16" customFormat="1" ht="35.25" customHeight="1" x14ac:dyDescent="0.25">
      <c r="B87" s="198" t="s">
        <v>349</v>
      </c>
      <c r="C87" s="154" t="s">
        <v>14</v>
      </c>
      <c r="D87" s="172">
        <v>6073020709</v>
      </c>
      <c r="E87" s="172">
        <v>8007</v>
      </c>
      <c r="F87" s="172">
        <v>49</v>
      </c>
      <c r="G87" s="172">
        <v>17</v>
      </c>
      <c r="H87" s="172">
        <v>14.84</v>
      </c>
      <c r="I87" s="281">
        <v>1</v>
      </c>
      <c r="J87" s="281">
        <v>3</v>
      </c>
      <c r="K87" s="281">
        <v>2.5</v>
      </c>
      <c r="L87" s="281">
        <v>3</v>
      </c>
      <c r="M87" s="281">
        <v>3</v>
      </c>
      <c r="N87" s="281">
        <v>2</v>
      </c>
      <c r="O87" s="281">
        <v>1</v>
      </c>
      <c r="P87" s="281">
        <v>3</v>
      </c>
      <c r="Q87" s="281">
        <v>1</v>
      </c>
      <c r="R87" s="184">
        <v>0</v>
      </c>
      <c r="S87" s="262" t="s">
        <v>373</v>
      </c>
      <c r="T87" s="262" t="s">
        <v>373</v>
      </c>
      <c r="U87" s="262" t="s">
        <v>373</v>
      </c>
      <c r="V87" s="262" t="s">
        <v>373</v>
      </c>
      <c r="W87" s="262" t="s">
        <v>373</v>
      </c>
      <c r="X87" s="184" t="s">
        <v>312</v>
      </c>
      <c r="Y87" s="262" t="s">
        <v>373</v>
      </c>
      <c r="Z87" s="184" t="s">
        <v>312</v>
      </c>
      <c r="AA87" s="262" t="s">
        <v>373</v>
      </c>
      <c r="AB87" s="262" t="s">
        <v>373</v>
      </c>
      <c r="AC87" s="262" t="s">
        <v>373</v>
      </c>
      <c r="AD87" s="262" t="s">
        <v>373</v>
      </c>
      <c r="AE87" s="262" t="s">
        <v>373</v>
      </c>
      <c r="AF87" s="184" t="s">
        <v>312</v>
      </c>
      <c r="AG87" s="262" t="s">
        <v>373</v>
      </c>
      <c r="AH87" s="262" t="s">
        <v>373</v>
      </c>
      <c r="AI87" s="262" t="s">
        <v>373</v>
      </c>
      <c r="AJ87" s="262" t="s">
        <v>373</v>
      </c>
      <c r="AK87" s="184" t="s">
        <v>312</v>
      </c>
      <c r="AL87" s="262" t="s">
        <v>373</v>
      </c>
      <c r="AM87" s="184" t="s">
        <v>312</v>
      </c>
      <c r="AN87" s="262" t="s">
        <v>373</v>
      </c>
      <c r="AO87" s="184" t="s">
        <v>312</v>
      </c>
      <c r="AP87" s="262" t="s">
        <v>373</v>
      </c>
      <c r="AQ87" s="262" t="s">
        <v>373</v>
      </c>
      <c r="AR87" s="262" t="s">
        <v>373</v>
      </c>
      <c r="AS87" s="184" t="s">
        <v>312</v>
      </c>
      <c r="AT87" s="262" t="s">
        <v>373</v>
      </c>
      <c r="AU87" s="262" t="s">
        <v>373</v>
      </c>
      <c r="AV87" s="262" t="s">
        <v>373</v>
      </c>
      <c r="AW87" s="262" t="s">
        <v>373</v>
      </c>
      <c r="AX87" s="184" t="s">
        <v>312</v>
      </c>
      <c r="AY87" s="262" t="s">
        <v>373</v>
      </c>
      <c r="AZ87" s="262" t="s">
        <v>373</v>
      </c>
      <c r="BA87" s="262" t="s">
        <v>373</v>
      </c>
      <c r="BB87" s="262" t="s">
        <v>373</v>
      </c>
      <c r="BC87" s="184" t="s">
        <v>312</v>
      </c>
      <c r="BD87" s="262" t="s">
        <v>373</v>
      </c>
      <c r="BE87" s="262" t="s">
        <v>373</v>
      </c>
      <c r="BF87" s="262" t="s">
        <v>373</v>
      </c>
      <c r="BG87" s="262" t="s">
        <v>373</v>
      </c>
      <c r="BH87" s="262" t="s">
        <v>373</v>
      </c>
      <c r="BI87" s="262" t="s">
        <v>373</v>
      </c>
      <c r="BJ87" s="262" t="s">
        <v>373</v>
      </c>
      <c r="BK87" s="184" t="s">
        <v>312</v>
      </c>
      <c r="BL87" s="262" t="s">
        <v>373</v>
      </c>
      <c r="BM87" s="262" t="s">
        <v>373</v>
      </c>
      <c r="BN87" s="262" t="s">
        <v>373</v>
      </c>
      <c r="BO87" s="262" t="s">
        <v>373</v>
      </c>
      <c r="BP87" s="184" t="s">
        <v>312</v>
      </c>
      <c r="BQ87" s="262" t="s">
        <v>373</v>
      </c>
      <c r="BR87" s="262" t="s">
        <v>373</v>
      </c>
      <c r="BS87" s="262" t="s">
        <v>373</v>
      </c>
    </row>
    <row r="88" spans="2:71" s="16" customFormat="1" ht="35.25" customHeight="1" x14ac:dyDescent="0.25">
      <c r="B88" s="198" t="s">
        <v>350</v>
      </c>
      <c r="C88" s="154" t="s">
        <v>14</v>
      </c>
      <c r="D88" s="172">
        <v>6073020709</v>
      </c>
      <c r="E88" s="172">
        <v>8007</v>
      </c>
      <c r="F88" s="172">
        <v>49</v>
      </c>
      <c r="G88" s="172">
        <v>17</v>
      </c>
      <c r="H88" s="172">
        <v>14.84</v>
      </c>
      <c r="I88" s="281">
        <v>1.5</v>
      </c>
      <c r="J88" s="281">
        <v>3</v>
      </c>
      <c r="K88" s="281">
        <v>2.5</v>
      </c>
      <c r="L88" s="281">
        <v>3</v>
      </c>
      <c r="M88" s="281">
        <v>3</v>
      </c>
      <c r="N88" s="281">
        <v>2</v>
      </c>
      <c r="O88" s="281">
        <v>1</v>
      </c>
      <c r="P88" s="281">
        <v>3</v>
      </c>
      <c r="Q88" s="281">
        <v>1</v>
      </c>
      <c r="R88" s="184">
        <v>0</v>
      </c>
      <c r="S88" s="262" t="s">
        <v>373</v>
      </c>
      <c r="T88" s="262" t="s">
        <v>373</v>
      </c>
      <c r="U88" s="262" t="s">
        <v>373</v>
      </c>
      <c r="V88" s="262" t="s">
        <v>373</v>
      </c>
      <c r="W88" s="262" t="s">
        <v>373</v>
      </c>
      <c r="X88" s="184" t="s">
        <v>312</v>
      </c>
      <c r="Y88" s="262" t="s">
        <v>373</v>
      </c>
      <c r="Z88" s="184" t="s">
        <v>312</v>
      </c>
      <c r="AA88" s="262" t="s">
        <v>373</v>
      </c>
      <c r="AB88" s="262" t="s">
        <v>373</v>
      </c>
      <c r="AC88" s="262" t="s">
        <v>373</v>
      </c>
      <c r="AD88" s="262" t="s">
        <v>373</v>
      </c>
      <c r="AE88" s="262" t="s">
        <v>373</v>
      </c>
      <c r="AF88" s="184" t="s">
        <v>312</v>
      </c>
      <c r="AG88" s="262" t="s">
        <v>373</v>
      </c>
      <c r="AH88" s="262" t="s">
        <v>373</v>
      </c>
      <c r="AI88" s="262" t="s">
        <v>373</v>
      </c>
      <c r="AJ88" s="262" t="s">
        <v>373</v>
      </c>
      <c r="AK88" s="184" t="s">
        <v>312</v>
      </c>
      <c r="AL88" s="262" t="s">
        <v>373</v>
      </c>
      <c r="AM88" s="184" t="s">
        <v>312</v>
      </c>
      <c r="AN88" s="262" t="s">
        <v>373</v>
      </c>
      <c r="AO88" s="184" t="s">
        <v>312</v>
      </c>
      <c r="AP88" s="262" t="s">
        <v>373</v>
      </c>
      <c r="AQ88" s="262" t="s">
        <v>373</v>
      </c>
      <c r="AR88" s="262" t="s">
        <v>373</v>
      </c>
      <c r="AS88" s="184" t="s">
        <v>312</v>
      </c>
      <c r="AT88" s="262" t="s">
        <v>373</v>
      </c>
      <c r="AU88" s="262" t="s">
        <v>373</v>
      </c>
      <c r="AV88" s="262" t="s">
        <v>373</v>
      </c>
      <c r="AW88" s="262" t="s">
        <v>373</v>
      </c>
      <c r="AX88" s="184" t="s">
        <v>312</v>
      </c>
      <c r="AY88" s="262" t="s">
        <v>373</v>
      </c>
      <c r="AZ88" s="262" t="s">
        <v>373</v>
      </c>
      <c r="BA88" s="262" t="s">
        <v>373</v>
      </c>
      <c r="BB88" s="262" t="s">
        <v>373</v>
      </c>
      <c r="BC88" s="184" t="s">
        <v>312</v>
      </c>
      <c r="BD88" s="262" t="s">
        <v>373</v>
      </c>
      <c r="BE88" s="262" t="s">
        <v>373</v>
      </c>
      <c r="BF88" s="262" t="s">
        <v>373</v>
      </c>
      <c r="BG88" s="262" t="s">
        <v>373</v>
      </c>
      <c r="BH88" s="262" t="s">
        <v>373</v>
      </c>
      <c r="BI88" s="262" t="s">
        <v>373</v>
      </c>
      <c r="BJ88" s="262" t="s">
        <v>373</v>
      </c>
      <c r="BK88" s="184" t="s">
        <v>312</v>
      </c>
      <c r="BL88" s="262" t="s">
        <v>373</v>
      </c>
      <c r="BM88" s="262" t="s">
        <v>373</v>
      </c>
      <c r="BN88" s="262" t="s">
        <v>373</v>
      </c>
      <c r="BO88" s="262" t="s">
        <v>373</v>
      </c>
      <c r="BP88" s="184" t="s">
        <v>312</v>
      </c>
      <c r="BQ88" s="262" t="s">
        <v>373</v>
      </c>
      <c r="BR88" s="262" t="s">
        <v>373</v>
      </c>
      <c r="BS88" s="262" t="s">
        <v>373</v>
      </c>
    </row>
    <row r="89" spans="2:71" s="16" customFormat="1" ht="35.25" customHeight="1" x14ac:dyDescent="0.25">
      <c r="B89" s="198" t="s">
        <v>39</v>
      </c>
      <c r="C89" s="154" t="s">
        <v>7</v>
      </c>
      <c r="D89" s="172">
        <v>6073016804</v>
      </c>
      <c r="E89" s="172">
        <v>7292</v>
      </c>
      <c r="F89" s="172">
        <v>33</v>
      </c>
      <c r="G89" s="172">
        <v>61</v>
      </c>
      <c r="H89" s="172">
        <v>25.65</v>
      </c>
      <c r="I89" s="281">
        <v>3</v>
      </c>
      <c r="J89" s="281">
        <v>3</v>
      </c>
      <c r="K89" s="281">
        <v>2.5</v>
      </c>
      <c r="L89" s="281">
        <v>3</v>
      </c>
      <c r="M89" s="281">
        <v>3</v>
      </c>
      <c r="N89" s="281">
        <v>2</v>
      </c>
      <c r="O89" s="281">
        <v>2</v>
      </c>
      <c r="P89" s="281">
        <v>3</v>
      </c>
      <c r="Q89" s="281">
        <v>3</v>
      </c>
      <c r="R89" s="184">
        <v>0</v>
      </c>
      <c r="S89" s="262">
        <v>5</v>
      </c>
      <c r="T89" s="262">
        <v>5</v>
      </c>
      <c r="U89" s="262">
        <v>5</v>
      </c>
      <c r="V89" s="262">
        <v>3</v>
      </c>
      <c r="W89" s="262">
        <v>5</v>
      </c>
      <c r="X89" s="184" t="s">
        <v>312</v>
      </c>
      <c r="Y89" s="262">
        <v>5</v>
      </c>
      <c r="Z89" s="184" t="s">
        <v>312</v>
      </c>
      <c r="AA89" s="262">
        <v>1</v>
      </c>
      <c r="AB89" s="262" t="s">
        <v>312</v>
      </c>
      <c r="AC89" s="262">
        <v>3</v>
      </c>
      <c r="AD89" s="262" t="s">
        <v>311</v>
      </c>
      <c r="AE89" s="262">
        <v>3</v>
      </c>
      <c r="AF89" s="184" t="s">
        <v>312</v>
      </c>
      <c r="AG89" s="262">
        <v>3</v>
      </c>
      <c r="AH89" s="262">
        <v>5</v>
      </c>
      <c r="AI89" s="262">
        <v>0</v>
      </c>
      <c r="AJ89" s="262">
        <v>1</v>
      </c>
      <c r="AK89" s="184" t="s">
        <v>312</v>
      </c>
      <c r="AL89" s="262">
        <v>3</v>
      </c>
      <c r="AM89" s="184" t="s">
        <v>312</v>
      </c>
      <c r="AN89" s="262">
        <v>2</v>
      </c>
      <c r="AO89" s="184" t="s">
        <v>312</v>
      </c>
      <c r="AP89" s="262">
        <v>3</v>
      </c>
      <c r="AQ89" s="262">
        <v>3</v>
      </c>
      <c r="AR89" s="262">
        <v>3</v>
      </c>
      <c r="AS89" s="184" t="s">
        <v>312</v>
      </c>
      <c r="AT89" s="262">
        <v>3</v>
      </c>
      <c r="AU89" s="262">
        <v>1</v>
      </c>
      <c r="AV89" s="262">
        <v>1</v>
      </c>
      <c r="AW89" s="262">
        <v>3</v>
      </c>
      <c r="AX89" s="184" t="s">
        <v>312</v>
      </c>
      <c r="AY89" s="262">
        <v>5</v>
      </c>
      <c r="AZ89" s="262">
        <v>1</v>
      </c>
      <c r="BA89" s="262">
        <v>3</v>
      </c>
      <c r="BB89" s="262">
        <v>2</v>
      </c>
      <c r="BC89" s="184" t="s">
        <v>312</v>
      </c>
      <c r="BD89" s="262">
        <v>3</v>
      </c>
      <c r="BE89" s="262">
        <v>3</v>
      </c>
      <c r="BF89" s="262" t="s">
        <v>542</v>
      </c>
      <c r="BG89" s="262">
        <v>3</v>
      </c>
      <c r="BH89" s="262" t="s">
        <v>547</v>
      </c>
      <c r="BI89" s="262" t="s">
        <v>311</v>
      </c>
      <c r="BJ89" s="262">
        <v>3</v>
      </c>
      <c r="BK89" s="184" t="s">
        <v>312</v>
      </c>
      <c r="BL89" s="262">
        <v>3</v>
      </c>
      <c r="BM89" s="262">
        <v>5</v>
      </c>
      <c r="BN89" s="262">
        <v>4</v>
      </c>
      <c r="BO89" s="262">
        <v>4</v>
      </c>
      <c r="BP89" s="184" t="s">
        <v>312</v>
      </c>
      <c r="BQ89" s="262">
        <v>3</v>
      </c>
      <c r="BR89" s="262" t="s">
        <v>311</v>
      </c>
      <c r="BS89" s="262" t="s">
        <v>311</v>
      </c>
    </row>
    <row r="90" spans="2:71" s="16" customFormat="1" ht="35.25" customHeight="1" x14ac:dyDescent="0.25">
      <c r="B90" s="198" t="s">
        <v>319</v>
      </c>
      <c r="C90" s="154" t="s">
        <v>9</v>
      </c>
      <c r="D90" s="172">
        <v>6073012401</v>
      </c>
      <c r="E90" s="172">
        <v>3676</v>
      </c>
      <c r="F90" s="172">
        <v>50</v>
      </c>
      <c r="G90" s="172">
        <v>81</v>
      </c>
      <c r="H90" s="172">
        <v>37.94</v>
      </c>
      <c r="I90" s="281">
        <v>3</v>
      </c>
      <c r="J90" s="281">
        <v>3</v>
      </c>
      <c r="K90" s="281">
        <v>2.5</v>
      </c>
      <c r="L90" s="281">
        <v>3</v>
      </c>
      <c r="M90" s="281">
        <v>3</v>
      </c>
      <c r="N90" s="281">
        <v>2</v>
      </c>
      <c r="O90" s="281">
        <v>2</v>
      </c>
      <c r="P90" s="281">
        <v>3</v>
      </c>
      <c r="Q90" s="281">
        <v>3</v>
      </c>
      <c r="R90" s="184">
        <v>0</v>
      </c>
      <c r="S90" s="262">
        <v>5</v>
      </c>
      <c r="T90" s="262">
        <v>3</v>
      </c>
      <c r="U90" s="262" t="s">
        <v>311</v>
      </c>
      <c r="V90" s="262">
        <v>3</v>
      </c>
      <c r="W90" s="262">
        <v>3</v>
      </c>
      <c r="X90" s="184" t="s">
        <v>312</v>
      </c>
      <c r="Y90" s="262">
        <v>5</v>
      </c>
      <c r="Z90" s="184" t="s">
        <v>312</v>
      </c>
      <c r="AA90" s="262">
        <v>3</v>
      </c>
      <c r="AB90" s="262" t="s">
        <v>558</v>
      </c>
      <c r="AC90" s="262" t="s">
        <v>311</v>
      </c>
      <c r="AD90" s="262" t="s">
        <v>559</v>
      </c>
      <c r="AE90" s="262">
        <v>3</v>
      </c>
      <c r="AF90" s="184" t="s">
        <v>312</v>
      </c>
      <c r="AG90" s="262">
        <v>3</v>
      </c>
      <c r="AH90" s="262">
        <v>5</v>
      </c>
      <c r="AI90" s="262">
        <v>0</v>
      </c>
      <c r="AJ90" s="262">
        <v>2</v>
      </c>
      <c r="AK90" s="184" t="s">
        <v>312</v>
      </c>
      <c r="AL90" s="262">
        <v>4</v>
      </c>
      <c r="AM90" s="184" t="s">
        <v>312</v>
      </c>
      <c r="AN90" s="262">
        <v>2</v>
      </c>
      <c r="AO90" s="184" t="s">
        <v>312</v>
      </c>
      <c r="AP90" s="262">
        <v>3</v>
      </c>
      <c r="AQ90" s="262">
        <v>3</v>
      </c>
      <c r="AR90" s="262">
        <v>3</v>
      </c>
      <c r="AS90" s="184" t="s">
        <v>312</v>
      </c>
      <c r="AT90" s="262">
        <v>3</v>
      </c>
      <c r="AU90" s="262">
        <v>3</v>
      </c>
      <c r="AV90" s="262">
        <v>1</v>
      </c>
      <c r="AW90" s="262">
        <v>3</v>
      </c>
      <c r="AX90" s="184" t="s">
        <v>312</v>
      </c>
      <c r="AY90" s="262">
        <v>5</v>
      </c>
      <c r="AZ90" s="262">
        <v>5</v>
      </c>
      <c r="BA90" s="262">
        <v>5</v>
      </c>
      <c r="BB90" s="262">
        <v>5</v>
      </c>
      <c r="BC90" s="184" t="s">
        <v>312</v>
      </c>
      <c r="BD90" s="262" t="s">
        <v>311</v>
      </c>
      <c r="BE90" s="262">
        <v>3</v>
      </c>
      <c r="BF90" s="262" t="s">
        <v>542</v>
      </c>
      <c r="BG90" s="262">
        <v>3</v>
      </c>
      <c r="BH90" s="262" t="s">
        <v>311</v>
      </c>
      <c r="BI90" s="262" t="s">
        <v>311</v>
      </c>
      <c r="BJ90" s="262">
        <v>3</v>
      </c>
      <c r="BK90" s="184" t="s">
        <v>312</v>
      </c>
      <c r="BL90" s="262">
        <v>3</v>
      </c>
      <c r="BM90" s="262">
        <v>5</v>
      </c>
      <c r="BN90" s="262" t="s">
        <v>311</v>
      </c>
      <c r="BO90" s="262" t="s">
        <v>311</v>
      </c>
      <c r="BP90" s="184" t="s">
        <v>312</v>
      </c>
      <c r="BQ90" s="262" t="s">
        <v>311</v>
      </c>
      <c r="BR90" s="262" t="s">
        <v>311</v>
      </c>
      <c r="BS90" s="262" t="s">
        <v>311</v>
      </c>
    </row>
    <row r="91" spans="2:71" s="16" customFormat="1" ht="35.25" customHeight="1" x14ac:dyDescent="0.25">
      <c r="B91" s="198" t="s">
        <v>71</v>
      </c>
      <c r="C91" s="154" t="s">
        <v>17</v>
      </c>
      <c r="D91" s="172">
        <v>6073020902</v>
      </c>
      <c r="E91" s="172">
        <v>2122</v>
      </c>
      <c r="F91" s="172">
        <v>33</v>
      </c>
      <c r="G91" s="172">
        <v>28</v>
      </c>
      <c r="H91" s="172">
        <v>16.25</v>
      </c>
      <c r="I91" s="281">
        <v>2</v>
      </c>
      <c r="J91" s="281">
        <v>1</v>
      </c>
      <c r="K91" s="281">
        <v>2.5</v>
      </c>
      <c r="L91" s="281">
        <v>3</v>
      </c>
      <c r="M91" s="281">
        <v>3</v>
      </c>
      <c r="N91" s="281">
        <v>2</v>
      </c>
      <c r="O91" s="281">
        <v>2</v>
      </c>
      <c r="P91" s="281">
        <v>3</v>
      </c>
      <c r="Q91" s="281">
        <v>1</v>
      </c>
      <c r="R91" s="184">
        <v>0</v>
      </c>
      <c r="S91" s="262">
        <v>5</v>
      </c>
      <c r="T91" s="262">
        <v>3</v>
      </c>
      <c r="U91" s="262" t="s">
        <v>311</v>
      </c>
      <c r="V91" s="262">
        <v>3</v>
      </c>
      <c r="W91" s="262">
        <v>4</v>
      </c>
      <c r="X91" s="184" t="s">
        <v>312</v>
      </c>
      <c r="Y91" s="262">
        <v>4</v>
      </c>
      <c r="Z91" s="184" t="s">
        <v>312</v>
      </c>
      <c r="AA91" s="262">
        <v>5</v>
      </c>
      <c r="AB91" s="262" t="s">
        <v>647</v>
      </c>
      <c r="AC91" s="262">
        <v>5</v>
      </c>
      <c r="AD91" s="262" t="s">
        <v>541</v>
      </c>
      <c r="AE91" s="262">
        <v>3</v>
      </c>
      <c r="AF91" s="184" t="s">
        <v>312</v>
      </c>
      <c r="AG91" s="262">
        <v>3</v>
      </c>
      <c r="AH91" s="262">
        <v>5</v>
      </c>
      <c r="AI91" s="262">
        <v>0</v>
      </c>
      <c r="AJ91" s="262">
        <v>4</v>
      </c>
      <c r="AK91" s="184" t="s">
        <v>312</v>
      </c>
      <c r="AL91" s="262">
        <v>3</v>
      </c>
      <c r="AM91" s="184" t="s">
        <v>312</v>
      </c>
      <c r="AN91" s="262">
        <v>4</v>
      </c>
      <c r="AO91" s="184" t="s">
        <v>312</v>
      </c>
      <c r="AP91" s="262">
        <v>5</v>
      </c>
      <c r="AQ91" s="262">
        <v>5</v>
      </c>
      <c r="AR91" s="262">
        <v>3</v>
      </c>
      <c r="AS91" s="184" t="s">
        <v>312</v>
      </c>
      <c r="AT91" s="262">
        <v>5</v>
      </c>
      <c r="AU91" s="262">
        <v>4</v>
      </c>
      <c r="AV91" s="262">
        <v>5</v>
      </c>
      <c r="AW91" s="262">
        <v>5</v>
      </c>
      <c r="AX91" s="184" t="s">
        <v>312</v>
      </c>
      <c r="AY91" s="262">
        <v>5</v>
      </c>
      <c r="AZ91" s="262">
        <v>5</v>
      </c>
      <c r="BA91" s="262">
        <v>3</v>
      </c>
      <c r="BB91" s="262">
        <v>3</v>
      </c>
      <c r="BC91" s="184" t="s">
        <v>312</v>
      </c>
      <c r="BD91" s="262">
        <v>5</v>
      </c>
      <c r="BE91" s="262">
        <v>5</v>
      </c>
      <c r="BF91" s="262" t="s">
        <v>601</v>
      </c>
      <c r="BG91" s="262" t="s">
        <v>27</v>
      </c>
      <c r="BH91" s="262" t="s">
        <v>538</v>
      </c>
      <c r="BI91" s="262">
        <v>300</v>
      </c>
      <c r="BJ91" s="262">
        <v>5</v>
      </c>
      <c r="BK91" s="184" t="s">
        <v>312</v>
      </c>
      <c r="BL91" s="262">
        <v>5</v>
      </c>
      <c r="BM91" s="262">
        <v>5</v>
      </c>
      <c r="BN91" s="262">
        <v>3</v>
      </c>
      <c r="BO91" s="262">
        <v>3</v>
      </c>
      <c r="BP91" s="184" t="s">
        <v>312</v>
      </c>
      <c r="BQ91" s="262">
        <v>4</v>
      </c>
      <c r="BR91" s="262" t="s">
        <v>311</v>
      </c>
      <c r="BS91" s="262" t="s">
        <v>311</v>
      </c>
    </row>
    <row r="92" spans="2:71" s="16" customFormat="1" ht="35.25" customHeight="1" x14ac:dyDescent="0.25">
      <c r="B92" s="198" t="s">
        <v>363</v>
      </c>
      <c r="C92" s="154" t="s">
        <v>16</v>
      </c>
      <c r="D92" s="263" t="s">
        <v>742</v>
      </c>
      <c r="E92" s="263" t="s">
        <v>742</v>
      </c>
      <c r="F92" s="263" t="s">
        <v>742</v>
      </c>
      <c r="G92" s="263" t="s">
        <v>742</v>
      </c>
      <c r="H92" s="263" t="s">
        <v>742</v>
      </c>
      <c r="I92" s="282" t="s">
        <v>742</v>
      </c>
      <c r="J92" s="282" t="s">
        <v>742</v>
      </c>
      <c r="K92" s="282" t="s">
        <v>742</v>
      </c>
      <c r="L92" s="282" t="s">
        <v>742</v>
      </c>
      <c r="M92" s="282" t="s">
        <v>742</v>
      </c>
      <c r="N92" s="282" t="s">
        <v>742</v>
      </c>
      <c r="O92" s="282" t="s">
        <v>742</v>
      </c>
      <c r="P92" s="282" t="s">
        <v>742</v>
      </c>
      <c r="Q92" s="282" t="s">
        <v>742</v>
      </c>
      <c r="R92" s="186">
        <v>0</v>
      </c>
      <c r="S92" s="262">
        <v>3</v>
      </c>
      <c r="T92" s="262">
        <v>3</v>
      </c>
      <c r="U92" s="262" t="s">
        <v>311</v>
      </c>
      <c r="V92" s="262">
        <v>3</v>
      </c>
      <c r="W92" s="262">
        <v>3</v>
      </c>
      <c r="X92" s="184" t="s">
        <v>312</v>
      </c>
      <c r="Y92" s="262">
        <v>4</v>
      </c>
      <c r="Z92" s="184" t="s">
        <v>312</v>
      </c>
      <c r="AA92" s="262">
        <v>5</v>
      </c>
      <c r="AB92" s="262" t="s">
        <v>640</v>
      </c>
      <c r="AC92" s="262">
        <v>5</v>
      </c>
      <c r="AD92" s="262" t="s">
        <v>541</v>
      </c>
      <c r="AE92" s="262">
        <v>5</v>
      </c>
      <c r="AF92" s="184" t="s">
        <v>312</v>
      </c>
      <c r="AG92" s="262">
        <v>2</v>
      </c>
      <c r="AH92" s="262">
        <v>5</v>
      </c>
      <c r="AI92" s="262" t="s">
        <v>311</v>
      </c>
      <c r="AJ92" s="262">
        <v>5</v>
      </c>
      <c r="AK92" s="184" t="s">
        <v>312</v>
      </c>
      <c r="AL92" s="262">
        <v>5</v>
      </c>
      <c r="AM92" s="184" t="s">
        <v>312</v>
      </c>
      <c r="AN92" s="262">
        <v>4</v>
      </c>
      <c r="AO92" s="184" t="s">
        <v>312</v>
      </c>
      <c r="AP92" s="262">
        <v>5</v>
      </c>
      <c r="AQ92" s="262">
        <v>5</v>
      </c>
      <c r="AR92" s="262">
        <v>3</v>
      </c>
      <c r="AS92" s="184" t="s">
        <v>312</v>
      </c>
      <c r="AT92" s="262">
        <v>5</v>
      </c>
      <c r="AU92" s="262">
        <v>3</v>
      </c>
      <c r="AV92" s="262">
        <v>1</v>
      </c>
      <c r="AW92" s="262">
        <v>5</v>
      </c>
      <c r="AX92" s="184" t="s">
        <v>312</v>
      </c>
      <c r="AY92" s="262">
        <v>5</v>
      </c>
      <c r="AZ92" s="262">
        <v>1</v>
      </c>
      <c r="BA92" s="262">
        <v>5</v>
      </c>
      <c r="BB92" s="262">
        <v>3</v>
      </c>
      <c r="BC92" s="184" t="s">
        <v>312</v>
      </c>
      <c r="BD92" s="262">
        <v>3</v>
      </c>
      <c r="BE92" s="262">
        <v>5</v>
      </c>
      <c r="BF92" s="262" t="s">
        <v>601</v>
      </c>
      <c r="BG92" s="262" t="s">
        <v>27</v>
      </c>
      <c r="BH92" s="262" t="s">
        <v>538</v>
      </c>
      <c r="BI92" s="262" t="s">
        <v>311</v>
      </c>
      <c r="BJ92" s="262">
        <v>5</v>
      </c>
      <c r="BK92" s="184" t="s">
        <v>312</v>
      </c>
      <c r="BL92" s="262">
        <v>5</v>
      </c>
      <c r="BM92" s="262">
        <v>5</v>
      </c>
      <c r="BN92" s="262">
        <v>5</v>
      </c>
      <c r="BO92" s="262">
        <v>5</v>
      </c>
      <c r="BP92" s="184" t="s">
        <v>312</v>
      </c>
      <c r="BQ92" s="262">
        <v>5</v>
      </c>
      <c r="BR92" s="262" t="s">
        <v>311</v>
      </c>
      <c r="BS92" s="262" t="s">
        <v>641</v>
      </c>
    </row>
    <row r="93" spans="2:71" s="16" customFormat="1" ht="35.25" customHeight="1" x14ac:dyDescent="0.25">
      <c r="B93" s="198" t="s">
        <v>364</v>
      </c>
      <c r="C93" s="154" t="s">
        <v>16</v>
      </c>
      <c r="D93" s="263" t="s">
        <v>742</v>
      </c>
      <c r="E93" s="263" t="s">
        <v>742</v>
      </c>
      <c r="F93" s="263" t="s">
        <v>742</v>
      </c>
      <c r="G93" s="263" t="s">
        <v>742</v>
      </c>
      <c r="H93" s="263" t="s">
        <v>742</v>
      </c>
      <c r="I93" s="282" t="s">
        <v>742</v>
      </c>
      <c r="J93" s="282" t="s">
        <v>742</v>
      </c>
      <c r="K93" s="282" t="s">
        <v>742</v>
      </c>
      <c r="L93" s="282" t="s">
        <v>742</v>
      </c>
      <c r="M93" s="282" t="s">
        <v>742</v>
      </c>
      <c r="N93" s="282" t="s">
        <v>742</v>
      </c>
      <c r="O93" s="282" t="s">
        <v>742</v>
      </c>
      <c r="P93" s="282" t="s">
        <v>742</v>
      </c>
      <c r="Q93" s="282" t="s">
        <v>742</v>
      </c>
      <c r="R93" s="184">
        <v>0</v>
      </c>
      <c r="S93" s="262">
        <v>3</v>
      </c>
      <c r="T93" s="262">
        <v>3</v>
      </c>
      <c r="U93" s="262" t="s">
        <v>311</v>
      </c>
      <c r="V93" s="262">
        <v>2</v>
      </c>
      <c r="W93" s="262">
        <v>3</v>
      </c>
      <c r="X93" s="184" t="s">
        <v>312</v>
      </c>
      <c r="Y93" s="262">
        <v>4</v>
      </c>
      <c r="Z93" s="184" t="s">
        <v>312</v>
      </c>
      <c r="AA93" s="262">
        <v>5</v>
      </c>
      <c r="AB93" s="262" t="s">
        <v>642</v>
      </c>
      <c r="AC93" s="262">
        <v>5</v>
      </c>
      <c r="AD93" s="262" t="s">
        <v>541</v>
      </c>
      <c r="AE93" s="262">
        <v>5</v>
      </c>
      <c r="AF93" s="184" t="s">
        <v>312</v>
      </c>
      <c r="AG93" s="262">
        <v>2</v>
      </c>
      <c r="AH93" s="262">
        <v>5</v>
      </c>
      <c r="AI93" s="262" t="s">
        <v>311</v>
      </c>
      <c r="AJ93" s="262">
        <v>5</v>
      </c>
      <c r="AK93" s="184" t="s">
        <v>312</v>
      </c>
      <c r="AL93" s="262">
        <v>5</v>
      </c>
      <c r="AM93" s="184" t="s">
        <v>312</v>
      </c>
      <c r="AN93" s="262">
        <v>5</v>
      </c>
      <c r="AO93" s="184" t="s">
        <v>312</v>
      </c>
      <c r="AP93" s="262">
        <v>3</v>
      </c>
      <c r="AQ93" s="262">
        <v>5</v>
      </c>
      <c r="AR93" s="262">
        <v>3</v>
      </c>
      <c r="AS93" s="184" t="s">
        <v>312</v>
      </c>
      <c r="AT93" s="262">
        <v>3</v>
      </c>
      <c r="AU93" s="262">
        <v>3</v>
      </c>
      <c r="AV93" s="262">
        <v>1</v>
      </c>
      <c r="AW93" s="262">
        <v>5</v>
      </c>
      <c r="AX93" s="184" t="s">
        <v>312</v>
      </c>
      <c r="AY93" s="262">
        <v>5</v>
      </c>
      <c r="AZ93" s="262">
        <v>5</v>
      </c>
      <c r="BA93" s="262">
        <v>3</v>
      </c>
      <c r="BB93" s="262">
        <v>3</v>
      </c>
      <c r="BC93" s="184" t="s">
        <v>312</v>
      </c>
      <c r="BD93" s="262">
        <v>3</v>
      </c>
      <c r="BE93" s="262">
        <v>3</v>
      </c>
      <c r="BF93" s="262" t="s">
        <v>601</v>
      </c>
      <c r="BG93" s="262" t="s">
        <v>27</v>
      </c>
      <c r="BH93" s="262" t="s">
        <v>311</v>
      </c>
      <c r="BI93" s="262" t="s">
        <v>311</v>
      </c>
      <c r="BJ93" s="262">
        <v>3</v>
      </c>
      <c r="BK93" s="184" t="s">
        <v>312</v>
      </c>
      <c r="BL93" s="262">
        <v>3</v>
      </c>
      <c r="BM93" s="262">
        <v>3</v>
      </c>
      <c r="BN93" s="262">
        <v>4</v>
      </c>
      <c r="BO93" s="262">
        <v>5</v>
      </c>
      <c r="BP93" s="184" t="s">
        <v>312</v>
      </c>
      <c r="BQ93" s="262" t="s">
        <v>311</v>
      </c>
      <c r="BR93" s="262" t="s">
        <v>311</v>
      </c>
      <c r="BS93" s="262" t="s">
        <v>311</v>
      </c>
    </row>
    <row r="94" spans="2:71" s="16" customFormat="1" ht="35.25" customHeight="1" x14ac:dyDescent="0.25">
      <c r="B94" s="198" t="s">
        <v>320</v>
      </c>
      <c r="C94" s="154" t="s">
        <v>9</v>
      </c>
      <c r="D94" s="172">
        <v>6073017106</v>
      </c>
      <c r="E94" s="172">
        <v>4973</v>
      </c>
      <c r="F94" s="172">
        <v>32</v>
      </c>
      <c r="G94" s="172">
        <v>3</v>
      </c>
      <c r="H94" s="172">
        <v>5.98</v>
      </c>
      <c r="I94" s="281">
        <v>2</v>
      </c>
      <c r="J94" s="281">
        <v>1</v>
      </c>
      <c r="K94" s="281">
        <v>2.5</v>
      </c>
      <c r="L94" s="281">
        <v>3</v>
      </c>
      <c r="M94" s="281">
        <v>3</v>
      </c>
      <c r="N94" s="281">
        <v>2</v>
      </c>
      <c r="O94" s="281">
        <v>1</v>
      </c>
      <c r="P94" s="281">
        <v>3</v>
      </c>
      <c r="Q94" s="281">
        <v>2</v>
      </c>
      <c r="R94" s="184">
        <v>0</v>
      </c>
      <c r="S94" s="262">
        <v>5</v>
      </c>
      <c r="T94" s="262">
        <v>5</v>
      </c>
      <c r="U94" s="262" t="s">
        <v>311</v>
      </c>
      <c r="V94" s="262">
        <v>3</v>
      </c>
      <c r="W94" s="262">
        <v>5</v>
      </c>
      <c r="X94" s="184" t="s">
        <v>312</v>
      </c>
      <c r="Y94" s="262">
        <v>5</v>
      </c>
      <c r="Z94" s="184" t="s">
        <v>312</v>
      </c>
      <c r="AA94" s="262">
        <v>1</v>
      </c>
      <c r="AB94" s="262">
        <v>30000000</v>
      </c>
      <c r="AC94" s="262">
        <v>1</v>
      </c>
      <c r="AD94" s="262">
        <v>650000</v>
      </c>
      <c r="AE94" s="262">
        <v>3</v>
      </c>
      <c r="AF94" s="184" t="s">
        <v>312</v>
      </c>
      <c r="AG94" s="262">
        <v>4</v>
      </c>
      <c r="AH94" s="262">
        <v>5</v>
      </c>
      <c r="AI94" s="262">
        <v>0</v>
      </c>
      <c r="AJ94" s="262">
        <v>5</v>
      </c>
      <c r="AK94" s="184" t="s">
        <v>312</v>
      </c>
      <c r="AL94" s="262">
        <v>5</v>
      </c>
      <c r="AM94" s="184" t="s">
        <v>312</v>
      </c>
      <c r="AN94" s="262">
        <v>2</v>
      </c>
      <c r="AO94" s="184" t="s">
        <v>312</v>
      </c>
      <c r="AP94" s="262">
        <v>4</v>
      </c>
      <c r="AQ94" s="262">
        <v>5</v>
      </c>
      <c r="AR94" s="262">
        <v>2</v>
      </c>
      <c r="AS94" s="184" t="s">
        <v>312</v>
      </c>
      <c r="AT94" s="262">
        <v>3</v>
      </c>
      <c r="AU94" s="262" t="s">
        <v>311</v>
      </c>
      <c r="AV94" s="262">
        <v>1</v>
      </c>
      <c r="AW94" s="262">
        <v>3</v>
      </c>
      <c r="AX94" s="184" t="s">
        <v>312</v>
      </c>
      <c r="AY94" s="262">
        <v>5</v>
      </c>
      <c r="AZ94" s="262">
        <v>5</v>
      </c>
      <c r="BA94" s="262">
        <v>3</v>
      </c>
      <c r="BB94" s="262">
        <v>2</v>
      </c>
      <c r="BC94" s="184" t="s">
        <v>312</v>
      </c>
      <c r="BD94" s="262">
        <v>3</v>
      </c>
      <c r="BE94" s="262">
        <v>3</v>
      </c>
      <c r="BF94" s="262" t="s">
        <v>542</v>
      </c>
      <c r="BG94" s="262">
        <v>3</v>
      </c>
      <c r="BH94" s="262" t="s">
        <v>311</v>
      </c>
      <c r="BI94" s="262" t="s">
        <v>560</v>
      </c>
      <c r="BJ94" s="262">
        <v>3</v>
      </c>
      <c r="BK94" s="184" t="s">
        <v>312</v>
      </c>
      <c r="BL94" s="262">
        <v>3</v>
      </c>
      <c r="BM94" s="262">
        <v>5</v>
      </c>
      <c r="BN94" s="262">
        <v>4</v>
      </c>
      <c r="BO94" s="262">
        <v>4</v>
      </c>
      <c r="BP94" s="184" t="s">
        <v>312</v>
      </c>
      <c r="BQ94" s="262">
        <v>4</v>
      </c>
      <c r="BR94" s="262">
        <v>0</v>
      </c>
      <c r="BS94" s="262" t="s">
        <v>561</v>
      </c>
    </row>
    <row r="95" spans="2:71" s="16" customFormat="1" ht="35.25" customHeight="1" x14ac:dyDescent="0.25">
      <c r="B95" s="198" t="s">
        <v>292</v>
      </c>
      <c r="C95" s="154" t="s">
        <v>9</v>
      </c>
      <c r="D95" s="172">
        <v>6073018609</v>
      </c>
      <c r="E95" s="172">
        <v>6133</v>
      </c>
      <c r="F95" s="172">
        <v>9</v>
      </c>
      <c r="G95" s="172">
        <v>41</v>
      </c>
      <c r="H95" s="172">
        <v>13.92</v>
      </c>
      <c r="I95" s="281">
        <v>3</v>
      </c>
      <c r="J95" s="281">
        <v>3</v>
      </c>
      <c r="K95" s="281">
        <v>2.5</v>
      </c>
      <c r="L95" s="281">
        <v>3</v>
      </c>
      <c r="M95" s="281">
        <v>3</v>
      </c>
      <c r="N95" s="281">
        <v>2</v>
      </c>
      <c r="O95" s="281">
        <v>2</v>
      </c>
      <c r="P95" s="281">
        <v>3</v>
      </c>
      <c r="Q95" s="281">
        <v>3</v>
      </c>
      <c r="R95" s="184">
        <v>0</v>
      </c>
      <c r="S95" s="262" t="s">
        <v>373</v>
      </c>
      <c r="T95" s="262" t="s">
        <v>373</v>
      </c>
      <c r="U95" s="262" t="s">
        <v>373</v>
      </c>
      <c r="V95" s="262" t="s">
        <v>373</v>
      </c>
      <c r="W95" s="262" t="s">
        <v>373</v>
      </c>
      <c r="X95" s="184" t="s">
        <v>312</v>
      </c>
      <c r="Y95" s="262" t="s">
        <v>373</v>
      </c>
      <c r="Z95" s="184" t="s">
        <v>312</v>
      </c>
      <c r="AA95" s="262" t="s">
        <v>373</v>
      </c>
      <c r="AB95" s="262" t="s">
        <v>373</v>
      </c>
      <c r="AC95" s="262" t="s">
        <v>373</v>
      </c>
      <c r="AD95" s="262" t="s">
        <v>373</v>
      </c>
      <c r="AE95" s="262" t="s">
        <v>373</v>
      </c>
      <c r="AF95" s="184" t="s">
        <v>312</v>
      </c>
      <c r="AG95" s="262" t="s">
        <v>373</v>
      </c>
      <c r="AH95" s="262" t="s">
        <v>373</v>
      </c>
      <c r="AI95" s="262" t="s">
        <v>373</v>
      </c>
      <c r="AJ95" s="262" t="s">
        <v>373</v>
      </c>
      <c r="AK95" s="184" t="s">
        <v>312</v>
      </c>
      <c r="AL95" s="262" t="s">
        <v>373</v>
      </c>
      <c r="AM95" s="184" t="s">
        <v>312</v>
      </c>
      <c r="AN95" s="262" t="s">
        <v>373</v>
      </c>
      <c r="AO95" s="184" t="s">
        <v>312</v>
      </c>
      <c r="AP95" s="262" t="s">
        <v>373</v>
      </c>
      <c r="AQ95" s="262" t="s">
        <v>373</v>
      </c>
      <c r="AR95" s="262" t="s">
        <v>373</v>
      </c>
      <c r="AS95" s="184" t="s">
        <v>312</v>
      </c>
      <c r="AT95" s="262" t="s">
        <v>373</v>
      </c>
      <c r="AU95" s="262" t="s">
        <v>373</v>
      </c>
      <c r="AV95" s="262" t="s">
        <v>373</v>
      </c>
      <c r="AW95" s="262" t="s">
        <v>373</v>
      </c>
      <c r="AX95" s="184" t="s">
        <v>312</v>
      </c>
      <c r="AY95" s="262" t="s">
        <v>373</v>
      </c>
      <c r="AZ95" s="262" t="s">
        <v>373</v>
      </c>
      <c r="BA95" s="262" t="s">
        <v>373</v>
      </c>
      <c r="BB95" s="262" t="s">
        <v>373</v>
      </c>
      <c r="BC95" s="184" t="s">
        <v>312</v>
      </c>
      <c r="BD95" s="262" t="s">
        <v>373</v>
      </c>
      <c r="BE95" s="262" t="s">
        <v>373</v>
      </c>
      <c r="BF95" s="262" t="s">
        <v>373</v>
      </c>
      <c r="BG95" s="262" t="s">
        <v>373</v>
      </c>
      <c r="BH95" s="262" t="s">
        <v>373</v>
      </c>
      <c r="BI95" s="262" t="s">
        <v>373</v>
      </c>
      <c r="BJ95" s="262" t="s">
        <v>373</v>
      </c>
      <c r="BK95" s="184" t="s">
        <v>312</v>
      </c>
      <c r="BL95" s="262" t="s">
        <v>373</v>
      </c>
      <c r="BM95" s="262" t="s">
        <v>373</v>
      </c>
      <c r="BN95" s="262" t="s">
        <v>373</v>
      </c>
      <c r="BO95" s="262" t="s">
        <v>373</v>
      </c>
      <c r="BP95" s="184" t="s">
        <v>312</v>
      </c>
      <c r="BQ95" s="262" t="s">
        <v>373</v>
      </c>
      <c r="BR95" s="262" t="s">
        <v>373</v>
      </c>
      <c r="BS95" s="262" t="s">
        <v>373</v>
      </c>
    </row>
    <row r="96" spans="2:71" s="16" customFormat="1" ht="35.25" customHeight="1" x14ac:dyDescent="0.25">
      <c r="B96" s="198" t="s">
        <v>351</v>
      </c>
      <c r="C96" s="154" t="s">
        <v>14</v>
      </c>
      <c r="D96" s="172">
        <v>6073020027</v>
      </c>
      <c r="E96" s="172">
        <v>13665</v>
      </c>
      <c r="F96" s="172">
        <v>38</v>
      </c>
      <c r="G96" s="172">
        <v>9</v>
      </c>
      <c r="H96" s="172">
        <v>10</v>
      </c>
      <c r="I96" s="281">
        <v>2</v>
      </c>
      <c r="J96" s="281">
        <v>1</v>
      </c>
      <c r="K96" s="281">
        <v>2.5</v>
      </c>
      <c r="L96" s="281">
        <v>3</v>
      </c>
      <c r="M96" s="281">
        <v>3</v>
      </c>
      <c r="N96" s="281">
        <v>1</v>
      </c>
      <c r="O96" s="281">
        <v>2</v>
      </c>
      <c r="P96" s="281">
        <v>3</v>
      </c>
      <c r="Q96" s="281">
        <v>2</v>
      </c>
      <c r="R96" s="184">
        <v>0</v>
      </c>
      <c r="S96" s="262">
        <v>2</v>
      </c>
      <c r="T96" s="262">
        <v>2</v>
      </c>
      <c r="U96" s="262" t="s">
        <v>311</v>
      </c>
      <c r="V96" s="262">
        <v>3</v>
      </c>
      <c r="W96" s="262">
        <v>3</v>
      </c>
      <c r="X96" s="184" t="s">
        <v>312</v>
      </c>
      <c r="Y96" s="262">
        <v>3</v>
      </c>
      <c r="Z96" s="184" t="s">
        <v>312</v>
      </c>
      <c r="AA96" s="262">
        <v>3</v>
      </c>
      <c r="AB96" s="262">
        <v>545000</v>
      </c>
      <c r="AC96" s="262">
        <v>3</v>
      </c>
      <c r="AD96" s="262" t="s">
        <v>626</v>
      </c>
      <c r="AE96" s="262">
        <v>1</v>
      </c>
      <c r="AF96" s="184" t="s">
        <v>312</v>
      </c>
      <c r="AG96" s="262">
        <v>2</v>
      </c>
      <c r="AH96" s="262">
        <v>4</v>
      </c>
      <c r="AI96" s="262">
        <v>0</v>
      </c>
      <c r="AJ96" s="262">
        <v>2</v>
      </c>
      <c r="AK96" s="184" t="s">
        <v>312</v>
      </c>
      <c r="AL96" s="262">
        <v>3</v>
      </c>
      <c r="AM96" s="184" t="s">
        <v>312</v>
      </c>
      <c r="AN96" s="262">
        <v>2</v>
      </c>
      <c r="AO96" s="184" t="s">
        <v>312</v>
      </c>
      <c r="AP96" s="262">
        <v>4</v>
      </c>
      <c r="AQ96" s="262">
        <v>4</v>
      </c>
      <c r="AR96" s="262">
        <v>3</v>
      </c>
      <c r="AS96" s="184" t="s">
        <v>312</v>
      </c>
      <c r="AT96" s="262">
        <v>5</v>
      </c>
      <c r="AU96" s="262">
        <v>1</v>
      </c>
      <c r="AV96" s="262">
        <v>1</v>
      </c>
      <c r="AW96" s="262">
        <v>3</v>
      </c>
      <c r="AX96" s="184" t="s">
        <v>312</v>
      </c>
      <c r="AY96" s="262">
        <v>3</v>
      </c>
      <c r="AZ96" s="262" t="s">
        <v>311</v>
      </c>
      <c r="BA96" s="262" t="s">
        <v>311</v>
      </c>
      <c r="BB96" s="262">
        <v>3</v>
      </c>
      <c r="BC96" s="184" t="s">
        <v>312</v>
      </c>
      <c r="BD96" s="262">
        <v>3</v>
      </c>
      <c r="BE96" s="262">
        <v>3</v>
      </c>
      <c r="BF96" s="262" t="s">
        <v>311</v>
      </c>
      <c r="BG96" s="262" t="s">
        <v>311</v>
      </c>
      <c r="BH96" s="262" t="s">
        <v>538</v>
      </c>
      <c r="BI96" s="262" t="s">
        <v>627</v>
      </c>
      <c r="BJ96" s="262">
        <v>3</v>
      </c>
      <c r="BK96" s="184" t="s">
        <v>312</v>
      </c>
      <c r="BL96" s="262">
        <v>5</v>
      </c>
      <c r="BM96" s="262">
        <v>3</v>
      </c>
      <c r="BN96" s="262">
        <v>4</v>
      </c>
      <c r="BO96" s="262">
        <v>3</v>
      </c>
      <c r="BP96" s="184" t="s">
        <v>312</v>
      </c>
      <c r="BQ96" s="262">
        <v>3</v>
      </c>
      <c r="BR96" s="262" t="s">
        <v>311</v>
      </c>
      <c r="BS96" s="262" t="s">
        <v>311</v>
      </c>
    </row>
    <row r="97" spans="2:71" s="16" customFormat="1" ht="35.25" customHeight="1" x14ac:dyDescent="0.25">
      <c r="B97" s="198" t="s">
        <v>352</v>
      </c>
      <c r="C97" s="154" t="s">
        <v>14</v>
      </c>
      <c r="D97" s="265">
        <v>6073020027</v>
      </c>
      <c r="E97" s="265">
        <v>13665</v>
      </c>
      <c r="F97" s="265">
        <v>38</v>
      </c>
      <c r="G97" s="265">
        <v>9</v>
      </c>
      <c r="H97" s="265">
        <v>10</v>
      </c>
      <c r="I97" s="284">
        <v>2</v>
      </c>
      <c r="J97" s="284">
        <v>1</v>
      </c>
      <c r="K97" s="284">
        <v>2.5</v>
      </c>
      <c r="L97" s="284">
        <v>3</v>
      </c>
      <c r="M97" s="284">
        <v>3</v>
      </c>
      <c r="N97" s="284">
        <v>1</v>
      </c>
      <c r="O97" s="284">
        <v>2</v>
      </c>
      <c r="P97" s="284">
        <v>3</v>
      </c>
      <c r="Q97" s="284">
        <v>2</v>
      </c>
      <c r="R97" s="184">
        <v>0</v>
      </c>
      <c r="S97" s="262">
        <v>2</v>
      </c>
      <c r="T97" s="262">
        <v>2</v>
      </c>
      <c r="U97" s="262" t="s">
        <v>311</v>
      </c>
      <c r="V97" s="262">
        <v>3</v>
      </c>
      <c r="W97" s="262">
        <v>3</v>
      </c>
      <c r="X97" s="184" t="s">
        <v>312</v>
      </c>
      <c r="Y97" s="262">
        <v>3</v>
      </c>
      <c r="Z97" s="184" t="s">
        <v>312</v>
      </c>
      <c r="AA97" s="262">
        <v>3</v>
      </c>
      <c r="AB97" s="262">
        <v>545000</v>
      </c>
      <c r="AC97" s="262">
        <v>3</v>
      </c>
      <c r="AD97" s="262" t="s">
        <v>626</v>
      </c>
      <c r="AE97" s="262">
        <v>1</v>
      </c>
      <c r="AF97" s="184" t="s">
        <v>312</v>
      </c>
      <c r="AG97" s="262">
        <v>2</v>
      </c>
      <c r="AH97" s="262">
        <v>4</v>
      </c>
      <c r="AI97" s="262">
        <v>0</v>
      </c>
      <c r="AJ97" s="262">
        <v>2</v>
      </c>
      <c r="AK97" s="184" t="s">
        <v>312</v>
      </c>
      <c r="AL97" s="262">
        <v>3</v>
      </c>
      <c r="AM97" s="184" t="s">
        <v>312</v>
      </c>
      <c r="AN97" s="262">
        <v>2</v>
      </c>
      <c r="AO97" s="184" t="s">
        <v>312</v>
      </c>
      <c r="AP97" s="262">
        <v>4</v>
      </c>
      <c r="AQ97" s="262">
        <v>4</v>
      </c>
      <c r="AR97" s="262">
        <v>3</v>
      </c>
      <c r="AS97" s="184" t="s">
        <v>312</v>
      </c>
      <c r="AT97" s="262">
        <v>5</v>
      </c>
      <c r="AU97" s="262">
        <v>1</v>
      </c>
      <c r="AV97" s="262">
        <v>1</v>
      </c>
      <c r="AW97" s="262">
        <v>3</v>
      </c>
      <c r="AX97" s="184" t="s">
        <v>312</v>
      </c>
      <c r="AY97" s="262">
        <v>3</v>
      </c>
      <c r="AZ97" s="262" t="s">
        <v>311</v>
      </c>
      <c r="BA97" s="262" t="s">
        <v>311</v>
      </c>
      <c r="BB97" s="262">
        <v>3</v>
      </c>
      <c r="BC97" s="184" t="s">
        <v>312</v>
      </c>
      <c r="BD97" s="262">
        <v>3</v>
      </c>
      <c r="BE97" s="262">
        <v>3</v>
      </c>
      <c r="BF97" s="262" t="s">
        <v>311</v>
      </c>
      <c r="BG97" s="262" t="s">
        <v>311</v>
      </c>
      <c r="BH97" s="262" t="s">
        <v>538</v>
      </c>
      <c r="BI97" s="262" t="s">
        <v>627</v>
      </c>
      <c r="BJ97" s="262">
        <v>3</v>
      </c>
      <c r="BK97" s="184" t="s">
        <v>312</v>
      </c>
      <c r="BL97" s="262">
        <v>5</v>
      </c>
      <c r="BM97" s="262">
        <v>3</v>
      </c>
      <c r="BN97" s="262">
        <v>4</v>
      </c>
      <c r="BO97" s="262">
        <v>3</v>
      </c>
      <c r="BP97" s="184" t="s">
        <v>312</v>
      </c>
      <c r="BQ97" s="262">
        <v>3</v>
      </c>
      <c r="BR97" s="262" t="s">
        <v>311</v>
      </c>
      <c r="BS97" s="262" t="s">
        <v>311</v>
      </c>
    </row>
    <row r="98" spans="2:71" s="16" customFormat="1" ht="35.25" customHeight="1" x14ac:dyDescent="0.25">
      <c r="B98" s="198" t="s">
        <v>353</v>
      </c>
      <c r="C98" s="154" t="s">
        <v>14</v>
      </c>
      <c r="D98" s="172">
        <v>6073014300</v>
      </c>
      <c r="E98" s="172">
        <v>3618</v>
      </c>
      <c r="F98" s="172">
        <v>50</v>
      </c>
      <c r="G98" s="172">
        <v>65</v>
      </c>
      <c r="H98" s="172">
        <v>31.85</v>
      </c>
      <c r="I98" s="281">
        <v>3</v>
      </c>
      <c r="J98" s="281">
        <v>3</v>
      </c>
      <c r="K98" s="281">
        <v>2.5</v>
      </c>
      <c r="L98" s="281">
        <v>3</v>
      </c>
      <c r="M98" s="281">
        <v>3</v>
      </c>
      <c r="N98" s="281">
        <v>1</v>
      </c>
      <c r="O98" s="281">
        <v>2</v>
      </c>
      <c r="P98" s="281">
        <v>3</v>
      </c>
      <c r="Q98" s="281">
        <v>2</v>
      </c>
      <c r="R98" s="184">
        <v>0</v>
      </c>
      <c r="S98" s="262" t="s">
        <v>373</v>
      </c>
      <c r="T98" s="262" t="s">
        <v>373</v>
      </c>
      <c r="U98" s="262" t="s">
        <v>373</v>
      </c>
      <c r="V98" s="262" t="s">
        <v>373</v>
      </c>
      <c r="W98" s="262" t="s">
        <v>373</v>
      </c>
      <c r="X98" s="184" t="s">
        <v>312</v>
      </c>
      <c r="Y98" s="262" t="s">
        <v>373</v>
      </c>
      <c r="Z98" s="184" t="s">
        <v>312</v>
      </c>
      <c r="AA98" s="262" t="s">
        <v>373</v>
      </c>
      <c r="AB98" s="262" t="s">
        <v>373</v>
      </c>
      <c r="AC98" s="262" t="s">
        <v>373</v>
      </c>
      <c r="AD98" s="262" t="s">
        <v>373</v>
      </c>
      <c r="AE98" s="262" t="s">
        <v>373</v>
      </c>
      <c r="AF98" s="184" t="s">
        <v>312</v>
      </c>
      <c r="AG98" s="262" t="s">
        <v>373</v>
      </c>
      <c r="AH98" s="262" t="s">
        <v>373</v>
      </c>
      <c r="AI98" s="262" t="s">
        <v>373</v>
      </c>
      <c r="AJ98" s="262" t="s">
        <v>373</v>
      </c>
      <c r="AK98" s="184" t="s">
        <v>312</v>
      </c>
      <c r="AL98" s="262" t="s">
        <v>373</v>
      </c>
      <c r="AM98" s="184" t="s">
        <v>312</v>
      </c>
      <c r="AN98" s="262" t="s">
        <v>373</v>
      </c>
      <c r="AO98" s="184" t="s">
        <v>312</v>
      </c>
      <c r="AP98" s="262" t="s">
        <v>373</v>
      </c>
      <c r="AQ98" s="262" t="s">
        <v>373</v>
      </c>
      <c r="AR98" s="262" t="s">
        <v>373</v>
      </c>
      <c r="AS98" s="184" t="s">
        <v>312</v>
      </c>
      <c r="AT98" s="262" t="s">
        <v>373</v>
      </c>
      <c r="AU98" s="262" t="s">
        <v>373</v>
      </c>
      <c r="AV98" s="262" t="s">
        <v>373</v>
      </c>
      <c r="AW98" s="262" t="s">
        <v>373</v>
      </c>
      <c r="AX98" s="184" t="s">
        <v>312</v>
      </c>
      <c r="AY98" s="262" t="s">
        <v>373</v>
      </c>
      <c r="AZ98" s="262" t="s">
        <v>373</v>
      </c>
      <c r="BA98" s="262" t="s">
        <v>373</v>
      </c>
      <c r="BB98" s="262" t="s">
        <v>373</v>
      </c>
      <c r="BC98" s="184" t="s">
        <v>312</v>
      </c>
      <c r="BD98" s="262" t="s">
        <v>373</v>
      </c>
      <c r="BE98" s="262" t="s">
        <v>373</v>
      </c>
      <c r="BF98" s="262" t="s">
        <v>373</v>
      </c>
      <c r="BG98" s="262" t="s">
        <v>373</v>
      </c>
      <c r="BH98" s="262" t="s">
        <v>373</v>
      </c>
      <c r="BI98" s="262" t="s">
        <v>373</v>
      </c>
      <c r="BJ98" s="262" t="s">
        <v>373</v>
      </c>
      <c r="BK98" s="184" t="s">
        <v>312</v>
      </c>
      <c r="BL98" s="262" t="s">
        <v>373</v>
      </c>
      <c r="BM98" s="262" t="s">
        <v>373</v>
      </c>
      <c r="BN98" s="262" t="s">
        <v>373</v>
      </c>
      <c r="BO98" s="262" t="s">
        <v>373</v>
      </c>
      <c r="BP98" s="184" t="s">
        <v>312</v>
      </c>
      <c r="BQ98" s="262" t="s">
        <v>373</v>
      </c>
      <c r="BR98" s="262" t="s">
        <v>373</v>
      </c>
      <c r="BS98" s="262" t="s">
        <v>373</v>
      </c>
    </row>
    <row r="99" spans="2:71" s="16" customFormat="1" ht="35.25" customHeight="1" x14ac:dyDescent="0.25">
      <c r="B99" s="198" t="s">
        <v>43</v>
      </c>
      <c r="C99" s="154" t="s">
        <v>9</v>
      </c>
      <c r="D99" s="172">
        <v>6073020710</v>
      </c>
      <c r="E99" s="172">
        <v>1749</v>
      </c>
      <c r="F99" s="172">
        <v>57</v>
      </c>
      <c r="G99" s="172">
        <v>21</v>
      </c>
      <c r="H99" s="172">
        <v>17.68</v>
      </c>
      <c r="I99" s="281">
        <v>3</v>
      </c>
      <c r="J99" s="281">
        <v>3</v>
      </c>
      <c r="K99" s="281">
        <v>1.5</v>
      </c>
      <c r="L99" s="281">
        <v>3</v>
      </c>
      <c r="M99" s="281">
        <v>3</v>
      </c>
      <c r="N99" s="281">
        <v>2</v>
      </c>
      <c r="O99" s="281">
        <v>1</v>
      </c>
      <c r="P99" s="281">
        <v>3</v>
      </c>
      <c r="Q99" s="281">
        <v>1</v>
      </c>
      <c r="R99" s="184">
        <v>0</v>
      </c>
      <c r="S99" s="262">
        <v>5</v>
      </c>
      <c r="T99" s="262">
        <v>3</v>
      </c>
      <c r="U99" s="262" t="s">
        <v>311</v>
      </c>
      <c r="V99" s="262">
        <v>3</v>
      </c>
      <c r="W99" s="262">
        <v>4</v>
      </c>
      <c r="X99" s="184" t="s">
        <v>312</v>
      </c>
      <c r="Y99" s="262">
        <v>5</v>
      </c>
      <c r="Z99" s="184" t="s">
        <v>312</v>
      </c>
      <c r="AA99" s="262">
        <v>1</v>
      </c>
      <c r="AB99" s="262" t="s">
        <v>562</v>
      </c>
      <c r="AC99" s="262">
        <v>3</v>
      </c>
      <c r="AD99" s="262" t="s">
        <v>563</v>
      </c>
      <c r="AE99" s="262">
        <v>1</v>
      </c>
      <c r="AF99" s="184" t="s">
        <v>312</v>
      </c>
      <c r="AG99" s="262">
        <v>4</v>
      </c>
      <c r="AH99" s="262">
        <v>4</v>
      </c>
      <c r="AI99" s="262">
        <v>0</v>
      </c>
      <c r="AJ99" s="262">
        <v>3</v>
      </c>
      <c r="AK99" s="184" t="s">
        <v>312</v>
      </c>
      <c r="AL99" s="262">
        <v>2</v>
      </c>
      <c r="AM99" s="184" t="s">
        <v>312</v>
      </c>
      <c r="AN99" s="262">
        <v>2</v>
      </c>
      <c r="AO99" s="184" t="s">
        <v>312</v>
      </c>
      <c r="AP99" s="262">
        <v>3</v>
      </c>
      <c r="AQ99" s="262">
        <v>3</v>
      </c>
      <c r="AR99" s="262">
        <v>3</v>
      </c>
      <c r="AS99" s="184" t="s">
        <v>312</v>
      </c>
      <c r="AT99" s="262">
        <v>5</v>
      </c>
      <c r="AU99" s="262">
        <v>4</v>
      </c>
      <c r="AV99" s="262">
        <v>3</v>
      </c>
      <c r="AW99" s="262">
        <v>3</v>
      </c>
      <c r="AX99" s="184" t="s">
        <v>312</v>
      </c>
      <c r="AY99" s="262">
        <v>5</v>
      </c>
      <c r="AZ99" s="262">
        <v>3</v>
      </c>
      <c r="BA99" s="262">
        <v>3</v>
      </c>
      <c r="BB99" s="262">
        <v>1</v>
      </c>
      <c r="BC99" s="184" t="s">
        <v>312</v>
      </c>
      <c r="BD99" s="262">
        <v>5</v>
      </c>
      <c r="BE99" s="262">
        <v>5</v>
      </c>
      <c r="BF99" s="262" t="s">
        <v>542</v>
      </c>
      <c r="BG99" s="262" t="s">
        <v>27</v>
      </c>
      <c r="BH99" s="262" t="s">
        <v>547</v>
      </c>
      <c r="BI99" s="262" t="s">
        <v>564</v>
      </c>
      <c r="BJ99" s="262">
        <v>5</v>
      </c>
      <c r="BK99" s="184" t="s">
        <v>312</v>
      </c>
      <c r="BL99" s="262">
        <v>3</v>
      </c>
      <c r="BM99" s="262">
        <v>5</v>
      </c>
      <c r="BN99" s="262">
        <v>2</v>
      </c>
      <c r="BO99" s="262">
        <v>3</v>
      </c>
      <c r="BP99" s="184" t="s">
        <v>312</v>
      </c>
      <c r="BQ99" s="262">
        <v>3</v>
      </c>
      <c r="BR99" s="262" t="s">
        <v>565</v>
      </c>
      <c r="BS99" s="262" t="s">
        <v>566</v>
      </c>
    </row>
    <row r="100" spans="2:71" s="16" customFormat="1" ht="35.25" customHeight="1" x14ac:dyDescent="0.25">
      <c r="B100" s="198" t="s">
        <v>290</v>
      </c>
      <c r="C100" s="154" t="s">
        <v>7</v>
      </c>
      <c r="D100" s="172">
        <v>6073016901</v>
      </c>
      <c r="E100" s="172">
        <v>6909</v>
      </c>
      <c r="F100" s="172">
        <v>56</v>
      </c>
      <c r="G100" s="172">
        <v>23</v>
      </c>
      <c r="H100" s="172">
        <v>18.36</v>
      </c>
      <c r="I100" s="281">
        <v>1</v>
      </c>
      <c r="J100" s="281">
        <v>3</v>
      </c>
      <c r="K100" s="281">
        <v>1.5</v>
      </c>
      <c r="L100" s="281">
        <v>3</v>
      </c>
      <c r="M100" s="281">
        <v>3</v>
      </c>
      <c r="N100" s="281">
        <v>2</v>
      </c>
      <c r="O100" s="281">
        <v>2</v>
      </c>
      <c r="P100" s="281">
        <v>3</v>
      </c>
      <c r="Q100" s="281">
        <v>3</v>
      </c>
      <c r="R100" s="184">
        <v>0</v>
      </c>
      <c r="S100" s="262">
        <v>3</v>
      </c>
      <c r="T100" s="262">
        <v>3</v>
      </c>
      <c r="U100" s="262" t="s">
        <v>311</v>
      </c>
      <c r="V100" s="262">
        <v>3</v>
      </c>
      <c r="W100" s="262">
        <v>3</v>
      </c>
      <c r="X100" s="184" t="s">
        <v>312</v>
      </c>
      <c r="Y100" s="262">
        <v>3</v>
      </c>
      <c r="Z100" s="184" t="s">
        <v>312</v>
      </c>
      <c r="AA100" s="262">
        <v>3</v>
      </c>
      <c r="AB100" s="262" t="s">
        <v>548</v>
      </c>
      <c r="AC100" s="262">
        <v>3</v>
      </c>
      <c r="AD100" s="262" t="s">
        <v>546</v>
      </c>
      <c r="AE100" s="262">
        <v>1</v>
      </c>
      <c r="AF100" s="184" t="s">
        <v>312</v>
      </c>
      <c r="AG100" s="262">
        <v>1</v>
      </c>
      <c r="AH100" s="262">
        <v>3</v>
      </c>
      <c r="AI100" s="262">
        <v>0</v>
      </c>
      <c r="AJ100" s="262">
        <v>3</v>
      </c>
      <c r="AK100" s="184" t="s">
        <v>312</v>
      </c>
      <c r="AL100" s="262">
        <v>3</v>
      </c>
      <c r="AM100" s="184" t="s">
        <v>312</v>
      </c>
      <c r="AN100" s="262">
        <v>3</v>
      </c>
      <c r="AO100" s="184" t="s">
        <v>312</v>
      </c>
      <c r="AP100" s="262">
        <v>3</v>
      </c>
      <c r="AQ100" s="262">
        <v>3</v>
      </c>
      <c r="AR100" s="262">
        <v>3</v>
      </c>
      <c r="AS100" s="184" t="s">
        <v>312</v>
      </c>
      <c r="AT100" s="262">
        <v>3</v>
      </c>
      <c r="AU100" s="262">
        <v>3</v>
      </c>
      <c r="AV100" s="262">
        <v>1</v>
      </c>
      <c r="AW100" s="262">
        <v>3</v>
      </c>
      <c r="AX100" s="184" t="s">
        <v>312</v>
      </c>
      <c r="AY100" s="262">
        <v>3</v>
      </c>
      <c r="AZ100" s="262">
        <v>3</v>
      </c>
      <c r="BA100" s="262">
        <v>5</v>
      </c>
      <c r="BB100" s="262">
        <v>3</v>
      </c>
      <c r="BC100" s="184" t="s">
        <v>312</v>
      </c>
      <c r="BD100" s="262">
        <v>3</v>
      </c>
      <c r="BE100" s="262">
        <v>3</v>
      </c>
      <c r="BF100" s="262" t="s">
        <v>542</v>
      </c>
      <c r="BG100" s="262" t="s">
        <v>311</v>
      </c>
      <c r="BH100" s="262" t="s">
        <v>311</v>
      </c>
      <c r="BI100" s="262" t="s">
        <v>544</v>
      </c>
      <c r="BJ100" s="262">
        <v>3</v>
      </c>
      <c r="BK100" s="184" t="s">
        <v>312</v>
      </c>
      <c r="BL100" s="262" t="s">
        <v>311</v>
      </c>
      <c r="BM100" s="262" t="s">
        <v>311</v>
      </c>
      <c r="BN100" s="262">
        <v>3</v>
      </c>
      <c r="BO100" s="262">
        <v>3</v>
      </c>
      <c r="BP100" s="184" t="s">
        <v>312</v>
      </c>
      <c r="BQ100" s="262" t="s">
        <v>311</v>
      </c>
      <c r="BR100" s="262" t="s">
        <v>544</v>
      </c>
      <c r="BS100" s="262" t="s">
        <v>544</v>
      </c>
    </row>
    <row r="101" spans="2:71" s="16" customFormat="1" ht="35.25" customHeight="1" x14ac:dyDescent="0.25">
      <c r="B101" s="198" t="s">
        <v>321</v>
      </c>
      <c r="C101" s="154" t="s">
        <v>9</v>
      </c>
      <c r="D101" s="172">
        <v>6073018700</v>
      </c>
      <c r="E101" s="172">
        <v>37452</v>
      </c>
      <c r="F101" s="172">
        <v>93</v>
      </c>
      <c r="G101" s="172">
        <v>24</v>
      </c>
      <c r="H101" s="172">
        <v>26.04</v>
      </c>
      <c r="I101" s="281">
        <v>3</v>
      </c>
      <c r="J101" s="281">
        <v>3</v>
      </c>
      <c r="K101" s="281">
        <v>3</v>
      </c>
      <c r="L101" s="281">
        <v>1</v>
      </c>
      <c r="M101" s="281">
        <v>3</v>
      </c>
      <c r="N101" s="281">
        <v>1</v>
      </c>
      <c r="O101" s="281">
        <v>2</v>
      </c>
      <c r="P101" s="281">
        <v>3</v>
      </c>
      <c r="Q101" s="281">
        <v>3</v>
      </c>
      <c r="R101" s="184">
        <v>0</v>
      </c>
      <c r="S101" s="262" t="s">
        <v>373</v>
      </c>
      <c r="T101" s="262" t="s">
        <v>373</v>
      </c>
      <c r="U101" s="262" t="s">
        <v>373</v>
      </c>
      <c r="V101" s="262" t="s">
        <v>373</v>
      </c>
      <c r="W101" s="262" t="s">
        <v>373</v>
      </c>
      <c r="X101" s="184" t="s">
        <v>312</v>
      </c>
      <c r="Y101" s="262" t="s">
        <v>373</v>
      </c>
      <c r="Z101" s="184" t="s">
        <v>312</v>
      </c>
      <c r="AA101" s="262" t="s">
        <v>373</v>
      </c>
      <c r="AB101" s="262" t="s">
        <v>373</v>
      </c>
      <c r="AC101" s="262" t="s">
        <v>373</v>
      </c>
      <c r="AD101" s="262" t="s">
        <v>373</v>
      </c>
      <c r="AE101" s="262" t="s">
        <v>373</v>
      </c>
      <c r="AF101" s="184" t="s">
        <v>312</v>
      </c>
      <c r="AG101" s="262" t="s">
        <v>373</v>
      </c>
      <c r="AH101" s="262" t="s">
        <v>373</v>
      </c>
      <c r="AI101" s="262" t="s">
        <v>373</v>
      </c>
      <c r="AJ101" s="262" t="s">
        <v>373</v>
      </c>
      <c r="AK101" s="184" t="s">
        <v>312</v>
      </c>
      <c r="AL101" s="262" t="s">
        <v>373</v>
      </c>
      <c r="AM101" s="184" t="s">
        <v>312</v>
      </c>
      <c r="AN101" s="262" t="s">
        <v>373</v>
      </c>
      <c r="AO101" s="184" t="s">
        <v>312</v>
      </c>
      <c r="AP101" s="262" t="s">
        <v>373</v>
      </c>
      <c r="AQ101" s="262" t="s">
        <v>373</v>
      </c>
      <c r="AR101" s="262" t="s">
        <v>373</v>
      </c>
      <c r="AS101" s="184" t="s">
        <v>312</v>
      </c>
      <c r="AT101" s="262" t="s">
        <v>373</v>
      </c>
      <c r="AU101" s="262" t="s">
        <v>373</v>
      </c>
      <c r="AV101" s="262" t="s">
        <v>373</v>
      </c>
      <c r="AW101" s="262" t="s">
        <v>373</v>
      </c>
      <c r="AX101" s="184" t="s">
        <v>312</v>
      </c>
      <c r="AY101" s="262" t="s">
        <v>373</v>
      </c>
      <c r="AZ101" s="262" t="s">
        <v>373</v>
      </c>
      <c r="BA101" s="262" t="s">
        <v>373</v>
      </c>
      <c r="BB101" s="262" t="s">
        <v>373</v>
      </c>
      <c r="BC101" s="184" t="s">
        <v>312</v>
      </c>
      <c r="BD101" s="262" t="s">
        <v>373</v>
      </c>
      <c r="BE101" s="262" t="s">
        <v>373</v>
      </c>
      <c r="BF101" s="262" t="s">
        <v>373</v>
      </c>
      <c r="BG101" s="262" t="s">
        <v>373</v>
      </c>
      <c r="BH101" s="262" t="s">
        <v>373</v>
      </c>
      <c r="BI101" s="262" t="s">
        <v>373</v>
      </c>
      <c r="BJ101" s="262" t="s">
        <v>373</v>
      </c>
      <c r="BK101" s="184" t="s">
        <v>312</v>
      </c>
      <c r="BL101" s="262" t="s">
        <v>373</v>
      </c>
      <c r="BM101" s="262" t="s">
        <v>373</v>
      </c>
      <c r="BN101" s="262" t="s">
        <v>373</v>
      </c>
      <c r="BO101" s="262" t="s">
        <v>373</v>
      </c>
      <c r="BP101" s="184" t="s">
        <v>312</v>
      </c>
      <c r="BQ101" s="262" t="s">
        <v>373</v>
      </c>
      <c r="BR101" s="262" t="s">
        <v>373</v>
      </c>
      <c r="BS101" s="262" t="s">
        <v>373</v>
      </c>
    </row>
    <row r="102" spans="2:71" s="16" customFormat="1" ht="35.25" customHeight="1" x14ac:dyDescent="0.25">
      <c r="B102" s="198" t="s">
        <v>303</v>
      </c>
      <c r="C102" s="154" t="s">
        <v>12</v>
      </c>
      <c r="D102" s="172">
        <v>6073020805</v>
      </c>
      <c r="E102" s="172">
        <v>3501</v>
      </c>
      <c r="F102" s="172">
        <v>11</v>
      </c>
      <c r="G102" s="172">
        <v>38</v>
      </c>
      <c r="H102" s="172">
        <v>13.83</v>
      </c>
      <c r="I102" s="281">
        <v>1.5</v>
      </c>
      <c r="J102" s="281">
        <v>3</v>
      </c>
      <c r="K102" s="281">
        <v>2.5</v>
      </c>
      <c r="L102" s="281">
        <v>3</v>
      </c>
      <c r="M102" s="281">
        <v>3</v>
      </c>
      <c r="N102" s="281">
        <v>2</v>
      </c>
      <c r="O102" s="281">
        <v>2</v>
      </c>
      <c r="P102" s="281">
        <v>3</v>
      </c>
      <c r="Q102" s="281">
        <v>3</v>
      </c>
      <c r="R102" s="184">
        <v>0</v>
      </c>
      <c r="S102" s="262" t="s">
        <v>373</v>
      </c>
      <c r="T102" s="262" t="s">
        <v>373</v>
      </c>
      <c r="U102" s="262" t="s">
        <v>373</v>
      </c>
      <c r="V102" s="262" t="s">
        <v>373</v>
      </c>
      <c r="W102" s="262" t="s">
        <v>373</v>
      </c>
      <c r="X102" s="184" t="s">
        <v>312</v>
      </c>
      <c r="Y102" s="262" t="s">
        <v>373</v>
      </c>
      <c r="Z102" s="184" t="s">
        <v>312</v>
      </c>
      <c r="AA102" s="262" t="s">
        <v>373</v>
      </c>
      <c r="AB102" s="262" t="s">
        <v>373</v>
      </c>
      <c r="AC102" s="262" t="s">
        <v>373</v>
      </c>
      <c r="AD102" s="262" t="s">
        <v>373</v>
      </c>
      <c r="AE102" s="262" t="s">
        <v>373</v>
      </c>
      <c r="AF102" s="184" t="s">
        <v>312</v>
      </c>
      <c r="AG102" s="262" t="s">
        <v>373</v>
      </c>
      <c r="AH102" s="262" t="s">
        <v>373</v>
      </c>
      <c r="AI102" s="262" t="s">
        <v>373</v>
      </c>
      <c r="AJ102" s="262" t="s">
        <v>373</v>
      </c>
      <c r="AK102" s="184" t="s">
        <v>312</v>
      </c>
      <c r="AL102" s="262" t="s">
        <v>373</v>
      </c>
      <c r="AM102" s="184" t="s">
        <v>312</v>
      </c>
      <c r="AN102" s="262" t="s">
        <v>373</v>
      </c>
      <c r="AO102" s="184" t="s">
        <v>312</v>
      </c>
      <c r="AP102" s="262" t="s">
        <v>373</v>
      </c>
      <c r="AQ102" s="262" t="s">
        <v>373</v>
      </c>
      <c r="AR102" s="262" t="s">
        <v>373</v>
      </c>
      <c r="AS102" s="184" t="s">
        <v>312</v>
      </c>
      <c r="AT102" s="262" t="s">
        <v>373</v>
      </c>
      <c r="AU102" s="262" t="s">
        <v>373</v>
      </c>
      <c r="AV102" s="262" t="s">
        <v>373</v>
      </c>
      <c r="AW102" s="262" t="s">
        <v>373</v>
      </c>
      <c r="AX102" s="184" t="s">
        <v>312</v>
      </c>
      <c r="AY102" s="262" t="s">
        <v>373</v>
      </c>
      <c r="AZ102" s="262" t="s">
        <v>373</v>
      </c>
      <c r="BA102" s="262" t="s">
        <v>373</v>
      </c>
      <c r="BB102" s="262" t="s">
        <v>373</v>
      </c>
      <c r="BC102" s="184" t="s">
        <v>312</v>
      </c>
      <c r="BD102" s="262" t="s">
        <v>373</v>
      </c>
      <c r="BE102" s="262" t="s">
        <v>373</v>
      </c>
      <c r="BF102" s="262" t="s">
        <v>373</v>
      </c>
      <c r="BG102" s="262" t="s">
        <v>373</v>
      </c>
      <c r="BH102" s="262" t="s">
        <v>373</v>
      </c>
      <c r="BI102" s="262" t="s">
        <v>373</v>
      </c>
      <c r="BJ102" s="262" t="s">
        <v>373</v>
      </c>
      <c r="BK102" s="184" t="s">
        <v>312</v>
      </c>
      <c r="BL102" s="262" t="s">
        <v>373</v>
      </c>
      <c r="BM102" s="262" t="s">
        <v>373</v>
      </c>
      <c r="BN102" s="262" t="s">
        <v>373</v>
      </c>
      <c r="BO102" s="262" t="s">
        <v>373</v>
      </c>
      <c r="BP102" s="184" t="s">
        <v>312</v>
      </c>
      <c r="BQ102" s="262" t="s">
        <v>373</v>
      </c>
      <c r="BR102" s="262" t="s">
        <v>373</v>
      </c>
      <c r="BS102" s="262" t="s">
        <v>373</v>
      </c>
    </row>
    <row r="103" spans="2:71" s="16" customFormat="1" ht="35.25" customHeight="1" x14ac:dyDescent="0.25">
      <c r="B103" s="198" t="s">
        <v>291</v>
      </c>
      <c r="C103" s="154" t="s">
        <v>7</v>
      </c>
      <c r="D103" s="172">
        <v>6073019207</v>
      </c>
      <c r="E103" s="172">
        <v>8416</v>
      </c>
      <c r="F103" s="172">
        <v>31</v>
      </c>
      <c r="G103" s="172">
        <v>47</v>
      </c>
      <c r="H103" s="172">
        <v>21.05</v>
      </c>
      <c r="I103" s="283">
        <v>2</v>
      </c>
      <c r="J103" s="283">
        <v>1</v>
      </c>
      <c r="K103" s="283">
        <v>2.5</v>
      </c>
      <c r="L103" s="283">
        <v>3</v>
      </c>
      <c r="M103" s="283">
        <v>2</v>
      </c>
      <c r="N103" s="283">
        <v>2</v>
      </c>
      <c r="O103" s="283">
        <v>1</v>
      </c>
      <c r="P103" s="283">
        <v>3</v>
      </c>
      <c r="Q103" s="283">
        <v>2</v>
      </c>
      <c r="R103" s="185">
        <v>0</v>
      </c>
      <c r="S103" s="262">
        <v>3</v>
      </c>
      <c r="T103" s="262">
        <v>3</v>
      </c>
      <c r="U103" s="262" t="s">
        <v>311</v>
      </c>
      <c r="V103" s="262">
        <v>3</v>
      </c>
      <c r="W103" s="262">
        <v>3</v>
      </c>
      <c r="X103" s="184" t="s">
        <v>312</v>
      </c>
      <c r="Y103" s="262">
        <v>3</v>
      </c>
      <c r="Z103" s="184" t="s">
        <v>312</v>
      </c>
      <c r="AA103" s="262">
        <v>3</v>
      </c>
      <c r="AB103" s="262" t="s">
        <v>549</v>
      </c>
      <c r="AC103" s="262" t="s">
        <v>311</v>
      </c>
      <c r="AD103" s="262" t="s">
        <v>546</v>
      </c>
      <c r="AE103" s="262">
        <v>1</v>
      </c>
      <c r="AF103" s="184" t="s">
        <v>312</v>
      </c>
      <c r="AG103" s="262">
        <v>3</v>
      </c>
      <c r="AH103" s="262">
        <v>5</v>
      </c>
      <c r="AI103" s="262">
        <v>0</v>
      </c>
      <c r="AJ103" s="262">
        <v>3</v>
      </c>
      <c r="AK103" s="184" t="s">
        <v>312</v>
      </c>
      <c r="AL103" s="262">
        <v>3</v>
      </c>
      <c r="AM103" s="184" t="s">
        <v>312</v>
      </c>
      <c r="AN103" s="262">
        <v>3</v>
      </c>
      <c r="AO103" s="184" t="s">
        <v>312</v>
      </c>
      <c r="AP103" s="262">
        <v>3</v>
      </c>
      <c r="AQ103" s="262">
        <v>5</v>
      </c>
      <c r="AR103" s="262">
        <v>3</v>
      </c>
      <c r="AS103" s="184" t="s">
        <v>312</v>
      </c>
      <c r="AT103" s="262">
        <v>3</v>
      </c>
      <c r="AU103" s="262">
        <v>3</v>
      </c>
      <c r="AV103" s="262">
        <v>1</v>
      </c>
      <c r="AW103" s="262">
        <v>3</v>
      </c>
      <c r="AX103" s="184" t="s">
        <v>312</v>
      </c>
      <c r="AY103" s="262">
        <v>5</v>
      </c>
      <c r="AZ103" s="262">
        <v>5</v>
      </c>
      <c r="BA103" s="262">
        <v>5</v>
      </c>
      <c r="BB103" s="262">
        <v>3</v>
      </c>
      <c r="BC103" s="184" t="s">
        <v>312</v>
      </c>
      <c r="BD103" s="262">
        <v>3</v>
      </c>
      <c r="BE103" s="262">
        <v>3</v>
      </c>
      <c r="BF103" s="262" t="s">
        <v>542</v>
      </c>
      <c r="BG103" s="262" t="s">
        <v>311</v>
      </c>
      <c r="BH103" s="262" t="s">
        <v>311</v>
      </c>
      <c r="BI103" s="262" t="s">
        <v>544</v>
      </c>
      <c r="BJ103" s="262">
        <v>3</v>
      </c>
      <c r="BK103" s="184" t="s">
        <v>312</v>
      </c>
      <c r="BL103" s="262" t="s">
        <v>311</v>
      </c>
      <c r="BM103" s="262" t="s">
        <v>311</v>
      </c>
      <c r="BN103" s="262">
        <v>3</v>
      </c>
      <c r="BO103" s="262">
        <v>3</v>
      </c>
      <c r="BP103" s="184" t="s">
        <v>312</v>
      </c>
      <c r="BQ103" s="262" t="s">
        <v>311</v>
      </c>
      <c r="BR103" s="262" t="s">
        <v>544</v>
      </c>
      <c r="BS103" s="262" t="s">
        <v>544</v>
      </c>
    </row>
    <row r="104" spans="2:71" s="16" customFormat="1" ht="35.25" customHeight="1" x14ac:dyDescent="0.25">
      <c r="B104" s="198" t="s">
        <v>49</v>
      </c>
      <c r="C104" s="154" t="s">
        <v>11</v>
      </c>
      <c r="D104" s="172">
        <v>6073017401</v>
      </c>
      <c r="E104" s="172">
        <v>5355</v>
      </c>
      <c r="F104" s="172">
        <v>31</v>
      </c>
      <c r="G104" s="172">
        <v>8</v>
      </c>
      <c r="H104" s="172">
        <v>8.58</v>
      </c>
      <c r="I104" s="281">
        <v>3</v>
      </c>
      <c r="J104" s="281">
        <v>3</v>
      </c>
      <c r="K104" s="281">
        <v>2.5</v>
      </c>
      <c r="L104" s="281">
        <v>3</v>
      </c>
      <c r="M104" s="281">
        <v>3</v>
      </c>
      <c r="N104" s="281">
        <v>2</v>
      </c>
      <c r="O104" s="281">
        <v>2</v>
      </c>
      <c r="P104" s="281">
        <v>3</v>
      </c>
      <c r="Q104" s="281">
        <v>3</v>
      </c>
      <c r="R104" s="184">
        <v>0</v>
      </c>
      <c r="S104" s="262">
        <v>5</v>
      </c>
      <c r="T104" s="262">
        <v>4</v>
      </c>
      <c r="U104" s="262">
        <v>5</v>
      </c>
      <c r="V104" s="262">
        <v>5</v>
      </c>
      <c r="W104" s="262">
        <v>5</v>
      </c>
      <c r="X104" s="184" t="s">
        <v>312</v>
      </c>
      <c r="Y104" s="262">
        <v>5</v>
      </c>
      <c r="Z104" s="184" t="s">
        <v>312</v>
      </c>
      <c r="AA104" s="262">
        <v>1</v>
      </c>
      <c r="AB104" s="262" t="s">
        <v>582</v>
      </c>
      <c r="AC104" s="262">
        <v>3</v>
      </c>
      <c r="AD104" s="262" t="s">
        <v>583</v>
      </c>
      <c r="AE104" s="262">
        <v>3</v>
      </c>
      <c r="AF104" s="184" t="s">
        <v>312</v>
      </c>
      <c r="AG104" s="262">
        <v>4</v>
      </c>
      <c r="AH104" s="262">
        <v>5</v>
      </c>
      <c r="AI104" s="262">
        <v>0</v>
      </c>
      <c r="AJ104" s="262">
        <v>5</v>
      </c>
      <c r="AK104" s="184" t="s">
        <v>312</v>
      </c>
      <c r="AL104" s="262">
        <v>2</v>
      </c>
      <c r="AM104" s="184" t="s">
        <v>312</v>
      </c>
      <c r="AN104" s="262">
        <v>2</v>
      </c>
      <c r="AO104" s="184" t="s">
        <v>312</v>
      </c>
      <c r="AP104" s="262">
        <v>3</v>
      </c>
      <c r="AQ104" s="262">
        <v>4</v>
      </c>
      <c r="AR104" s="262">
        <v>4</v>
      </c>
      <c r="AS104" s="184" t="s">
        <v>312</v>
      </c>
      <c r="AT104" s="262">
        <v>3</v>
      </c>
      <c r="AU104" s="262" t="s">
        <v>311</v>
      </c>
      <c r="AV104" s="262">
        <v>1</v>
      </c>
      <c r="AW104" s="262">
        <v>3</v>
      </c>
      <c r="AX104" s="184" t="s">
        <v>312</v>
      </c>
      <c r="AY104" s="262">
        <v>5</v>
      </c>
      <c r="AZ104" s="262">
        <v>3</v>
      </c>
      <c r="BA104" s="262">
        <v>3</v>
      </c>
      <c r="BB104" s="262">
        <v>5</v>
      </c>
      <c r="BC104" s="184" t="s">
        <v>312</v>
      </c>
      <c r="BD104" s="262">
        <v>3</v>
      </c>
      <c r="BE104" s="262">
        <v>5</v>
      </c>
      <c r="BF104" s="262" t="s">
        <v>542</v>
      </c>
      <c r="BG104" s="262" t="s">
        <v>27</v>
      </c>
      <c r="BH104" s="262" t="s">
        <v>547</v>
      </c>
      <c r="BI104" s="262">
        <v>0</v>
      </c>
      <c r="BJ104" s="262">
        <v>5</v>
      </c>
      <c r="BK104" s="184" t="s">
        <v>312</v>
      </c>
      <c r="BL104" s="262" t="s">
        <v>311</v>
      </c>
      <c r="BM104" s="262" t="s">
        <v>311</v>
      </c>
      <c r="BN104" s="262">
        <v>3</v>
      </c>
      <c r="BO104" s="262">
        <v>3</v>
      </c>
      <c r="BP104" s="184" t="s">
        <v>312</v>
      </c>
      <c r="BQ104" s="262">
        <v>3</v>
      </c>
      <c r="BR104" s="262">
        <v>0</v>
      </c>
      <c r="BS104" s="262">
        <v>0</v>
      </c>
    </row>
    <row r="105" spans="2:71" s="16" customFormat="1" ht="35.25" customHeight="1" x14ac:dyDescent="0.25">
      <c r="B105" s="198" t="s">
        <v>304</v>
      </c>
      <c r="C105" s="154" t="s">
        <v>12</v>
      </c>
      <c r="D105" s="172">
        <v>6073019905</v>
      </c>
      <c r="E105" s="172">
        <v>4256</v>
      </c>
      <c r="F105" s="172">
        <v>42</v>
      </c>
      <c r="G105" s="172">
        <v>30</v>
      </c>
      <c r="H105" s="172">
        <v>18.18</v>
      </c>
      <c r="I105" s="281">
        <v>1</v>
      </c>
      <c r="J105" s="281">
        <v>3</v>
      </c>
      <c r="K105" s="281">
        <v>2.5</v>
      </c>
      <c r="L105" s="281">
        <v>3</v>
      </c>
      <c r="M105" s="281">
        <v>3</v>
      </c>
      <c r="N105" s="281">
        <v>2</v>
      </c>
      <c r="O105" s="281">
        <v>1</v>
      </c>
      <c r="P105" s="281">
        <v>3</v>
      </c>
      <c r="Q105" s="281">
        <v>3</v>
      </c>
      <c r="R105" s="184">
        <v>0</v>
      </c>
      <c r="S105" s="262" t="s">
        <v>373</v>
      </c>
      <c r="T105" s="262" t="s">
        <v>373</v>
      </c>
      <c r="U105" s="262" t="s">
        <v>373</v>
      </c>
      <c r="V105" s="262" t="s">
        <v>373</v>
      </c>
      <c r="W105" s="262" t="s">
        <v>373</v>
      </c>
      <c r="X105" s="184" t="s">
        <v>312</v>
      </c>
      <c r="Y105" s="262" t="s">
        <v>373</v>
      </c>
      <c r="Z105" s="184" t="s">
        <v>312</v>
      </c>
      <c r="AA105" s="262" t="s">
        <v>373</v>
      </c>
      <c r="AB105" s="262" t="s">
        <v>373</v>
      </c>
      <c r="AC105" s="262" t="s">
        <v>373</v>
      </c>
      <c r="AD105" s="262" t="s">
        <v>373</v>
      </c>
      <c r="AE105" s="262" t="s">
        <v>373</v>
      </c>
      <c r="AF105" s="184" t="s">
        <v>312</v>
      </c>
      <c r="AG105" s="262" t="s">
        <v>373</v>
      </c>
      <c r="AH105" s="262" t="s">
        <v>373</v>
      </c>
      <c r="AI105" s="262" t="s">
        <v>373</v>
      </c>
      <c r="AJ105" s="262" t="s">
        <v>373</v>
      </c>
      <c r="AK105" s="184" t="s">
        <v>312</v>
      </c>
      <c r="AL105" s="262" t="s">
        <v>373</v>
      </c>
      <c r="AM105" s="184" t="s">
        <v>312</v>
      </c>
      <c r="AN105" s="262" t="s">
        <v>373</v>
      </c>
      <c r="AO105" s="184" t="s">
        <v>312</v>
      </c>
      <c r="AP105" s="262" t="s">
        <v>373</v>
      </c>
      <c r="AQ105" s="262" t="s">
        <v>373</v>
      </c>
      <c r="AR105" s="262" t="s">
        <v>373</v>
      </c>
      <c r="AS105" s="184" t="s">
        <v>312</v>
      </c>
      <c r="AT105" s="262" t="s">
        <v>373</v>
      </c>
      <c r="AU105" s="262" t="s">
        <v>373</v>
      </c>
      <c r="AV105" s="262" t="s">
        <v>373</v>
      </c>
      <c r="AW105" s="262" t="s">
        <v>373</v>
      </c>
      <c r="AX105" s="184" t="s">
        <v>312</v>
      </c>
      <c r="AY105" s="262" t="s">
        <v>373</v>
      </c>
      <c r="AZ105" s="262" t="s">
        <v>373</v>
      </c>
      <c r="BA105" s="262" t="s">
        <v>373</v>
      </c>
      <c r="BB105" s="262" t="s">
        <v>373</v>
      </c>
      <c r="BC105" s="184" t="s">
        <v>312</v>
      </c>
      <c r="BD105" s="262" t="s">
        <v>373</v>
      </c>
      <c r="BE105" s="262" t="s">
        <v>373</v>
      </c>
      <c r="BF105" s="262" t="s">
        <v>373</v>
      </c>
      <c r="BG105" s="262" t="s">
        <v>373</v>
      </c>
      <c r="BH105" s="262" t="s">
        <v>373</v>
      </c>
      <c r="BI105" s="262" t="s">
        <v>373</v>
      </c>
      <c r="BJ105" s="262" t="s">
        <v>373</v>
      </c>
      <c r="BK105" s="184" t="s">
        <v>312</v>
      </c>
      <c r="BL105" s="262" t="s">
        <v>373</v>
      </c>
      <c r="BM105" s="262" t="s">
        <v>373</v>
      </c>
      <c r="BN105" s="262" t="s">
        <v>373</v>
      </c>
      <c r="BO105" s="262" t="s">
        <v>373</v>
      </c>
      <c r="BP105" s="184" t="s">
        <v>312</v>
      </c>
      <c r="BQ105" s="262" t="s">
        <v>373</v>
      </c>
      <c r="BR105" s="262" t="s">
        <v>373</v>
      </c>
      <c r="BS105" s="262" t="s">
        <v>373</v>
      </c>
    </row>
    <row r="106" spans="2:71" s="16" customFormat="1" ht="35.25" customHeight="1" x14ac:dyDescent="0.25">
      <c r="B106" s="198" t="s">
        <v>354</v>
      </c>
      <c r="C106" s="154" t="s">
        <v>14</v>
      </c>
      <c r="D106" s="172">
        <v>6073014001</v>
      </c>
      <c r="E106" s="172">
        <v>4630</v>
      </c>
      <c r="F106" s="172">
        <v>31</v>
      </c>
      <c r="G106" s="172">
        <v>58</v>
      </c>
      <c r="H106" s="172">
        <v>24.52</v>
      </c>
      <c r="I106" s="281">
        <v>3</v>
      </c>
      <c r="J106" s="281">
        <v>3</v>
      </c>
      <c r="K106" s="281">
        <v>2.5</v>
      </c>
      <c r="L106" s="281">
        <v>3</v>
      </c>
      <c r="M106" s="281">
        <v>3</v>
      </c>
      <c r="N106" s="281">
        <v>1</v>
      </c>
      <c r="O106" s="281">
        <v>2</v>
      </c>
      <c r="P106" s="281">
        <v>3</v>
      </c>
      <c r="Q106" s="281">
        <v>2</v>
      </c>
      <c r="R106" s="184">
        <v>0</v>
      </c>
      <c r="S106" s="262">
        <v>3</v>
      </c>
      <c r="T106" s="262">
        <v>5</v>
      </c>
      <c r="U106" s="262" t="s">
        <v>311</v>
      </c>
      <c r="V106" s="262">
        <v>3</v>
      </c>
      <c r="W106" s="262" t="s">
        <v>311</v>
      </c>
      <c r="X106" s="184" t="s">
        <v>312</v>
      </c>
      <c r="Y106" s="262" t="s">
        <v>311</v>
      </c>
      <c r="Z106" s="184" t="s">
        <v>312</v>
      </c>
      <c r="AA106" s="262">
        <v>3</v>
      </c>
      <c r="AB106" s="262">
        <v>4600000</v>
      </c>
      <c r="AC106" s="262">
        <v>1</v>
      </c>
      <c r="AD106" s="262" t="s">
        <v>608</v>
      </c>
      <c r="AE106" s="262">
        <v>3</v>
      </c>
      <c r="AF106" s="184" t="s">
        <v>312</v>
      </c>
      <c r="AG106" s="262">
        <v>1</v>
      </c>
      <c r="AH106" s="262">
        <v>1</v>
      </c>
      <c r="AI106" s="262">
        <v>0</v>
      </c>
      <c r="AJ106" s="262">
        <v>3</v>
      </c>
      <c r="AK106" s="184" t="s">
        <v>312</v>
      </c>
      <c r="AL106" s="262">
        <v>3</v>
      </c>
      <c r="AM106" s="184" t="s">
        <v>312</v>
      </c>
      <c r="AN106" s="262" t="s">
        <v>311</v>
      </c>
      <c r="AO106" s="184" t="s">
        <v>312</v>
      </c>
      <c r="AP106" s="262">
        <v>5</v>
      </c>
      <c r="AQ106" s="262">
        <v>5</v>
      </c>
      <c r="AR106" s="262">
        <v>5</v>
      </c>
      <c r="AS106" s="184" t="s">
        <v>312</v>
      </c>
      <c r="AT106" s="262">
        <v>5</v>
      </c>
      <c r="AU106" s="262">
        <v>1</v>
      </c>
      <c r="AV106" s="262">
        <v>1</v>
      </c>
      <c r="AW106" s="262">
        <v>5</v>
      </c>
      <c r="AX106" s="184" t="s">
        <v>312</v>
      </c>
      <c r="AY106" s="262">
        <v>3</v>
      </c>
      <c r="AZ106" s="262" t="s">
        <v>311</v>
      </c>
      <c r="BA106" s="262" t="s">
        <v>311</v>
      </c>
      <c r="BB106" s="262">
        <v>3</v>
      </c>
      <c r="BC106" s="184" t="s">
        <v>312</v>
      </c>
      <c r="BD106" s="262">
        <v>3</v>
      </c>
      <c r="BE106" s="262">
        <v>3</v>
      </c>
      <c r="BF106" s="262" t="s">
        <v>542</v>
      </c>
      <c r="BG106" s="262" t="s">
        <v>27</v>
      </c>
      <c r="BH106" s="262" t="s">
        <v>547</v>
      </c>
      <c r="BI106" s="262" t="s">
        <v>628</v>
      </c>
      <c r="BJ106" s="262">
        <v>3</v>
      </c>
      <c r="BK106" s="184" t="s">
        <v>312</v>
      </c>
      <c r="BL106" s="262">
        <v>5</v>
      </c>
      <c r="BM106" s="262">
        <v>3</v>
      </c>
      <c r="BN106" s="262">
        <v>3</v>
      </c>
      <c r="BO106" s="262">
        <v>5</v>
      </c>
      <c r="BP106" s="184" t="s">
        <v>312</v>
      </c>
      <c r="BQ106" s="262">
        <v>2</v>
      </c>
      <c r="BR106" s="262" t="s">
        <v>610</v>
      </c>
      <c r="BS106" s="262" t="s">
        <v>557</v>
      </c>
    </row>
    <row r="107" spans="2:71" s="16" customFormat="1" ht="35.25" customHeight="1" x14ac:dyDescent="0.25">
      <c r="B107" s="198" t="s">
        <v>60</v>
      </c>
      <c r="C107" s="154" t="s">
        <v>14</v>
      </c>
      <c r="D107" s="172">
        <v>6073019503</v>
      </c>
      <c r="E107" s="172">
        <v>4795</v>
      </c>
      <c r="F107" s="172">
        <v>16</v>
      </c>
      <c r="G107" s="172">
        <v>55</v>
      </c>
      <c r="H107" s="172">
        <v>19.100000000000001</v>
      </c>
      <c r="I107" s="281">
        <v>3</v>
      </c>
      <c r="J107" s="281">
        <v>2</v>
      </c>
      <c r="K107" s="281">
        <v>2.5</v>
      </c>
      <c r="L107" s="281">
        <v>3</v>
      </c>
      <c r="M107" s="281">
        <v>2</v>
      </c>
      <c r="N107" s="281">
        <v>2</v>
      </c>
      <c r="O107" s="281">
        <v>2</v>
      </c>
      <c r="P107" s="281">
        <v>3</v>
      </c>
      <c r="Q107" s="281">
        <v>2</v>
      </c>
      <c r="R107" s="184">
        <v>0</v>
      </c>
      <c r="S107" s="262">
        <v>4</v>
      </c>
      <c r="T107" s="262">
        <v>3</v>
      </c>
      <c r="U107" s="262">
        <v>5</v>
      </c>
      <c r="V107" s="262">
        <v>3</v>
      </c>
      <c r="W107" s="262">
        <v>3</v>
      </c>
      <c r="X107" s="184" t="s">
        <v>312</v>
      </c>
      <c r="Y107" s="262">
        <v>4</v>
      </c>
      <c r="Z107" s="184" t="s">
        <v>312</v>
      </c>
      <c r="AA107" s="262">
        <v>1</v>
      </c>
      <c r="AB107" s="262" t="s">
        <v>629</v>
      </c>
      <c r="AC107" s="262">
        <v>5</v>
      </c>
      <c r="AD107" s="262" t="s">
        <v>541</v>
      </c>
      <c r="AE107" s="262">
        <v>3</v>
      </c>
      <c r="AF107" s="184" t="s">
        <v>312</v>
      </c>
      <c r="AG107" s="262">
        <v>5</v>
      </c>
      <c r="AH107" s="262">
        <v>5</v>
      </c>
      <c r="AI107" s="262">
        <v>0</v>
      </c>
      <c r="AJ107" s="262">
        <v>4</v>
      </c>
      <c r="AK107" s="184" t="s">
        <v>312</v>
      </c>
      <c r="AL107" s="262">
        <v>5</v>
      </c>
      <c r="AM107" s="184" t="s">
        <v>312</v>
      </c>
      <c r="AN107" s="262">
        <v>2</v>
      </c>
      <c r="AO107" s="184" t="s">
        <v>312</v>
      </c>
      <c r="AP107" s="262">
        <v>1</v>
      </c>
      <c r="AQ107" s="262">
        <v>5</v>
      </c>
      <c r="AR107" s="262">
        <v>5</v>
      </c>
      <c r="AS107" s="184" t="s">
        <v>312</v>
      </c>
      <c r="AT107" s="262">
        <v>5</v>
      </c>
      <c r="AU107" s="262">
        <v>4</v>
      </c>
      <c r="AV107" s="262">
        <v>1</v>
      </c>
      <c r="AW107" s="262">
        <v>5</v>
      </c>
      <c r="AX107" s="184" t="s">
        <v>312</v>
      </c>
      <c r="AY107" s="262">
        <v>5</v>
      </c>
      <c r="AZ107" s="262">
        <v>5</v>
      </c>
      <c r="BA107" s="262">
        <v>5</v>
      </c>
      <c r="BB107" s="262">
        <v>3</v>
      </c>
      <c r="BC107" s="184" t="s">
        <v>312</v>
      </c>
      <c r="BD107" s="262">
        <v>3</v>
      </c>
      <c r="BE107" s="262">
        <v>5</v>
      </c>
      <c r="BF107" s="262" t="s">
        <v>311</v>
      </c>
      <c r="BG107" s="262" t="s">
        <v>27</v>
      </c>
      <c r="BH107" s="262" t="s">
        <v>547</v>
      </c>
      <c r="BI107" s="262" t="s">
        <v>630</v>
      </c>
      <c r="BJ107" s="262" t="s">
        <v>311</v>
      </c>
      <c r="BK107" s="184" t="s">
        <v>312</v>
      </c>
      <c r="BL107" s="262">
        <v>5</v>
      </c>
      <c r="BM107" s="262">
        <v>3</v>
      </c>
      <c r="BN107" s="262">
        <v>5</v>
      </c>
      <c r="BO107" s="262">
        <v>5</v>
      </c>
      <c r="BP107" s="184" t="s">
        <v>312</v>
      </c>
      <c r="BQ107" s="262">
        <v>5</v>
      </c>
      <c r="BR107" s="262" t="s">
        <v>561</v>
      </c>
      <c r="BS107" s="262" t="s">
        <v>557</v>
      </c>
    </row>
    <row r="108" spans="2:71" s="16" customFormat="1" ht="35.25" customHeight="1" x14ac:dyDescent="0.25">
      <c r="B108" s="198" t="s">
        <v>325</v>
      </c>
      <c r="C108" s="154" t="s">
        <v>11</v>
      </c>
      <c r="D108" s="172">
        <v>6073018700</v>
      </c>
      <c r="E108" s="172">
        <v>37452</v>
      </c>
      <c r="F108" s="172">
        <v>93</v>
      </c>
      <c r="G108" s="172">
        <v>24</v>
      </c>
      <c r="H108" s="172">
        <v>26.04</v>
      </c>
      <c r="I108" s="281">
        <v>1</v>
      </c>
      <c r="J108" s="281">
        <v>3</v>
      </c>
      <c r="K108" s="281">
        <v>2.5</v>
      </c>
      <c r="L108" s="281">
        <v>3</v>
      </c>
      <c r="M108" s="281">
        <v>3</v>
      </c>
      <c r="N108" s="281">
        <v>1</v>
      </c>
      <c r="O108" s="281">
        <v>2</v>
      </c>
      <c r="P108" s="281">
        <v>3</v>
      </c>
      <c r="Q108" s="281">
        <v>3</v>
      </c>
      <c r="R108" s="184">
        <v>0</v>
      </c>
      <c r="S108" s="262">
        <v>5</v>
      </c>
      <c r="T108" s="262">
        <v>5</v>
      </c>
      <c r="U108" s="262" t="s">
        <v>311</v>
      </c>
      <c r="V108" s="262">
        <v>5</v>
      </c>
      <c r="W108" s="262">
        <v>5</v>
      </c>
      <c r="X108" s="184" t="s">
        <v>312</v>
      </c>
      <c r="Y108" s="262">
        <v>5</v>
      </c>
      <c r="Z108" s="184" t="s">
        <v>312</v>
      </c>
      <c r="AA108" s="262">
        <v>1</v>
      </c>
      <c r="AB108" s="262" t="s">
        <v>584</v>
      </c>
      <c r="AC108" s="262">
        <v>1</v>
      </c>
      <c r="AD108" s="262" t="s">
        <v>556</v>
      </c>
      <c r="AE108" s="262">
        <v>1</v>
      </c>
      <c r="AF108" s="184" t="s">
        <v>312</v>
      </c>
      <c r="AG108" s="262">
        <v>4</v>
      </c>
      <c r="AH108" s="262">
        <v>5</v>
      </c>
      <c r="AI108" s="262">
        <v>0</v>
      </c>
      <c r="AJ108" s="262">
        <v>5</v>
      </c>
      <c r="AK108" s="184" t="s">
        <v>312</v>
      </c>
      <c r="AL108" s="262">
        <v>2</v>
      </c>
      <c r="AM108" s="184" t="s">
        <v>312</v>
      </c>
      <c r="AN108" s="262">
        <v>1</v>
      </c>
      <c r="AO108" s="184" t="s">
        <v>312</v>
      </c>
      <c r="AP108" s="262">
        <v>3</v>
      </c>
      <c r="AQ108" s="262">
        <v>5</v>
      </c>
      <c r="AR108" s="262">
        <v>3</v>
      </c>
      <c r="AS108" s="184" t="s">
        <v>312</v>
      </c>
      <c r="AT108" s="262">
        <v>5</v>
      </c>
      <c r="AU108" s="262">
        <v>5</v>
      </c>
      <c r="AV108" s="262">
        <v>3</v>
      </c>
      <c r="AW108" s="262">
        <v>3</v>
      </c>
      <c r="AX108" s="184" t="s">
        <v>312</v>
      </c>
      <c r="AY108" s="262">
        <v>5</v>
      </c>
      <c r="AZ108" s="262">
        <v>5</v>
      </c>
      <c r="BA108" s="262">
        <v>3</v>
      </c>
      <c r="BB108" s="262">
        <v>5</v>
      </c>
      <c r="BC108" s="184" t="s">
        <v>312</v>
      </c>
      <c r="BD108" s="262">
        <v>5</v>
      </c>
      <c r="BE108" s="262">
        <v>5</v>
      </c>
      <c r="BF108" s="262" t="s">
        <v>311</v>
      </c>
      <c r="BG108" s="262" t="s">
        <v>27</v>
      </c>
      <c r="BH108" s="262" t="s">
        <v>547</v>
      </c>
      <c r="BI108" s="262" t="s">
        <v>544</v>
      </c>
      <c r="BJ108" s="262" t="s">
        <v>311</v>
      </c>
      <c r="BK108" s="184" t="s">
        <v>312</v>
      </c>
      <c r="BL108" s="262" t="s">
        <v>311</v>
      </c>
      <c r="BM108" s="262" t="s">
        <v>311</v>
      </c>
      <c r="BN108" s="262">
        <v>3</v>
      </c>
      <c r="BO108" s="262">
        <v>3</v>
      </c>
      <c r="BP108" s="184" t="s">
        <v>312</v>
      </c>
      <c r="BQ108" s="262">
        <v>3</v>
      </c>
      <c r="BR108" s="262" t="s">
        <v>544</v>
      </c>
      <c r="BS108" s="262" t="s">
        <v>557</v>
      </c>
    </row>
    <row r="109" spans="2:71" s="16" customFormat="1" ht="35.25" customHeight="1" x14ac:dyDescent="0.25">
      <c r="B109" s="198" t="s">
        <v>332</v>
      </c>
      <c r="C109" s="154" t="s">
        <v>11</v>
      </c>
      <c r="D109" s="172">
        <v>6073018700</v>
      </c>
      <c r="E109" s="172">
        <v>37452</v>
      </c>
      <c r="F109" s="172">
        <v>93</v>
      </c>
      <c r="G109" s="172">
        <v>24</v>
      </c>
      <c r="H109" s="172">
        <v>26.04</v>
      </c>
      <c r="I109" s="281">
        <v>1</v>
      </c>
      <c r="J109" s="281">
        <v>3</v>
      </c>
      <c r="K109" s="281">
        <v>2.5</v>
      </c>
      <c r="L109" s="281">
        <v>3</v>
      </c>
      <c r="M109" s="281">
        <v>3</v>
      </c>
      <c r="N109" s="281">
        <v>1</v>
      </c>
      <c r="O109" s="281">
        <v>2</v>
      </c>
      <c r="P109" s="281">
        <v>3</v>
      </c>
      <c r="Q109" s="281">
        <v>3</v>
      </c>
      <c r="R109" s="184">
        <v>0</v>
      </c>
      <c r="S109" s="262">
        <v>3</v>
      </c>
      <c r="T109" s="262">
        <v>2</v>
      </c>
      <c r="U109" s="262" t="s">
        <v>311</v>
      </c>
      <c r="V109" s="262">
        <v>3</v>
      </c>
      <c r="W109" s="262">
        <v>3</v>
      </c>
      <c r="X109" s="184" t="s">
        <v>312</v>
      </c>
      <c r="Y109" s="262">
        <v>3</v>
      </c>
      <c r="Z109" s="184" t="s">
        <v>312</v>
      </c>
      <c r="AA109" s="262">
        <v>1</v>
      </c>
      <c r="AB109" s="262" t="s">
        <v>594</v>
      </c>
      <c r="AC109" s="262">
        <v>3</v>
      </c>
      <c r="AD109" s="262" t="s">
        <v>546</v>
      </c>
      <c r="AE109" s="262">
        <v>1</v>
      </c>
      <c r="AF109" s="184" t="s">
        <v>312</v>
      </c>
      <c r="AG109" s="262">
        <v>4</v>
      </c>
      <c r="AH109" s="262">
        <v>5</v>
      </c>
      <c r="AI109" s="262">
        <v>0</v>
      </c>
      <c r="AJ109" s="262">
        <v>1</v>
      </c>
      <c r="AK109" s="184" t="s">
        <v>312</v>
      </c>
      <c r="AL109" s="262">
        <v>4</v>
      </c>
      <c r="AM109" s="184" t="s">
        <v>312</v>
      </c>
      <c r="AN109" s="262">
        <v>2</v>
      </c>
      <c r="AO109" s="184" t="s">
        <v>312</v>
      </c>
      <c r="AP109" s="262">
        <v>3</v>
      </c>
      <c r="AQ109" s="262">
        <v>4</v>
      </c>
      <c r="AR109" s="262">
        <v>3</v>
      </c>
      <c r="AS109" s="184" t="s">
        <v>312</v>
      </c>
      <c r="AT109" s="262">
        <v>5</v>
      </c>
      <c r="AU109" s="262">
        <v>1</v>
      </c>
      <c r="AV109" s="262">
        <v>1</v>
      </c>
      <c r="AW109" s="262">
        <v>3</v>
      </c>
      <c r="AX109" s="184" t="s">
        <v>312</v>
      </c>
      <c r="AY109" s="262">
        <v>3</v>
      </c>
      <c r="AZ109" s="262" t="s">
        <v>311</v>
      </c>
      <c r="BA109" s="262" t="s">
        <v>311</v>
      </c>
      <c r="BB109" s="262">
        <v>3</v>
      </c>
      <c r="BC109" s="184" t="s">
        <v>312</v>
      </c>
      <c r="BD109" s="262">
        <v>3</v>
      </c>
      <c r="BE109" s="262">
        <v>3</v>
      </c>
      <c r="BF109" s="262" t="s">
        <v>542</v>
      </c>
      <c r="BG109" s="262" t="s">
        <v>27</v>
      </c>
      <c r="BH109" s="262" t="s">
        <v>538</v>
      </c>
      <c r="BI109" s="262">
        <v>0</v>
      </c>
      <c r="BJ109" s="262">
        <v>3</v>
      </c>
      <c r="BK109" s="184" t="s">
        <v>312</v>
      </c>
      <c r="BL109" s="262">
        <v>5</v>
      </c>
      <c r="BM109" s="262">
        <v>5</v>
      </c>
      <c r="BN109" s="262">
        <v>3</v>
      </c>
      <c r="BO109" s="262">
        <v>3</v>
      </c>
      <c r="BP109" s="184" t="s">
        <v>312</v>
      </c>
      <c r="BQ109" s="262">
        <v>3</v>
      </c>
      <c r="BR109" s="262">
        <v>0</v>
      </c>
      <c r="BS109" s="262" t="s">
        <v>557</v>
      </c>
    </row>
    <row r="110" spans="2:71" s="16" customFormat="1" ht="35.25" customHeight="1" x14ac:dyDescent="0.25">
      <c r="B110" s="198" t="s">
        <v>333</v>
      </c>
      <c r="C110" s="154" t="s">
        <v>11</v>
      </c>
      <c r="D110" s="172">
        <v>6073018700</v>
      </c>
      <c r="E110" s="172">
        <v>37452</v>
      </c>
      <c r="F110" s="172">
        <v>93</v>
      </c>
      <c r="G110" s="172">
        <v>24</v>
      </c>
      <c r="H110" s="172">
        <v>26.04</v>
      </c>
      <c r="I110" s="281">
        <v>1</v>
      </c>
      <c r="J110" s="281">
        <v>3</v>
      </c>
      <c r="K110" s="281">
        <v>2.5</v>
      </c>
      <c r="L110" s="281">
        <v>3</v>
      </c>
      <c r="M110" s="281">
        <v>3</v>
      </c>
      <c r="N110" s="281">
        <v>1</v>
      </c>
      <c r="O110" s="281">
        <v>2</v>
      </c>
      <c r="P110" s="281">
        <v>3</v>
      </c>
      <c r="Q110" s="281">
        <v>3</v>
      </c>
      <c r="R110" s="184">
        <v>0</v>
      </c>
      <c r="S110" s="262">
        <v>3</v>
      </c>
      <c r="T110" s="262">
        <v>5</v>
      </c>
      <c r="U110" s="262" t="s">
        <v>311</v>
      </c>
      <c r="V110" s="262">
        <v>4</v>
      </c>
      <c r="W110" s="262">
        <v>3</v>
      </c>
      <c r="X110" s="184" t="s">
        <v>312</v>
      </c>
      <c r="Y110" s="262">
        <v>5</v>
      </c>
      <c r="Z110" s="184" t="s">
        <v>312</v>
      </c>
      <c r="AA110" s="262">
        <v>1</v>
      </c>
      <c r="AB110" s="262" t="s">
        <v>595</v>
      </c>
      <c r="AC110" s="262">
        <v>3</v>
      </c>
      <c r="AD110" s="262" t="s">
        <v>546</v>
      </c>
      <c r="AE110" s="262">
        <v>1</v>
      </c>
      <c r="AF110" s="184" t="s">
        <v>312</v>
      </c>
      <c r="AG110" s="262">
        <v>4</v>
      </c>
      <c r="AH110" s="262">
        <v>5</v>
      </c>
      <c r="AI110" s="262">
        <v>0</v>
      </c>
      <c r="AJ110" s="262">
        <v>1</v>
      </c>
      <c r="AK110" s="184" t="s">
        <v>312</v>
      </c>
      <c r="AL110" s="262">
        <v>4</v>
      </c>
      <c r="AM110" s="184" t="s">
        <v>312</v>
      </c>
      <c r="AN110" s="262">
        <v>2</v>
      </c>
      <c r="AO110" s="184" t="s">
        <v>312</v>
      </c>
      <c r="AP110" s="262">
        <v>3</v>
      </c>
      <c r="AQ110" s="262">
        <v>5</v>
      </c>
      <c r="AR110" s="262">
        <v>3</v>
      </c>
      <c r="AS110" s="184" t="s">
        <v>312</v>
      </c>
      <c r="AT110" s="262">
        <v>5</v>
      </c>
      <c r="AU110" s="262">
        <v>4</v>
      </c>
      <c r="AV110" s="262">
        <v>1</v>
      </c>
      <c r="AW110" s="262">
        <v>3</v>
      </c>
      <c r="AX110" s="184" t="s">
        <v>312</v>
      </c>
      <c r="AY110" s="262">
        <v>3</v>
      </c>
      <c r="AZ110" s="262" t="s">
        <v>311</v>
      </c>
      <c r="BA110" s="262" t="s">
        <v>311</v>
      </c>
      <c r="BB110" s="262">
        <v>3</v>
      </c>
      <c r="BC110" s="184" t="s">
        <v>312</v>
      </c>
      <c r="BD110" s="262">
        <v>3</v>
      </c>
      <c r="BE110" s="262">
        <v>3</v>
      </c>
      <c r="BF110" s="262" t="s">
        <v>542</v>
      </c>
      <c r="BG110" s="262" t="s">
        <v>27</v>
      </c>
      <c r="BH110" s="262" t="s">
        <v>547</v>
      </c>
      <c r="BI110" s="262">
        <v>0</v>
      </c>
      <c r="BJ110" s="262">
        <v>3</v>
      </c>
      <c r="BK110" s="184" t="s">
        <v>312</v>
      </c>
      <c r="BL110" s="262">
        <v>5</v>
      </c>
      <c r="BM110" s="262">
        <v>5</v>
      </c>
      <c r="BN110" s="262">
        <v>3</v>
      </c>
      <c r="BO110" s="262">
        <v>3</v>
      </c>
      <c r="BP110" s="184" t="s">
        <v>312</v>
      </c>
      <c r="BQ110" s="262">
        <v>3</v>
      </c>
      <c r="BR110" s="262">
        <v>0</v>
      </c>
      <c r="BS110" s="262" t="s">
        <v>557</v>
      </c>
    </row>
    <row r="111" spans="2:71" s="16" customFormat="1" ht="35.25" customHeight="1" x14ac:dyDescent="0.25">
      <c r="B111" s="198" t="s">
        <v>355</v>
      </c>
      <c r="C111" s="154" t="s">
        <v>14</v>
      </c>
      <c r="D111" s="172">
        <v>6073020307</v>
      </c>
      <c r="E111" s="172">
        <v>7170</v>
      </c>
      <c r="F111" s="172">
        <v>92</v>
      </c>
      <c r="G111" s="172">
        <v>14</v>
      </c>
      <c r="H111" s="172">
        <v>19.66</v>
      </c>
      <c r="I111" s="281">
        <v>3</v>
      </c>
      <c r="J111" s="281">
        <v>3</v>
      </c>
      <c r="K111" s="281">
        <v>2.5</v>
      </c>
      <c r="L111" s="281">
        <v>3</v>
      </c>
      <c r="M111" s="281">
        <v>3</v>
      </c>
      <c r="N111" s="281">
        <v>1</v>
      </c>
      <c r="O111" s="281">
        <v>1</v>
      </c>
      <c r="P111" s="281">
        <v>1</v>
      </c>
      <c r="Q111" s="281">
        <v>2</v>
      </c>
      <c r="R111" s="184">
        <v>0</v>
      </c>
      <c r="S111" s="262" t="s">
        <v>373</v>
      </c>
      <c r="T111" s="262" t="s">
        <v>373</v>
      </c>
      <c r="U111" s="262" t="s">
        <v>373</v>
      </c>
      <c r="V111" s="262" t="s">
        <v>373</v>
      </c>
      <c r="W111" s="262" t="s">
        <v>373</v>
      </c>
      <c r="X111" s="184" t="s">
        <v>312</v>
      </c>
      <c r="Y111" s="262" t="s">
        <v>373</v>
      </c>
      <c r="Z111" s="184" t="s">
        <v>312</v>
      </c>
      <c r="AA111" s="262" t="s">
        <v>373</v>
      </c>
      <c r="AB111" s="262" t="s">
        <v>373</v>
      </c>
      <c r="AC111" s="262" t="s">
        <v>373</v>
      </c>
      <c r="AD111" s="262" t="s">
        <v>373</v>
      </c>
      <c r="AE111" s="262" t="s">
        <v>373</v>
      </c>
      <c r="AF111" s="184" t="s">
        <v>312</v>
      </c>
      <c r="AG111" s="262" t="s">
        <v>373</v>
      </c>
      <c r="AH111" s="262" t="s">
        <v>373</v>
      </c>
      <c r="AI111" s="262" t="s">
        <v>373</v>
      </c>
      <c r="AJ111" s="262" t="s">
        <v>373</v>
      </c>
      <c r="AK111" s="184" t="s">
        <v>312</v>
      </c>
      <c r="AL111" s="262" t="s">
        <v>373</v>
      </c>
      <c r="AM111" s="184" t="s">
        <v>312</v>
      </c>
      <c r="AN111" s="262" t="s">
        <v>373</v>
      </c>
      <c r="AO111" s="184" t="s">
        <v>312</v>
      </c>
      <c r="AP111" s="262" t="s">
        <v>373</v>
      </c>
      <c r="AQ111" s="262" t="s">
        <v>373</v>
      </c>
      <c r="AR111" s="262" t="s">
        <v>373</v>
      </c>
      <c r="AS111" s="184" t="s">
        <v>312</v>
      </c>
      <c r="AT111" s="262" t="s">
        <v>373</v>
      </c>
      <c r="AU111" s="262" t="s">
        <v>373</v>
      </c>
      <c r="AV111" s="262" t="s">
        <v>373</v>
      </c>
      <c r="AW111" s="262" t="s">
        <v>373</v>
      </c>
      <c r="AX111" s="184" t="s">
        <v>312</v>
      </c>
      <c r="AY111" s="262" t="s">
        <v>373</v>
      </c>
      <c r="AZ111" s="262" t="s">
        <v>373</v>
      </c>
      <c r="BA111" s="262" t="s">
        <v>373</v>
      </c>
      <c r="BB111" s="262" t="s">
        <v>373</v>
      </c>
      <c r="BC111" s="184" t="s">
        <v>312</v>
      </c>
      <c r="BD111" s="262" t="s">
        <v>373</v>
      </c>
      <c r="BE111" s="262" t="s">
        <v>373</v>
      </c>
      <c r="BF111" s="262" t="s">
        <v>373</v>
      </c>
      <c r="BG111" s="262" t="s">
        <v>373</v>
      </c>
      <c r="BH111" s="262" t="s">
        <v>373</v>
      </c>
      <c r="BI111" s="262" t="s">
        <v>373</v>
      </c>
      <c r="BJ111" s="262" t="s">
        <v>373</v>
      </c>
      <c r="BK111" s="184" t="s">
        <v>312</v>
      </c>
      <c r="BL111" s="262" t="s">
        <v>373</v>
      </c>
      <c r="BM111" s="262" t="s">
        <v>373</v>
      </c>
      <c r="BN111" s="262" t="s">
        <v>373</v>
      </c>
      <c r="BO111" s="262" t="s">
        <v>373</v>
      </c>
      <c r="BP111" s="184" t="s">
        <v>312</v>
      </c>
      <c r="BQ111" s="262" t="s">
        <v>373</v>
      </c>
      <c r="BR111" s="262" t="s">
        <v>373</v>
      </c>
      <c r="BS111" s="262" t="s">
        <v>373</v>
      </c>
    </row>
    <row r="112" spans="2:71" s="16" customFormat="1" ht="35.25" customHeight="1" x14ac:dyDescent="0.25">
      <c r="B112" s="198" t="s">
        <v>356</v>
      </c>
      <c r="C112" s="154" t="s">
        <v>14</v>
      </c>
      <c r="D112" s="172">
        <v>6073009603</v>
      </c>
      <c r="E112" s="172">
        <v>4533</v>
      </c>
      <c r="F112" s="172">
        <v>76</v>
      </c>
      <c r="G112" s="172">
        <v>17</v>
      </c>
      <c r="H112" s="172">
        <v>18.2</v>
      </c>
      <c r="I112" s="281">
        <v>3</v>
      </c>
      <c r="J112" s="281">
        <v>1</v>
      </c>
      <c r="K112" s="281">
        <v>1.5</v>
      </c>
      <c r="L112" s="281">
        <v>3</v>
      </c>
      <c r="M112" s="281">
        <v>3</v>
      </c>
      <c r="N112" s="281">
        <v>1</v>
      </c>
      <c r="O112" s="281">
        <v>1</v>
      </c>
      <c r="P112" s="281">
        <v>3</v>
      </c>
      <c r="Q112" s="281">
        <v>2</v>
      </c>
      <c r="R112" s="184">
        <v>0</v>
      </c>
      <c r="S112" s="262">
        <v>5</v>
      </c>
      <c r="T112" s="262">
        <v>3</v>
      </c>
      <c r="U112" s="262" t="s">
        <v>311</v>
      </c>
      <c r="V112" s="262">
        <v>3</v>
      </c>
      <c r="W112" s="262">
        <v>3</v>
      </c>
      <c r="X112" s="184" t="s">
        <v>312</v>
      </c>
      <c r="Y112" s="262">
        <v>4</v>
      </c>
      <c r="Z112" s="184" t="s">
        <v>312</v>
      </c>
      <c r="AA112" s="262">
        <v>1</v>
      </c>
      <c r="AB112" s="262" t="s">
        <v>631</v>
      </c>
      <c r="AC112" s="262">
        <v>3</v>
      </c>
      <c r="AD112" s="262" t="s">
        <v>632</v>
      </c>
      <c r="AE112" s="262">
        <v>3</v>
      </c>
      <c r="AF112" s="184" t="s">
        <v>312</v>
      </c>
      <c r="AG112" s="262">
        <v>4</v>
      </c>
      <c r="AH112" s="262">
        <v>1</v>
      </c>
      <c r="AI112" s="262">
        <v>0</v>
      </c>
      <c r="AJ112" s="262">
        <v>2</v>
      </c>
      <c r="AK112" s="184" t="s">
        <v>312</v>
      </c>
      <c r="AL112" s="262">
        <v>4</v>
      </c>
      <c r="AM112" s="184" t="s">
        <v>312</v>
      </c>
      <c r="AN112" s="262">
        <v>2</v>
      </c>
      <c r="AO112" s="184" t="s">
        <v>312</v>
      </c>
      <c r="AP112" s="262">
        <v>4</v>
      </c>
      <c r="AQ112" s="262">
        <v>3</v>
      </c>
      <c r="AR112" s="262">
        <v>3</v>
      </c>
      <c r="AS112" s="184" t="s">
        <v>312</v>
      </c>
      <c r="AT112" s="262">
        <v>3</v>
      </c>
      <c r="AU112" s="262">
        <v>3</v>
      </c>
      <c r="AV112" s="262">
        <v>3</v>
      </c>
      <c r="AW112" s="262">
        <v>3</v>
      </c>
      <c r="AX112" s="184" t="s">
        <v>312</v>
      </c>
      <c r="AY112" s="262">
        <v>3</v>
      </c>
      <c r="AZ112" s="262" t="s">
        <v>311</v>
      </c>
      <c r="BA112" s="262" t="s">
        <v>311</v>
      </c>
      <c r="BB112" s="262">
        <v>3</v>
      </c>
      <c r="BC112" s="184" t="s">
        <v>312</v>
      </c>
      <c r="BD112" s="262">
        <v>3</v>
      </c>
      <c r="BE112" s="262">
        <v>3</v>
      </c>
      <c r="BF112" s="262" t="s">
        <v>542</v>
      </c>
      <c r="BG112" s="262" t="s">
        <v>27</v>
      </c>
      <c r="BH112" s="262" t="s">
        <v>538</v>
      </c>
      <c r="BI112" s="262" t="s">
        <v>633</v>
      </c>
      <c r="BJ112" s="262">
        <v>3</v>
      </c>
      <c r="BK112" s="184" t="s">
        <v>312</v>
      </c>
      <c r="BL112" s="262">
        <v>5</v>
      </c>
      <c r="BM112" s="262">
        <v>5</v>
      </c>
      <c r="BN112" s="262">
        <v>5</v>
      </c>
      <c r="BO112" s="262">
        <v>4</v>
      </c>
      <c r="BP112" s="184" t="s">
        <v>312</v>
      </c>
      <c r="BQ112" s="262">
        <v>3</v>
      </c>
      <c r="BR112" s="262" t="s">
        <v>633</v>
      </c>
      <c r="BS112" s="262" t="s">
        <v>634</v>
      </c>
    </row>
    <row r="113" spans="2:71" s="16" customFormat="1" ht="35.25" customHeight="1" x14ac:dyDescent="0.25">
      <c r="B113" s="198" t="s">
        <v>310</v>
      </c>
      <c r="C113" s="154" t="s">
        <v>17</v>
      </c>
      <c r="D113" s="172">
        <v>6073020902</v>
      </c>
      <c r="E113" s="172">
        <v>2122</v>
      </c>
      <c r="F113" s="172">
        <v>33</v>
      </c>
      <c r="G113" s="172">
        <v>28</v>
      </c>
      <c r="H113" s="172">
        <v>16.25</v>
      </c>
      <c r="I113" s="281">
        <v>1</v>
      </c>
      <c r="J113" s="281">
        <v>1</v>
      </c>
      <c r="K113" s="281">
        <v>3</v>
      </c>
      <c r="L113" s="281">
        <v>3</v>
      </c>
      <c r="M113" s="281">
        <v>3</v>
      </c>
      <c r="N113" s="281">
        <v>2</v>
      </c>
      <c r="O113" s="281">
        <v>2</v>
      </c>
      <c r="P113" s="281">
        <v>3</v>
      </c>
      <c r="Q113" s="281">
        <v>1</v>
      </c>
      <c r="R113" s="184">
        <v>0</v>
      </c>
      <c r="S113" s="262" t="s">
        <v>373</v>
      </c>
      <c r="T113" s="262" t="s">
        <v>373</v>
      </c>
      <c r="U113" s="262" t="s">
        <v>373</v>
      </c>
      <c r="V113" s="262" t="s">
        <v>373</v>
      </c>
      <c r="W113" s="262" t="s">
        <v>373</v>
      </c>
      <c r="X113" s="184" t="s">
        <v>312</v>
      </c>
      <c r="Y113" s="262" t="s">
        <v>373</v>
      </c>
      <c r="Z113" s="184" t="s">
        <v>312</v>
      </c>
      <c r="AA113" s="262" t="s">
        <v>373</v>
      </c>
      <c r="AB113" s="262" t="s">
        <v>373</v>
      </c>
      <c r="AC113" s="262" t="s">
        <v>373</v>
      </c>
      <c r="AD113" s="262" t="s">
        <v>373</v>
      </c>
      <c r="AE113" s="262" t="s">
        <v>373</v>
      </c>
      <c r="AF113" s="184" t="s">
        <v>312</v>
      </c>
      <c r="AG113" s="262" t="s">
        <v>373</v>
      </c>
      <c r="AH113" s="262" t="s">
        <v>373</v>
      </c>
      <c r="AI113" s="262" t="s">
        <v>373</v>
      </c>
      <c r="AJ113" s="262" t="s">
        <v>373</v>
      </c>
      <c r="AK113" s="184" t="s">
        <v>312</v>
      </c>
      <c r="AL113" s="262" t="s">
        <v>373</v>
      </c>
      <c r="AM113" s="184" t="s">
        <v>312</v>
      </c>
      <c r="AN113" s="262" t="s">
        <v>373</v>
      </c>
      <c r="AO113" s="184" t="s">
        <v>312</v>
      </c>
      <c r="AP113" s="262" t="s">
        <v>373</v>
      </c>
      <c r="AQ113" s="262" t="s">
        <v>373</v>
      </c>
      <c r="AR113" s="262" t="s">
        <v>373</v>
      </c>
      <c r="AS113" s="184" t="s">
        <v>312</v>
      </c>
      <c r="AT113" s="262" t="s">
        <v>373</v>
      </c>
      <c r="AU113" s="262" t="s">
        <v>373</v>
      </c>
      <c r="AV113" s="262" t="s">
        <v>373</v>
      </c>
      <c r="AW113" s="262" t="s">
        <v>373</v>
      </c>
      <c r="AX113" s="184" t="s">
        <v>312</v>
      </c>
      <c r="AY113" s="262" t="s">
        <v>373</v>
      </c>
      <c r="AZ113" s="262" t="s">
        <v>373</v>
      </c>
      <c r="BA113" s="262" t="s">
        <v>373</v>
      </c>
      <c r="BB113" s="262" t="s">
        <v>373</v>
      </c>
      <c r="BC113" s="184" t="s">
        <v>312</v>
      </c>
      <c r="BD113" s="262" t="s">
        <v>373</v>
      </c>
      <c r="BE113" s="262" t="s">
        <v>373</v>
      </c>
      <c r="BF113" s="262" t="s">
        <v>373</v>
      </c>
      <c r="BG113" s="262" t="s">
        <v>373</v>
      </c>
      <c r="BH113" s="262" t="s">
        <v>373</v>
      </c>
      <c r="BI113" s="262" t="s">
        <v>373</v>
      </c>
      <c r="BJ113" s="262" t="s">
        <v>373</v>
      </c>
      <c r="BK113" s="184" t="s">
        <v>312</v>
      </c>
      <c r="BL113" s="262" t="s">
        <v>373</v>
      </c>
      <c r="BM113" s="262" t="s">
        <v>373</v>
      </c>
      <c r="BN113" s="262" t="s">
        <v>373</v>
      </c>
      <c r="BO113" s="262" t="s">
        <v>373</v>
      </c>
      <c r="BP113" s="184" t="s">
        <v>312</v>
      </c>
      <c r="BQ113" s="262" t="s">
        <v>373</v>
      </c>
      <c r="BR113" s="262" t="s">
        <v>373</v>
      </c>
      <c r="BS113" s="262" t="s">
        <v>373</v>
      </c>
    </row>
    <row r="114" spans="2:71" s="16" customFormat="1" ht="35.25" customHeight="1" x14ac:dyDescent="0.25">
      <c r="B114" s="198" t="s">
        <v>357</v>
      </c>
      <c r="C114" s="154" t="s">
        <v>14</v>
      </c>
      <c r="D114" s="172">
        <v>6073013801</v>
      </c>
      <c r="E114" s="172">
        <v>4771</v>
      </c>
      <c r="F114" s="172">
        <v>38</v>
      </c>
      <c r="G114" s="172">
        <v>27</v>
      </c>
      <c r="H114" s="172">
        <v>16.84</v>
      </c>
      <c r="I114" s="281">
        <v>3</v>
      </c>
      <c r="J114" s="281">
        <v>2</v>
      </c>
      <c r="K114" s="281">
        <v>2.5</v>
      </c>
      <c r="L114" s="281">
        <v>3</v>
      </c>
      <c r="M114" s="281">
        <v>3</v>
      </c>
      <c r="N114" s="281">
        <v>2</v>
      </c>
      <c r="O114" s="281">
        <v>2</v>
      </c>
      <c r="P114" s="281">
        <v>3</v>
      </c>
      <c r="Q114" s="281">
        <v>2</v>
      </c>
      <c r="R114" s="184">
        <v>0</v>
      </c>
      <c r="S114" s="262">
        <v>3</v>
      </c>
      <c r="T114" s="262">
        <v>5</v>
      </c>
      <c r="U114" s="262" t="s">
        <v>311</v>
      </c>
      <c r="V114" s="262">
        <v>3</v>
      </c>
      <c r="W114" s="262" t="s">
        <v>311</v>
      </c>
      <c r="X114" s="184" t="s">
        <v>312</v>
      </c>
      <c r="Y114" s="262" t="s">
        <v>311</v>
      </c>
      <c r="Z114" s="184" t="s">
        <v>312</v>
      </c>
      <c r="AA114" s="262">
        <v>3</v>
      </c>
      <c r="AB114" s="262">
        <v>1462800</v>
      </c>
      <c r="AC114" s="262">
        <v>1</v>
      </c>
      <c r="AD114" s="262" t="s">
        <v>608</v>
      </c>
      <c r="AE114" s="262">
        <v>3</v>
      </c>
      <c r="AF114" s="184" t="s">
        <v>312</v>
      </c>
      <c r="AG114" s="262">
        <v>1</v>
      </c>
      <c r="AH114" s="262">
        <v>1</v>
      </c>
      <c r="AI114" s="262">
        <v>0</v>
      </c>
      <c r="AJ114" s="262">
        <v>3</v>
      </c>
      <c r="AK114" s="184" t="s">
        <v>312</v>
      </c>
      <c r="AL114" s="262">
        <v>3</v>
      </c>
      <c r="AM114" s="184" t="s">
        <v>312</v>
      </c>
      <c r="AN114" s="262" t="s">
        <v>311</v>
      </c>
      <c r="AO114" s="184" t="s">
        <v>312</v>
      </c>
      <c r="AP114" s="262">
        <v>5</v>
      </c>
      <c r="AQ114" s="262">
        <v>5</v>
      </c>
      <c r="AR114" s="262">
        <v>5</v>
      </c>
      <c r="AS114" s="184" t="s">
        <v>312</v>
      </c>
      <c r="AT114" s="262">
        <v>5</v>
      </c>
      <c r="AU114" s="262">
        <v>1</v>
      </c>
      <c r="AV114" s="262">
        <v>1</v>
      </c>
      <c r="AW114" s="262">
        <v>5</v>
      </c>
      <c r="AX114" s="184" t="s">
        <v>312</v>
      </c>
      <c r="AY114" s="262">
        <v>3</v>
      </c>
      <c r="AZ114" s="262" t="s">
        <v>311</v>
      </c>
      <c r="BA114" s="262" t="s">
        <v>311</v>
      </c>
      <c r="BB114" s="262">
        <v>3</v>
      </c>
      <c r="BC114" s="184" t="s">
        <v>312</v>
      </c>
      <c r="BD114" s="262">
        <v>3</v>
      </c>
      <c r="BE114" s="262">
        <v>3</v>
      </c>
      <c r="BF114" s="262" t="s">
        <v>542</v>
      </c>
      <c r="BG114" s="262" t="s">
        <v>27</v>
      </c>
      <c r="BH114" s="262" t="s">
        <v>547</v>
      </c>
      <c r="BI114" s="262" t="s">
        <v>635</v>
      </c>
      <c r="BJ114" s="262">
        <v>3</v>
      </c>
      <c r="BK114" s="184" t="s">
        <v>312</v>
      </c>
      <c r="BL114" s="262">
        <v>5</v>
      </c>
      <c r="BM114" s="262">
        <v>3</v>
      </c>
      <c r="BN114" s="262">
        <v>3</v>
      </c>
      <c r="BO114" s="262">
        <v>5</v>
      </c>
      <c r="BP114" s="184" t="s">
        <v>312</v>
      </c>
      <c r="BQ114" s="262">
        <v>2</v>
      </c>
      <c r="BR114" s="262" t="s">
        <v>610</v>
      </c>
      <c r="BS114" s="262" t="s">
        <v>557</v>
      </c>
    </row>
    <row r="115" spans="2:71" s="16" customFormat="1" ht="35.25" customHeight="1" x14ac:dyDescent="0.25">
      <c r="B115" s="198" t="s">
        <v>371</v>
      </c>
      <c r="C115" s="154" t="s">
        <v>17</v>
      </c>
      <c r="D115" s="172">
        <v>6073013410</v>
      </c>
      <c r="E115" s="172">
        <v>7073</v>
      </c>
      <c r="F115" s="172">
        <v>28</v>
      </c>
      <c r="G115" s="172">
        <v>7</v>
      </c>
      <c r="H115" s="172">
        <v>7.84</v>
      </c>
      <c r="I115" s="281">
        <v>3</v>
      </c>
      <c r="J115" s="281">
        <v>1</v>
      </c>
      <c r="K115" s="281">
        <v>2.5</v>
      </c>
      <c r="L115" s="281">
        <v>3</v>
      </c>
      <c r="M115" s="281">
        <v>3</v>
      </c>
      <c r="N115" s="281">
        <v>2</v>
      </c>
      <c r="O115" s="281">
        <v>1</v>
      </c>
      <c r="P115" s="281">
        <v>3</v>
      </c>
      <c r="Q115" s="281">
        <v>1</v>
      </c>
      <c r="R115" s="184">
        <v>0</v>
      </c>
      <c r="S115" s="262">
        <v>3</v>
      </c>
      <c r="T115" s="262">
        <v>2</v>
      </c>
      <c r="U115" s="262" t="s">
        <v>311</v>
      </c>
      <c r="V115" s="262">
        <v>3</v>
      </c>
      <c r="W115" s="262">
        <v>5</v>
      </c>
      <c r="X115" s="184" t="s">
        <v>312</v>
      </c>
      <c r="Y115" s="262">
        <v>3</v>
      </c>
      <c r="Z115" s="184" t="s">
        <v>312</v>
      </c>
      <c r="AA115" s="262">
        <v>3</v>
      </c>
      <c r="AB115" s="262">
        <v>2231129</v>
      </c>
      <c r="AC115" s="262">
        <v>3</v>
      </c>
      <c r="AD115" s="262" t="s">
        <v>546</v>
      </c>
      <c r="AE115" s="262">
        <v>3</v>
      </c>
      <c r="AF115" s="184" t="s">
        <v>312</v>
      </c>
      <c r="AG115" s="262">
        <v>4</v>
      </c>
      <c r="AH115" s="262">
        <v>4</v>
      </c>
      <c r="AI115" s="262">
        <v>0</v>
      </c>
      <c r="AJ115" s="262">
        <v>2</v>
      </c>
      <c r="AK115" s="184" t="s">
        <v>312</v>
      </c>
      <c r="AL115" s="262">
        <v>2</v>
      </c>
      <c r="AM115" s="184" t="s">
        <v>312</v>
      </c>
      <c r="AN115" s="262">
        <v>2</v>
      </c>
      <c r="AO115" s="184" t="s">
        <v>312</v>
      </c>
      <c r="AP115" s="262">
        <v>4</v>
      </c>
      <c r="AQ115" s="262">
        <v>2</v>
      </c>
      <c r="AR115" s="262">
        <v>4</v>
      </c>
      <c r="AS115" s="184" t="s">
        <v>312</v>
      </c>
      <c r="AT115" s="262">
        <v>5</v>
      </c>
      <c r="AU115" s="262">
        <v>4</v>
      </c>
      <c r="AV115" s="262">
        <v>3</v>
      </c>
      <c r="AW115" s="262">
        <v>3</v>
      </c>
      <c r="AX115" s="184" t="s">
        <v>312</v>
      </c>
      <c r="AY115" s="262">
        <v>5</v>
      </c>
      <c r="AZ115" s="262">
        <v>1</v>
      </c>
      <c r="BA115" s="262" t="s">
        <v>311</v>
      </c>
      <c r="BB115" s="262">
        <v>3</v>
      </c>
      <c r="BC115" s="184" t="s">
        <v>312</v>
      </c>
      <c r="BD115" s="262">
        <v>5</v>
      </c>
      <c r="BE115" s="262">
        <v>5</v>
      </c>
      <c r="BF115" s="262" t="s">
        <v>311</v>
      </c>
      <c r="BG115" s="262">
        <v>3</v>
      </c>
      <c r="BH115" s="262" t="s">
        <v>311</v>
      </c>
      <c r="BI115" s="262" t="s">
        <v>311</v>
      </c>
      <c r="BJ115" s="262" t="s">
        <v>311</v>
      </c>
      <c r="BK115" s="184" t="s">
        <v>312</v>
      </c>
      <c r="BL115" s="262">
        <v>5</v>
      </c>
      <c r="BM115" s="262">
        <v>3</v>
      </c>
      <c r="BN115" s="262">
        <v>4</v>
      </c>
      <c r="BO115" s="262">
        <v>3</v>
      </c>
      <c r="BP115" s="184" t="s">
        <v>312</v>
      </c>
      <c r="BQ115" s="262">
        <v>3</v>
      </c>
      <c r="BR115" s="262">
        <v>11</v>
      </c>
      <c r="BS115" s="262" t="s">
        <v>614</v>
      </c>
    </row>
    <row r="116" spans="2:71" s="16" customFormat="1" ht="35.25" customHeight="1" x14ac:dyDescent="0.25">
      <c r="B116" s="198" t="s">
        <v>308</v>
      </c>
      <c r="C116" s="154" t="s">
        <v>14</v>
      </c>
      <c r="D116" s="172">
        <v>6073003204</v>
      </c>
      <c r="E116" s="172">
        <v>3453</v>
      </c>
      <c r="F116" s="172">
        <v>32</v>
      </c>
      <c r="G116" s="172">
        <v>53</v>
      </c>
      <c r="H116" s="172">
        <v>23.24</v>
      </c>
      <c r="I116" s="281">
        <v>3</v>
      </c>
      <c r="J116" s="281">
        <v>1</v>
      </c>
      <c r="K116" s="281">
        <v>1.5</v>
      </c>
      <c r="L116" s="281">
        <v>3</v>
      </c>
      <c r="M116" s="281">
        <v>3</v>
      </c>
      <c r="N116" s="281">
        <v>2</v>
      </c>
      <c r="O116" s="281">
        <v>2</v>
      </c>
      <c r="P116" s="281">
        <v>1</v>
      </c>
      <c r="Q116" s="281">
        <v>1</v>
      </c>
      <c r="R116" s="184">
        <v>0</v>
      </c>
      <c r="S116" s="262" t="s">
        <v>373</v>
      </c>
      <c r="T116" s="262" t="s">
        <v>373</v>
      </c>
      <c r="U116" s="262" t="s">
        <v>373</v>
      </c>
      <c r="V116" s="262" t="s">
        <v>373</v>
      </c>
      <c r="W116" s="262" t="s">
        <v>373</v>
      </c>
      <c r="X116" s="184" t="s">
        <v>312</v>
      </c>
      <c r="Y116" s="262" t="s">
        <v>373</v>
      </c>
      <c r="Z116" s="184" t="s">
        <v>312</v>
      </c>
      <c r="AA116" s="262" t="s">
        <v>373</v>
      </c>
      <c r="AB116" s="262" t="s">
        <v>373</v>
      </c>
      <c r="AC116" s="262" t="s">
        <v>373</v>
      </c>
      <c r="AD116" s="262" t="s">
        <v>373</v>
      </c>
      <c r="AE116" s="262" t="s">
        <v>373</v>
      </c>
      <c r="AF116" s="184" t="s">
        <v>312</v>
      </c>
      <c r="AG116" s="262" t="s">
        <v>373</v>
      </c>
      <c r="AH116" s="262" t="s">
        <v>373</v>
      </c>
      <c r="AI116" s="262" t="s">
        <v>373</v>
      </c>
      <c r="AJ116" s="262" t="s">
        <v>373</v>
      </c>
      <c r="AK116" s="184" t="s">
        <v>312</v>
      </c>
      <c r="AL116" s="262" t="s">
        <v>373</v>
      </c>
      <c r="AM116" s="184" t="s">
        <v>312</v>
      </c>
      <c r="AN116" s="262" t="s">
        <v>373</v>
      </c>
      <c r="AO116" s="184" t="s">
        <v>312</v>
      </c>
      <c r="AP116" s="262" t="s">
        <v>373</v>
      </c>
      <c r="AQ116" s="262" t="s">
        <v>373</v>
      </c>
      <c r="AR116" s="262" t="s">
        <v>373</v>
      </c>
      <c r="AS116" s="184" t="s">
        <v>312</v>
      </c>
      <c r="AT116" s="262" t="s">
        <v>373</v>
      </c>
      <c r="AU116" s="262" t="s">
        <v>373</v>
      </c>
      <c r="AV116" s="262" t="s">
        <v>373</v>
      </c>
      <c r="AW116" s="262" t="s">
        <v>373</v>
      </c>
      <c r="AX116" s="184" t="s">
        <v>312</v>
      </c>
      <c r="AY116" s="262" t="s">
        <v>373</v>
      </c>
      <c r="AZ116" s="262" t="s">
        <v>373</v>
      </c>
      <c r="BA116" s="262" t="s">
        <v>373</v>
      </c>
      <c r="BB116" s="262" t="s">
        <v>373</v>
      </c>
      <c r="BC116" s="184" t="s">
        <v>312</v>
      </c>
      <c r="BD116" s="262" t="s">
        <v>373</v>
      </c>
      <c r="BE116" s="262" t="s">
        <v>373</v>
      </c>
      <c r="BF116" s="262" t="s">
        <v>373</v>
      </c>
      <c r="BG116" s="262" t="s">
        <v>373</v>
      </c>
      <c r="BH116" s="262" t="s">
        <v>373</v>
      </c>
      <c r="BI116" s="262" t="s">
        <v>373</v>
      </c>
      <c r="BJ116" s="262" t="s">
        <v>373</v>
      </c>
      <c r="BK116" s="184" t="s">
        <v>312</v>
      </c>
      <c r="BL116" s="262" t="s">
        <v>373</v>
      </c>
      <c r="BM116" s="262" t="s">
        <v>373</v>
      </c>
      <c r="BN116" s="262" t="s">
        <v>373</v>
      </c>
      <c r="BO116" s="262" t="s">
        <v>373</v>
      </c>
      <c r="BP116" s="184" t="s">
        <v>312</v>
      </c>
      <c r="BQ116" s="262" t="s">
        <v>373</v>
      </c>
      <c r="BR116" s="262" t="s">
        <v>373</v>
      </c>
      <c r="BS116" s="262" t="s">
        <v>373</v>
      </c>
    </row>
    <row r="117" spans="2:71" s="16" customFormat="1" ht="35.25" customHeight="1" x14ac:dyDescent="0.25">
      <c r="B117" s="198" t="s">
        <v>72</v>
      </c>
      <c r="C117" s="154" t="s">
        <v>17</v>
      </c>
      <c r="D117" s="172">
        <v>6073016612</v>
      </c>
      <c r="E117" s="172">
        <v>6143</v>
      </c>
      <c r="F117" s="172">
        <v>22</v>
      </c>
      <c r="G117" s="172">
        <v>17</v>
      </c>
      <c r="H117" s="172">
        <v>10.75</v>
      </c>
      <c r="I117" s="281">
        <v>1.5</v>
      </c>
      <c r="J117" s="281">
        <v>1</v>
      </c>
      <c r="K117" s="281">
        <v>2.5</v>
      </c>
      <c r="L117" s="281">
        <v>3</v>
      </c>
      <c r="M117" s="281">
        <v>3</v>
      </c>
      <c r="N117" s="281">
        <v>2</v>
      </c>
      <c r="O117" s="281">
        <v>1</v>
      </c>
      <c r="P117" s="281">
        <v>3</v>
      </c>
      <c r="Q117" s="281">
        <v>2</v>
      </c>
      <c r="R117" s="184">
        <v>0</v>
      </c>
      <c r="S117" s="262">
        <v>3</v>
      </c>
      <c r="T117" s="262">
        <v>3</v>
      </c>
      <c r="U117" s="262" t="s">
        <v>311</v>
      </c>
      <c r="V117" s="262">
        <v>3</v>
      </c>
      <c r="W117" s="262">
        <v>3</v>
      </c>
      <c r="X117" s="184" t="s">
        <v>312</v>
      </c>
      <c r="Y117" s="262">
        <v>3</v>
      </c>
      <c r="Z117" s="184" t="s">
        <v>312</v>
      </c>
      <c r="AA117" s="262">
        <v>3</v>
      </c>
      <c r="AB117" s="262">
        <v>472690</v>
      </c>
      <c r="AC117" s="262">
        <v>3</v>
      </c>
      <c r="AD117" s="262" t="s">
        <v>612</v>
      </c>
      <c r="AE117" s="262">
        <v>5</v>
      </c>
      <c r="AF117" s="184" t="s">
        <v>312</v>
      </c>
      <c r="AG117" s="262">
        <v>3</v>
      </c>
      <c r="AH117" s="262">
        <v>4</v>
      </c>
      <c r="AI117" s="262">
        <v>0</v>
      </c>
      <c r="AJ117" s="262">
        <v>3</v>
      </c>
      <c r="AK117" s="184" t="s">
        <v>312</v>
      </c>
      <c r="AL117" s="262">
        <v>4</v>
      </c>
      <c r="AM117" s="184" t="s">
        <v>312</v>
      </c>
      <c r="AN117" s="262">
        <v>4</v>
      </c>
      <c r="AO117" s="184" t="s">
        <v>312</v>
      </c>
      <c r="AP117" s="262">
        <v>4</v>
      </c>
      <c r="AQ117" s="262">
        <v>3</v>
      </c>
      <c r="AR117" s="262">
        <v>3</v>
      </c>
      <c r="AS117" s="184" t="s">
        <v>312</v>
      </c>
      <c r="AT117" s="262">
        <v>5</v>
      </c>
      <c r="AU117" s="262">
        <v>3</v>
      </c>
      <c r="AV117" s="262">
        <v>1</v>
      </c>
      <c r="AW117" s="262">
        <v>3</v>
      </c>
      <c r="AX117" s="184" t="s">
        <v>312</v>
      </c>
      <c r="AY117" s="262">
        <v>3</v>
      </c>
      <c r="AZ117" s="262">
        <v>1</v>
      </c>
      <c r="BA117" s="262">
        <v>3</v>
      </c>
      <c r="BB117" s="262">
        <v>3</v>
      </c>
      <c r="BC117" s="184" t="s">
        <v>312</v>
      </c>
      <c r="BD117" s="262">
        <v>3</v>
      </c>
      <c r="BE117" s="262">
        <v>5</v>
      </c>
      <c r="BF117" s="262" t="s">
        <v>601</v>
      </c>
      <c r="BG117" s="262" t="s">
        <v>27</v>
      </c>
      <c r="BH117" s="262" t="s">
        <v>547</v>
      </c>
      <c r="BI117" s="262">
        <v>0.154</v>
      </c>
      <c r="BJ117" s="262">
        <v>5</v>
      </c>
      <c r="BK117" s="184" t="s">
        <v>312</v>
      </c>
      <c r="BL117" s="262">
        <v>3</v>
      </c>
      <c r="BM117" s="262">
        <v>3</v>
      </c>
      <c r="BN117" s="262">
        <v>3</v>
      </c>
      <c r="BO117" s="262">
        <v>3</v>
      </c>
      <c r="BP117" s="184" t="s">
        <v>312</v>
      </c>
      <c r="BQ117" s="262">
        <v>4</v>
      </c>
      <c r="BR117" s="262">
        <v>0.154</v>
      </c>
      <c r="BS117" s="262" t="s">
        <v>614</v>
      </c>
    </row>
    <row r="118" spans="2:71" s="16" customFormat="1" ht="35.25" customHeight="1" x14ac:dyDescent="0.25">
      <c r="B118" s="198" t="s">
        <v>334</v>
      </c>
      <c r="C118" s="154" t="s">
        <v>12</v>
      </c>
      <c r="D118" s="172">
        <v>6073017401</v>
      </c>
      <c r="E118" s="172">
        <v>5355</v>
      </c>
      <c r="F118" s="172">
        <v>31</v>
      </c>
      <c r="G118" s="172">
        <v>8</v>
      </c>
      <c r="H118" s="172">
        <v>8.58</v>
      </c>
      <c r="I118" s="281">
        <v>3</v>
      </c>
      <c r="J118" s="281">
        <v>3</v>
      </c>
      <c r="K118" s="281">
        <v>2.5</v>
      </c>
      <c r="L118" s="281">
        <v>3</v>
      </c>
      <c r="M118" s="281">
        <v>3</v>
      </c>
      <c r="N118" s="281">
        <v>2</v>
      </c>
      <c r="O118" s="281">
        <v>2</v>
      </c>
      <c r="P118" s="281">
        <v>3</v>
      </c>
      <c r="Q118" s="281">
        <v>3</v>
      </c>
      <c r="R118" s="184">
        <v>0</v>
      </c>
      <c r="S118" s="262">
        <v>5</v>
      </c>
      <c r="T118" s="262">
        <v>3</v>
      </c>
      <c r="U118" s="262" t="s">
        <v>311</v>
      </c>
      <c r="V118" s="262">
        <v>3</v>
      </c>
      <c r="W118" s="262">
        <v>3</v>
      </c>
      <c r="X118" s="184" t="s">
        <v>312</v>
      </c>
      <c r="Y118" s="262">
        <v>5</v>
      </c>
      <c r="Z118" s="184" t="s">
        <v>312</v>
      </c>
      <c r="AA118" s="262">
        <v>3</v>
      </c>
      <c r="AB118" s="262">
        <v>2000000</v>
      </c>
      <c r="AC118" s="262">
        <v>3</v>
      </c>
      <c r="AD118" s="262" t="s">
        <v>596</v>
      </c>
      <c r="AE118" s="262">
        <v>3</v>
      </c>
      <c r="AF118" s="184" t="s">
        <v>312</v>
      </c>
      <c r="AG118" s="262">
        <v>2</v>
      </c>
      <c r="AH118" s="262">
        <v>4</v>
      </c>
      <c r="AI118" s="262">
        <v>0</v>
      </c>
      <c r="AJ118" s="262">
        <v>3</v>
      </c>
      <c r="AK118" s="184" t="s">
        <v>312</v>
      </c>
      <c r="AL118" s="262">
        <v>4</v>
      </c>
      <c r="AM118" s="184" t="s">
        <v>312</v>
      </c>
      <c r="AN118" s="262">
        <v>4</v>
      </c>
      <c r="AO118" s="184" t="s">
        <v>312</v>
      </c>
      <c r="AP118" s="262">
        <v>3</v>
      </c>
      <c r="AQ118" s="262">
        <v>3</v>
      </c>
      <c r="AR118" s="262">
        <v>3</v>
      </c>
      <c r="AS118" s="184" t="s">
        <v>312</v>
      </c>
      <c r="AT118" s="262">
        <v>3</v>
      </c>
      <c r="AU118" s="262" t="s">
        <v>311</v>
      </c>
      <c r="AV118" s="262">
        <v>1</v>
      </c>
      <c r="AW118" s="262">
        <v>3</v>
      </c>
      <c r="AX118" s="184" t="s">
        <v>312</v>
      </c>
      <c r="AY118" s="262">
        <v>5</v>
      </c>
      <c r="AZ118" s="262">
        <v>3</v>
      </c>
      <c r="BA118" s="262">
        <v>3</v>
      </c>
      <c r="BB118" s="262">
        <v>5</v>
      </c>
      <c r="BC118" s="184" t="s">
        <v>312</v>
      </c>
      <c r="BD118" s="262">
        <v>3</v>
      </c>
      <c r="BE118" s="262">
        <v>3</v>
      </c>
      <c r="BF118" s="262" t="s">
        <v>542</v>
      </c>
      <c r="BG118" s="262" t="s">
        <v>27</v>
      </c>
      <c r="BH118" s="262" t="s">
        <v>547</v>
      </c>
      <c r="BI118" s="262">
        <v>0</v>
      </c>
      <c r="BJ118" s="262">
        <v>3</v>
      </c>
      <c r="BK118" s="184" t="s">
        <v>312</v>
      </c>
      <c r="BL118" s="262" t="s">
        <v>311</v>
      </c>
      <c r="BM118" s="262" t="s">
        <v>311</v>
      </c>
      <c r="BN118" s="262">
        <v>3</v>
      </c>
      <c r="BO118" s="262">
        <v>3</v>
      </c>
      <c r="BP118" s="184" t="s">
        <v>312</v>
      </c>
      <c r="BQ118" s="262">
        <v>3</v>
      </c>
      <c r="BR118" s="262">
        <v>0</v>
      </c>
      <c r="BS118" s="262">
        <v>0</v>
      </c>
    </row>
    <row r="119" spans="2:71" s="16" customFormat="1" ht="35.25" customHeight="1" x14ac:dyDescent="0.25">
      <c r="B119" s="198" t="s">
        <v>358</v>
      </c>
      <c r="C119" s="154" t="s">
        <v>14</v>
      </c>
      <c r="D119" s="172">
        <v>6073012900</v>
      </c>
      <c r="E119" s="172">
        <v>3374</v>
      </c>
      <c r="F119" s="172">
        <v>21</v>
      </c>
      <c r="G119" s="172">
        <v>51</v>
      </c>
      <c r="H119" s="172">
        <v>19.670000000000002</v>
      </c>
      <c r="I119" s="281">
        <v>3</v>
      </c>
      <c r="J119" s="281">
        <v>3</v>
      </c>
      <c r="K119" s="281">
        <v>1.5</v>
      </c>
      <c r="L119" s="281">
        <v>3</v>
      </c>
      <c r="M119" s="281">
        <v>3</v>
      </c>
      <c r="N119" s="281">
        <v>2</v>
      </c>
      <c r="O119" s="281">
        <v>2</v>
      </c>
      <c r="P119" s="281">
        <v>3</v>
      </c>
      <c r="Q119" s="281">
        <v>2</v>
      </c>
      <c r="R119" s="184">
        <v>0</v>
      </c>
      <c r="S119" s="262" t="s">
        <v>373</v>
      </c>
      <c r="T119" s="262" t="s">
        <v>373</v>
      </c>
      <c r="U119" s="262" t="s">
        <v>373</v>
      </c>
      <c r="V119" s="262" t="s">
        <v>373</v>
      </c>
      <c r="W119" s="262" t="s">
        <v>373</v>
      </c>
      <c r="X119" s="184" t="s">
        <v>312</v>
      </c>
      <c r="Y119" s="262" t="s">
        <v>373</v>
      </c>
      <c r="Z119" s="184" t="s">
        <v>312</v>
      </c>
      <c r="AA119" s="262" t="s">
        <v>373</v>
      </c>
      <c r="AB119" s="262" t="s">
        <v>373</v>
      </c>
      <c r="AC119" s="262" t="s">
        <v>373</v>
      </c>
      <c r="AD119" s="262" t="s">
        <v>373</v>
      </c>
      <c r="AE119" s="262" t="s">
        <v>373</v>
      </c>
      <c r="AF119" s="184" t="s">
        <v>312</v>
      </c>
      <c r="AG119" s="262" t="s">
        <v>373</v>
      </c>
      <c r="AH119" s="262" t="s">
        <v>373</v>
      </c>
      <c r="AI119" s="262" t="s">
        <v>373</v>
      </c>
      <c r="AJ119" s="262" t="s">
        <v>373</v>
      </c>
      <c r="AK119" s="184" t="s">
        <v>312</v>
      </c>
      <c r="AL119" s="262" t="s">
        <v>373</v>
      </c>
      <c r="AM119" s="184" t="s">
        <v>312</v>
      </c>
      <c r="AN119" s="262" t="s">
        <v>373</v>
      </c>
      <c r="AO119" s="184" t="s">
        <v>312</v>
      </c>
      <c r="AP119" s="262" t="s">
        <v>373</v>
      </c>
      <c r="AQ119" s="262" t="s">
        <v>373</v>
      </c>
      <c r="AR119" s="262" t="s">
        <v>373</v>
      </c>
      <c r="AS119" s="184" t="s">
        <v>312</v>
      </c>
      <c r="AT119" s="262" t="s">
        <v>373</v>
      </c>
      <c r="AU119" s="262" t="s">
        <v>373</v>
      </c>
      <c r="AV119" s="262" t="s">
        <v>373</v>
      </c>
      <c r="AW119" s="262" t="s">
        <v>373</v>
      </c>
      <c r="AX119" s="184" t="s">
        <v>312</v>
      </c>
      <c r="AY119" s="262" t="s">
        <v>373</v>
      </c>
      <c r="AZ119" s="262" t="s">
        <v>373</v>
      </c>
      <c r="BA119" s="262" t="s">
        <v>373</v>
      </c>
      <c r="BB119" s="262" t="s">
        <v>373</v>
      </c>
      <c r="BC119" s="184" t="s">
        <v>312</v>
      </c>
      <c r="BD119" s="262" t="s">
        <v>373</v>
      </c>
      <c r="BE119" s="262" t="s">
        <v>373</v>
      </c>
      <c r="BF119" s="262" t="s">
        <v>373</v>
      </c>
      <c r="BG119" s="262" t="s">
        <v>373</v>
      </c>
      <c r="BH119" s="262" t="s">
        <v>373</v>
      </c>
      <c r="BI119" s="262" t="s">
        <v>373</v>
      </c>
      <c r="BJ119" s="262" t="s">
        <v>373</v>
      </c>
      <c r="BK119" s="184" t="s">
        <v>312</v>
      </c>
      <c r="BL119" s="262" t="s">
        <v>373</v>
      </c>
      <c r="BM119" s="262" t="s">
        <v>373</v>
      </c>
      <c r="BN119" s="262" t="s">
        <v>373</v>
      </c>
      <c r="BO119" s="262" t="s">
        <v>373</v>
      </c>
      <c r="BP119" s="184" t="s">
        <v>312</v>
      </c>
      <c r="BQ119" s="262" t="s">
        <v>373</v>
      </c>
      <c r="BR119" s="262" t="s">
        <v>373</v>
      </c>
      <c r="BS119" s="262" t="s">
        <v>373</v>
      </c>
    </row>
    <row r="120" spans="2:71" s="16" customFormat="1" ht="35.25" customHeight="1" x14ac:dyDescent="0.25">
      <c r="B120" s="198" t="s">
        <v>372</v>
      </c>
      <c r="C120" s="154" t="s">
        <v>17</v>
      </c>
      <c r="D120" s="172">
        <v>6073010109</v>
      </c>
      <c r="E120" s="172">
        <v>4595</v>
      </c>
      <c r="F120" s="172">
        <v>78</v>
      </c>
      <c r="G120" s="172">
        <v>51</v>
      </c>
      <c r="H120" s="172">
        <v>33.53</v>
      </c>
      <c r="I120" s="281">
        <v>2</v>
      </c>
      <c r="J120" s="281">
        <v>1</v>
      </c>
      <c r="K120" s="281">
        <v>1.5</v>
      </c>
      <c r="L120" s="281">
        <v>3</v>
      </c>
      <c r="M120" s="281">
        <v>3</v>
      </c>
      <c r="N120" s="281">
        <v>2</v>
      </c>
      <c r="O120" s="281">
        <v>2</v>
      </c>
      <c r="P120" s="281">
        <v>1</v>
      </c>
      <c r="Q120" s="281">
        <v>2</v>
      </c>
      <c r="R120" s="184">
        <v>0</v>
      </c>
      <c r="S120" s="262" t="s">
        <v>373</v>
      </c>
      <c r="T120" s="262" t="s">
        <v>373</v>
      </c>
      <c r="U120" s="262" t="s">
        <v>373</v>
      </c>
      <c r="V120" s="262" t="s">
        <v>373</v>
      </c>
      <c r="W120" s="262" t="s">
        <v>373</v>
      </c>
      <c r="X120" s="184" t="s">
        <v>312</v>
      </c>
      <c r="Y120" s="262" t="s">
        <v>373</v>
      </c>
      <c r="Z120" s="184" t="s">
        <v>312</v>
      </c>
      <c r="AA120" s="262" t="s">
        <v>373</v>
      </c>
      <c r="AB120" s="262" t="s">
        <v>373</v>
      </c>
      <c r="AC120" s="262" t="s">
        <v>373</v>
      </c>
      <c r="AD120" s="262" t="s">
        <v>373</v>
      </c>
      <c r="AE120" s="262" t="s">
        <v>373</v>
      </c>
      <c r="AF120" s="184" t="s">
        <v>312</v>
      </c>
      <c r="AG120" s="262" t="s">
        <v>373</v>
      </c>
      <c r="AH120" s="262" t="s">
        <v>373</v>
      </c>
      <c r="AI120" s="262" t="s">
        <v>373</v>
      </c>
      <c r="AJ120" s="262" t="s">
        <v>373</v>
      </c>
      <c r="AK120" s="184" t="s">
        <v>312</v>
      </c>
      <c r="AL120" s="262" t="s">
        <v>373</v>
      </c>
      <c r="AM120" s="184" t="s">
        <v>312</v>
      </c>
      <c r="AN120" s="262" t="s">
        <v>373</v>
      </c>
      <c r="AO120" s="184" t="s">
        <v>312</v>
      </c>
      <c r="AP120" s="262" t="s">
        <v>373</v>
      </c>
      <c r="AQ120" s="262" t="s">
        <v>373</v>
      </c>
      <c r="AR120" s="262" t="s">
        <v>373</v>
      </c>
      <c r="AS120" s="184" t="s">
        <v>312</v>
      </c>
      <c r="AT120" s="262" t="s">
        <v>373</v>
      </c>
      <c r="AU120" s="262" t="s">
        <v>373</v>
      </c>
      <c r="AV120" s="262" t="s">
        <v>373</v>
      </c>
      <c r="AW120" s="262" t="s">
        <v>373</v>
      </c>
      <c r="AX120" s="184" t="s">
        <v>312</v>
      </c>
      <c r="AY120" s="262" t="s">
        <v>373</v>
      </c>
      <c r="AZ120" s="262" t="s">
        <v>373</v>
      </c>
      <c r="BA120" s="262" t="s">
        <v>373</v>
      </c>
      <c r="BB120" s="262" t="s">
        <v>373</v>
      </c>
      <c r="BC120" s="184" t="s">
        <v>312</v>
      </c>
      <c r="BD120" s="262" t="s">
        <v>373</v>
      </c>
      <c r="BE120" s="262" t="s">
        <v>373</v>
      </c>
      <c r="BF120" s="262" t="s">
        <v>373</v>
      </c>
      <c r="BG120" s="262" t="s">
        <v>373</v>
      </c>
      <c r="BH120" s="262" t="s">
        <v>373</v>
      </c>
      <c r="BI120" s="262" t="s">
        <v>373</v>
      </c>
      <c r="BJ120" s="262" t="s">
        <v>373</v>
      </c>
      <c r="BK120" s="184" t="s">
        <v>312</v>
      </c>
      <c r="BL120" s="262" t="s">
        <v>373</v>
      </c>
      <c r="BM120" s="262" t="s">
        <v>373</v>
      </c>
      <c r="BN120" s="262" t="s">
        <v>373</v>
      </c>
      <c r="BO120" s="262" t="s">
        <v>373</v>
      </c>
      <c r="BP120" s="184" t="s">
        <v>312</v>
      </c>
      <c r="BQ120" s="262" t="s">
        <v>373</v>
      </c>
      <c r="BR120" s="262" t="s">
        <v>373</v>
      </c>
      <c r="BS120" s="262" t="s">
        <v>373</v>
      </c>
    </row>
    <row r="121" spans="2:71" s="16" customFormat="1" ht="35.25" customHeight="1" x14ac:dyDescent="0.25">
      <c r="B121" s="198" t="s">
        <v>64</v>
      </c>
      <c r="C121" s="154" t="s">
        <v>16</v>
      </c>
      <c r="D121" s="172">
        <v>6073008305</v>
      </c>
      <c r="E121" s="172">
        <v>10482</v>
      </c>
      <c r="F121" s="172">
        <v>35</v>
      </c>
      <c r="G121" s="172">
        <v>16</v>
      </c>
      <c r="H121" s="172">
        <v>12.17</v>
      </c>
      <c r="I121" s="281">
        <v>3</v>
      </c>
      <c r="J121" s="281">
        <v>3</v>
      </c>
      <c r="K121" s="281">
        <v>2.5</v>
      </c>
      <c r="L121" s="281">
        <v>3</v>
      </c>
      <c r="M121" s="281">
        <v>2</v>
      </c>
      <c r="N121" s="281">
        <v>2</v>
      </c>
      <c r="O121" s="281">
        <v>2</v>
      </c>
      <c r="P121" s="281">
        <v>3</v>
      </c>
      <c r="Q121" s="281">
        <v>2</v>
      </c>
      <c r="R121" s="186">
        <v>0</v>
      </c>
      <c r="S121" s="262">
        <v>5</v>
      </c>
      <c r="T121" s="262">
        <v>4</v>
      </c>
      <c r="U121" s="262" t="s">
        <v>311</v>
      </c>
      <c r="V121" s="262">
        <v>3</v>
      </c>
      <c r="W121" s="262">
        <v>3</v>
      </c>
      <c r="X121" s="184" t="s">
        <v>312</v>
      </c>
      <c r="Y121" s="262">
        <v>5</v>
      </c>
      <c r="Z121" s="184" t="s">
        <v>312</v>
      </c>
      <c r="AA121" s="262">
        <v>1</v>
      </c>
      <c r="AB121" s="262" t="s">
        <v>643</v>
      </c>
      <c r="AC121" s="262">
        <v>5</v>
      </c>
      <c r="AD121" s="262" t="s">
        <v>644</v>
      </c>
      <c r="AE121" s="262">
        <v>3</v>
      </c>
      <c r="AF121" s="184" t="s">
        <v>312</v>
      </c>
      <c r="AG121" s="262">
        <v>3</v>
      </c>
      <c r="AH121" s="262">
        <v>5</v>
      </c>
      <c r="AI121" s="262">
        <v>0</v>
      </c>
      <c r="AJ121" s="262">
        <v>5</v>
      </c>
      <c r="AK121" s="184" t="s">
        <v>312</v>
      </c>
      <c r="AL121" s="262">
        <v>4</v>
      </c>
      <c r="AM121" s="184" t="s">
        <v>312</v>
      </c>
      <c r="AN121" s="262">
        <v>4</v>
      </c>
      <c r="AO121" s="184" t="s">
        <v>312</v>
      </c>
      <c r="AP121" s="262">
        <v>5</v>
      </c>
      <c r="AQ121" s="262">
        <v>5</v>
      </c>
      <c r="AR121" s="262">
        <v>4</v>
      </c>
      <c r="AS121" s="184" t="s">
        <v>312</v>
      </c>
      <c r="AT121" s="262">
        <v>5</v>
      </c>
      <c r="AU121" s="262">
        <v>4</v>
      </c>
      <c r="AV121" s="262">
        <v>5</v>
      </c>
      <c r="AW121" s="262">
        <v>5</v>
      </c>
      <c r="AX121" s="184" t="s">
        <v>312</v>
      </c>
      <c r="AY121" s="262">
        <v>5</v>
      </c>
      <c r="AZ121" s="262">
        <v>5</v>
      </c>
      <c r="BA121" s="262" t="s">
        <v>311</v>
      </c>
      <c r="BB121" s="262">
        <v>3</v>
      </c>
      <c r="BC121" s="184" t="s">
        <v>312</v>
      </c>
      <c r="BD121" s="262">
        <v>3</v>
      </c>
      <c r="BE121" s="262">
        <v>5</v>
      </c>
      <c r="BF121" s="262" t="s">
        <v>601</v>
      </c>
      <c r="BG121" s="262" t="s">
        <v>311</v>
      </c>
      <c r="BH121" s="262" t="s">
        <v>311</v>
      </c>
      <c r="BI121" s="262" t="s">
        <v>311</v>
      </c>
      <c r="BJ121" s="262">
        <v>5</v>
      </c>
      <c r="BK121" s="184" t="s">
        <v>312</v>
      </c>
      <c r="BL121" s="262">
        <v>5</v>
      </c>
      <c r="BM121" s="262">
        <v>3</v>
      </c>
      <c r="BN121" s="262">
        <v>4</v>
      </c>
      <c r="BO121" s="262">
        <v>5</v>
      </c>
      <c r="BP121" s="184" t="s">
        <v>312</v>
      </c>
      <c r="BQ121" s="262">
        <v>4</v>
      </c>
      <c r="BR121" s="262" t="s">
        <v>645</v>
      </c>
      <c r="BS121" s="262" t="s">
        <v>646</v>
      </c>
    </row>
    <row r="122" spans="2:71" s="16" customFormat="1" ht="35.25" customHeight="1" x14ac:dyDescent="0.25">
      <c r="B122" s="198" t="s">
        <v>54</v>
      </c>
      <c r="C122" s="154" t="s">
        <v>12</v>
      </c>
      <c r="D122" s="172">
        <v>60730174107</v>
      </c>
      <c r="E122" s="172">
        <v>2871</v>
      </c>
      <c r="F122" s="172">
        <v>7</v>
      </c>
      <c r="G122" s="172">
        <v>2</v>
      </c>
      <c r="H122" s="172">
        <v>3.68</v>
      </c>
      <c r="I122" s="281">
        <v>2</v>
      </c>
      <c r="J122" s="281">
        <v>3</v>
      </c>
      <c r="K122" s="281">
        <v>2.5</v>
      </c>
      <c r="L122" s="281">
        <v>3</v>
      </c>
      <c r="M122" s="281">
        <v>3</v>
      </c>
      <c r="N122" s="281">
        <v>2</v>
      </c>
      <c r="O122" s="281">
        <v>2</v>
      </c>
      <c r="P122" s="281">
        <v>3</v>
      </c>
      <c r="Q122" s="281">
        <v>3</v>
      </c>
      <c r="R122" s="184">
        <v>0</v>
      </c>
      <c r="S122" s="262">
        <v>5</v>
      </c>
      <c r="T122" s="262">
        <v>5</v>
      </c>
      <c r="U122" s="262">
        <v>5</v>
      </c>
      <c r="V122" s="262">
        <v>3</v>
      </c>
      <c r="W122" s="262">
        <v>5</v>
      </c>
      <c r="X122" s="184" t="s">
        <v>312</v>
      </c>
      <c r="Y122" s="262">
        <v>5</v>
      </c>
      <c r="Z122" s="184" t="s">
        <v>312</v>
      </c>
      <c r="AA122" s="262">
        <v>1</v>
      </c>
      <c r="AB122" s="262" t="s">
        <v>591</v>
      </c>
      <c r="AC122" s="262">
        <v>3</v>
      </c>
      <c r="AD122" s="262" t="s">
        <v>590</v>
      </c>
      <c r="AE122" s="262">
        <v>3</v>
      </c>
      <c r="AF122" s="184" t="s">
        <v>312</v>
      </c>
      <c r="AG122" s="262">
        <v>3</v>
      </c>
      <c r="AH122" s="262">
        <v>5</v>
      </c>
      <c r="AI122" s="262">
        <v>0</v>
      </c>
      <c r="AJ122" s="262">
        <v>5</v>
      </c>
      <c r="AK122" s="184" t="s">
        <v>312</v>
      </c>
      <c r="AL122" s="262">
        <v>5</v>
      </c>
      <c r="AM122" s="184" t="s">
        <v>312</v>
      </c>
      <c r="AN122" s="262">
        <v>2</v>
      </c>
      <c r="AO122" s="184" t="s">
        <v>312</v>
      </c>
      <c r="AP122" s="262">
        <v>5</v>
      </c>
      <c r="AQ122" s="262">
        <v>5</v>
      </c>
      <c r="AR122" s="262">
        <v>5</v>
      </c>
      <c r="AS122" s="184" t="s">
        <v>312</v>
      </c>
      <c r="AT122" s="262">
        <v>3</v>
      </c>
      <c r="AU122" s="262" t="s">
        <v>311</v>
      </c>
      <c r="AV122" s="262">
        <v>1</v>
      </c>
      <c r="AW122" s="262">
        <v>3</v>
      </c>
      <c r="AX122" s="184" t="s">
        <v>312</v>
      </c>
      <c r="AY122" s="262">
        <v>5</v>
      </c>
      <c r="AZ122" s="262">
        <v>5</v>
      </c>
      <c r="BA122" s="262">
        <v>3</v>
      </c>
      <c r="BB122" s="262">
        <v>5</v>
      </c>
      <c r="BC122" s="184" t="s">
        <v>312</v>
      </c>
      <c r="BD122" s="262">
        <v>3</v>
      </c>
      <c r="BE122" s="262">
        <v>3</v>
      </c>
      <c r="BF122" s="262" t="s">
        <v>542</v>
      </c>
      <c r="BG122" s="262" t="s">
        <v>27</v>
      </c>
      <c r="BH122" s="262" t="s">
        <v>311</v>
      </c>
      <c r="BI122" s="262" t="s">
        <v>591</v>
      </c>
      <c r="BJ122" s="262">
        <v>3</v>
      </c>
      <c r="BK122" s="184" t="s">
        <v>312</v>
      </c>
      <c r="BL122" s="262">
        <v>3</v>
      </c>
      <c r="BM122" s="262">
        <v>3</v>
      </c>
      <c r="BN122" s="262">
        <v>5</v>
      </c>
      <c r="BO122" s="262">
        <v>5</v>
      </c>
      <c r="BP122" s="184" t="s">
        <v>312</v>
      </c>
      <c r="BQ122" s="262">
        <v>4</v>
      </c>
      <c r="BR122" s="262">
        <v>0</v>
      </c>
      <c r="BS122" s="262" t="s">
        <v>561</v>
      </c>
    </row>
    <row r="123" spans="2:71" s="16" customFormat="1" ht="35.25" customHeight="1" x14ac:dyDescent="0.25">
      <c r="B123" s="198" t="s">
        <v>335</v>
      </c>
      <c r="C123" s="154" t="s">
        <v>12</v>
      </c>
      <c r="D123" s="172">
        <v>6073018803</v>
      </c>
      <c r="E123" s="172">
        <v>4564</v>
      </c>
      <c r="F123" s="172">
        <v>32</v>
      </c>
      <c r="G123" s="172">
        <v>25</v>
      </c>
      <c r="H123" s="172">
        <v>15.05</v>
      </c>
      <c r="I123" s="281">
        <v>1.5</v>
      </c>
      <c r="J123" s="281">
        <v>3</v>
      </c>
      <c r="K123" s="281">
        <v>1.5</v>
      </c>
      <c r="L123" s="281">
        <v>3</v>
      </c>
      <c r="M123" s="281">
        <v>3</v>
      </c>
      <c r="N123" s="281">
        <v>2</v>
      </c>
      <c r="O123" s="281">
        <v>2</v>
      </c>
      <c r="P123" s="281">
        <v>3</v>
      </c>
      <c r="Q123" s="281">
        <v>3</v>
      </c>
      <c r="R123" s="184">
        <v>0</v>
      </c>
      <c r="S123" s="262" t="s">
        <v>373</v>
      </c>
      <c r="T123" s="262" t="s">
        <v>373</v>
      </c>
      <c r="U123" s="262" t="s">
        <v>373</v>
      </c>
      <c r="V123" s="262" t="s">
        <v>373</v>
      </c>
      <c r="W123" s="262" t="s">
        <v>373</v>
      </c>
      <c r="X123" s="184" t="s">
        <v>312</v>
      </c>
      <c r="Y123" s="262" t="s">
        <v>373</v>
      </c>
      <c r="Z123" s="184" t="s">
        <v>312</v>
      </c>
      <c r="AA123" s="262" t="s">
        <v>373</v>
      </c>
      <c r="AB123" s="262" t="s">
        <v>373</v>
      </c>
      <c r="AC123" s="262" t="s">
        <v>373</v>
      </c>
      <c r="AD123" s="262" t="s">
        <v>373</v>
      </c>
      <c r="AE123" s="262" t="s">
        <v>373</v>
      </c>
      <c r="AF123" s="184" t="s">
        <v>312</v>
      </c>
      <c r="AG123" s="262" t="s">
        <v>373</v>
      </c>
      <c r="AH123" s="262" t="s">
        <v>373</v>
      </c>
      <c r="AI123" s="262" t="s">
        <v>373</v>
      </c>
      <c r="AJ123" s="262" t="s">
        <v>373</v>
      </c>
      <c r="AK123" s="184" t="s">
        <v>312</v>
      </c>
      <c r="AL123" s="262" t="s">
        <v>373</v>
      </c>
      <c r="AM123" s="184" t="s">
        <v>312</v>
      </c>
      <c r="AN123" s="262" t="s">
        <v>373</v>
      </c>
      <c r="AO123" s="184" t="s">
        <v>312</v>
      </c>
      <c r="AP123" s="262" t="s">
        <v>373</v>
      </c>
      <c r="AQ123" s="262" t="s">
        <v>373</v>
      </c>
      <c r="AR123" s="262" t="s">
        <v>373</v>
      </c>
      <c r="AS123" s="184" t="s">
        <v>312</v>
      </c>
      <c r="AT123" s="262" t="s">
        <v>373</v>
      </c>
      <c r="AU123" s="262" t="s">
        <v>373</v>
      </c>
      <c r="AV123" s="262" t="s">
        <v>373</v>
      </c>
      <c r="AW123" s="262" t="s">
        <v>373</v>
      </c>
      <c r="AX123" s="184" t="s">
        <v>312</v>
      </c>
      <c r="AY123" s="262" t="s">
        <v>373</v>
      </c>
      <c r="AZ123" s="262" t="s">
        <v>373</v>
      </c>
      <c r="BA123" s="262" t="s">
        <v>373</v>
      </c>
      <c r="BB123" s="262" t="s">
        <v>373</v>
      </c>
      <c r="BC123" s="184" t="s">
        <v>312</v>
      </c>
      <c r="BD123" s="262" t="s">
        <v>373</v>
      </c>
      <c r="BE123" s="262" t="s">
        <v>373</v>
      </c>
      <c r="BF123" s="262" t="s">
        <v>373</v>
      </c>
      <c r="BG123" s="262" t="s">
        <v>373</v>
      </c>
      <c r="BH123" s="262" t="s">
        <v>373</v>
      </c>
      <c r="BI123" s="262" t="s">
        <v>373</v>
      </c>
      <c r="BJ123" s="262" t="s">
        <v>373</v>
      </c>
      <c r="BK123" s="184" t="s">
        <v>312</v>
      </c>
      <c r="BL123" s="262" t="s">
        <v>373</v>
      </c>
      <c r="BM123" s="262" t="s">
        <v>373</v>
      </c>
      <c r="BN123" s="262" t="s">
        <v>373</v>
      </c>
      <c r="BO123" s="262" t="s">
        <v>373</v>
      </c>
      <c r="BP123" s="184" t="s">
        <v>312</v>
      </c>
      <c r="BQ123" s="262" t="s">
        <v>373</v>
      </c>
      <c r="BR123" s="262" t="s">
        <v>373</v>
      </c>
      <c r="BS123" s="262" t="s">
        <v>373</v>
      </c>
    </row>
    <row r="124" spans="2:71" s="16" customFormat="1" ht="35.25" customHeight="1" x14ac:dyDescent="0.25">
      <c r="B124" s="198" t="s">
        <v>305</v>
      </c>
      <c r="C124" s="154" t="s">
        <v>12</v>
      </c>
      <c r="D124" s="172">
        <v>6073019105</v>
      </c>
      <c r="E124" s="172">
        <v>5722</v>
      </c>
      <c r="F124" s="172">
        <v>17</v>
      </c>
      <c r="G124" s="172">
        <v>15</v>
      </c>
      <c r="H124" s="172">
        <v>9.59</v>
      </c>
      <c r="I124" s="281">
        <v>1</v>
      </c>
      <c r="J124" s="281">
        <v>3</v>
      </c>
      <c r="K124" s="281">
        <v>1.5</v>
      </c>
      <c r="L124" s="281">
        <v>3</v>
      </c>
      <c r="M124" s="281">
        <v>3</v>
      </c>
      <c r="N124" s="281">
        <v>2</v>
      </c>
      <c r="O124" s="281">
        <v>2</v>
      </c>
      <c r="P124" s="281">
        <v>3</v>
      </c>
      <c r="Q124" s="281">
        <v>3</v>
      </c>
      <c r="R124" s="184">
        <v>0</v>
      </c>
      <c r="S124" s="262" t="s">
        <v>373</v>
      </c>
      <c r="T124" s="262" t="s">
        <v>373</v>
      </c>
      <c r="U124" s="262" t="s">
        <v>373</v>
      </c>
      <c r="V124" s="262" t="s">
        <v>373</v>
      </c>
      <c r="W124" s="262" t="s">
        <v>373</v>
      </c>
      <c r="X124" s="184" t="s">
        <v>312</v>
      </c>
      <c r="Y124" s="262" t="s">
        <v>373</v>
      </c>
      <c r="Z124" s="184" t="s">
        <v>312</v>
      </c>
      <c r="AA124" s="262" t="s">
        <v>373</v>
      </c>
      <c r="AB124" s="262" t="s">
        <v>373</v>
      </c>
      <c r="AC124" s="262" t="s">
        <v>373</v>
      </c>
      <c r="AD124" s="262" t="s">
        <v>373</v>
      </c>
      <c r="AE124" s="262" t="s">
        <v>373</v>
      </c>
      <c r="AF124" s="184" t="s">
        <v>312</v>
      </c>
      <c r="AG124" s="262" t="s">
        <v>373</v>
      </c>
      <c r="AH124" s="262" t="s">
        <v>373</v>
      </c>
      <c r="AI124" s="262" t="s">
        <v>373</v>
      </c>
      <c r="AJ124" s="262" t="s">
        <v>373</v>
      </c>
      <c r="AK124" s="184" t="s">
        <v>312</v>
      </c>
      <c r="AL124" s="262" t="s">
        <v>373</v>
      </c>
      <c r="AM124" s="184" t="s">
        <v>312</v>
      </c>
      <c r="AN124" s="262" t="s">
        <v>373</v>
      </c>
      <c r="AO124" s="184" t="s">
        <v>312</v>
      </c>
      <c r="AP124" s="262" t="s">
        <v>373</v>
      </c>
      <c r="AQ124" s="262" t="s">
        <v>373</v>
      </c>
      <c r="AR124" s="262" t="s">
        <v>373</v>
      </c>
      <c r="AS124" s="184" t="s">
        <v>312</v>
      </c>
      <c r="AT124" s="262" t="s">
        <v>373</v>
      </c>
      <c r="AU124" s="262" t="s">
        <v>373</v>
      </c>
      <c r="AV124" s="262" t="s">
        <v>373</v>
      </c>
      <c r="AW124" s="262" t="s">
        <v>373</v>
      </c>
      <c r="AX124" s="184" t="s">
        <v>312</v>
      </c>
      <c r="AY124" s="262" t="s">
        <v>373</v>
      </c>
      <c r="AZ124" s="262" t="s">
        <v>373</v>
      </c>
      <c r="BA124" s="262" t="s">
        <v>373</v>
      </c>
      <c r="BB124" s="262" t="s">
        <v>373</v>
      </c>
      <c r="BC124" s="184" t="s">
        <v>312</v>
      </c>
      <c r="BD124" s="262" t="s">
        <v>373</v>
      </c>
      <c r="BE124" s="262" t="s">
        <v>373</v>
      </c>
      <c r="BF124" s="262" t="s">
        <v>373</v>
      </c>
      <c r="BG124" s="262" t="s">
        <v>373</v>
      </c>
      <c r="BH124" s="262" t="s">
        <v>373</v>
      </c>
      <c r="BI124" s="262" t="s">
        <v>373</v>
      </c>
      <c r="BJ124" s="262" t="s">
        <v>373</v>
      </c>
      <c r="BK124" s="184" t="s">
        <v>312</v>
      </c>
      <c r="BL124" s="262" t="s">
        <v>373</v>
      </c>
      <c r="BM124" s="262" t="s">
        <v>373</v>
      </c>
      <c r="BN124" s="262" t="s">
        <v>373</v>
      </c>
      <c r="BO124" s="262" t="s">
        <v>373</v>
      </c>
      <c r="BP124" s="184" t="s">
        <v>312</v>
      </c>
      <c r="BQ124" s="262" t="s">
        <v>373</v>
      </c>
      <c r="BR124" s="262" t="s">
        <v>373</v>
      </c>
      <c r="BS124" s="262" t="s">
        <v>373</v>
      </c>
    </row>
    <row r="125" spans="2:71" s="16" customFormat="1" ht="35.25" customHeight="1" x14ac:dyDescent="0.25">
      <c r="B125" s="198" t="s">
        <v>306</v>
      </c>
      <c r="C125" s="154" t="s">
        <v>12</v>
      </c>
      <c r="D125" s="172">
        <v>6073019106</v>
      </c>
      <c r="E125" s="172">
        <v>9131</v>
      </c>
      <c r="F125" s="172">
        <v>25</v>
      </c>
      <c r="G125" s="172">
        <v>28</v>
      </c>
      <c r="H125" s="172">
        <v>14.66</v>
      </c>
      <c r="I125" s="281">
        <v>1</v>
      </c>
      <c r="J125" s="281">
        <v>3</v>
      </c>
      <c r="K125" s="281">
        <v>2.5</v>
      </c>
      <c r="L125" s="281">
        <v>3</v>
      </c>
      <c r="M125" s="281">
        <v>3</v>
      </c>
      <c r="N125" s="281">
        <v>2</v>
      </c>
      <c r="O125" s="281">
        <v>1</v>
      </c>
      <c r="P125" s="281">
        <v>3</v>
      </c>
      <c r="Q125" s="281">
        <v>3</v>
      </c>
      <c r="R125" s="184">
        <v>0</v>
      </c>
      <c r="S125" s="262" t="s">
        <v>373</v>
      </c>
      <c r="T125" s="262" t="s">
        <v>373</v>
      </c>
      <c r="U125" s="262" t="s">
        <v>373</v>
      </c>
      <c r="V125" s="262" t="s">
        <v>373</v>
      </c>
      <c r="W125" s="262" t="s">
        <v>373</v>
      </c>
      <c r="X125" s="184" t="s">
        <v>312</v>
      </c>
      <c r="Y125" s="262" t="s">
        <v>373</v>
      </c>
      <c r="Z125" s="184" t="s">
        <v>312</v>
      </c>
      <c r="AA125" s="262" t="s">
        <v>373</v>
      </c>
      <c r="AB125" s="262" t="s">
        <v>373</v>
      </c>
      <c r="AC125" s="262" t="s">
        <v>373</v>
      </c>
      <c r="AD125" s="262" t="s">
        <v>373</v>
      </c>
      <c r="AE125" s="262" t="s">
        <v>373</v>
      </c>
      <c r="AF125" s="184" t="s">
        <v>312</v>
      </c>
      <c r="AG125" s="262" t="s">
        <v>373</v>
      </c>
      <c r="AH125" s="262" t="s">
        <v>373</v>
      </c>
      <c r="AI125" s="262" t="s">
        <v>373</v>
      </c>
      <c r="AJ125" s="262" t="s">
        <v>373</v>
      </c>
      <c r="AK125" s="184" t="s">
        <v>312</v>
      </c>
      <c r="AL125" s="262" t="s">
        <v>373</v>
      </c>
      <c r="AM125" s="184" t="s">
        <v>312</v>
      </c>
      <c r="AN125" s="262" t="s">
        <v>373</v>
      </c>
      <c r="AO125" s="184" t="s">
        <v>312</v>
      </c>
      <c r="AP125" s="262" t="s">
        <v>373</v>
      </c>
      <c r="AQ125" s="262" t="s">
        <v>373</v>
      </c>
      <c r="AR125" s="262" t="s">
        <v>373</v>
      </c>
      <c r="AS125" s="184" t="s">
        <v>312</v>
      </c>
      <c r="AT125" s="262" t="s">
        <v>373</v>
      </c>
      <c r="AU125" s="262" t="s">
        <v>373</v>
      </c>
      <c r="AV125" s="262" t="s">
        <v>373</v>
      </c>
      <c r="AW125" s="262" t="s">
        <v>373</v>
      </c>
      <c r="AX125" s="184" t="s">
        <v>312</v>
      </c>
      <c r="AY125" s="262" t="s">
        <v>373</v>
      </c>
      <c r="AZ125" s="262" t="s">
        <v>373</v>
      </c>
      <c r="BA125" s="262" t="s">
        <v>373</v>
      </c>
      <c r="BB125" s="262" t="s">
        <v>373</v>
      </c>
      <c r="BC125" s="184" t="s">
        <v>312</v>
      </c>
      <c r="BD125" s="262" t="s">
        <v>373</v>
      </c>
      <c r="BE125" s="262" t="s">
        <v>373</v>
      </c>
      <c r="BF125" s="262" t="s">
        <v>373</v>
      </c>
      <c r="BG125" s="262" t="s">
        <v>373</v>
      </c>
      <c r="BH125" s="262" t="s">
        <v>373</v>
      </c>
      <c r="BI125" s="262" t="s">
        <v>373</v>
      </c>
      <c r="BJ125" s="262" t="s">
        <v>373</v>
      </c>
      <c r="BK125" s="184" t="s">
        <v>312</v>
      </c>
      <c r="BL125" s="262" t="s">
        <v>373</v>
      </c>
      <c r="BM125" s="262" t="s">
        <v>373</v>
      </c>
      <c r="BN125" s="262" t="s">
        <v>373</v>
      </c>
      <c r="BO125" s="262" t="s">
        <v>373</v>
      </c>
      <c r="BP125" s="184" t="s">
        <v>312</v>
      </c>
      <c r="BQ125" s="262" t="s">
        <v>373</v>
      </c>
      <c r="BR125" s="262" t="s">
        <v>373</v>
      </c>
      <c r="BS125" s="262" t="s">
        <v>373</v>
      </c>
    </row>
    <row r="126" spans="2:71" s="16" customFormat="1" ht="35.25" customHeight="1" thickBot="1" x14ac:dyDescent="0.3">
      <c r="B126" s="198" t="s">
        <v>359</v>
      </c>
      <c r="C126" s="154" t="s">
        <v>14</v>
      </c>
      <c r="D126" s="172">
        <v>6073016702</v>
      </c>
      <c r="E126" s="172">
        <v>6944</v>
      </c>
      <c r="F126" s="172">
        <v>31</v>
      </c>
      <c r="G126" s="172">
        <v>40</v>
      </c>
      <c r="H126" s="172">
        <v>19.29</v>
      </c>
      <c r="I126" s="281">
        <v>3</v>
      </c>
      <c r="J126" s="281">
        <v>1</v>
      </c>
      <c r="K126" s="281">
        <v>2.5</v>
      </c>
      <c r="L126" s="281">
        <v>3</v>
      </c>
      <c r="M126" s="281">
        <v>3</v>
      </c>
      <c r="N126" s="281">
        <v>2</v>
      </c>
      <c r="O126" s="281">
        <v>2</v>
      </c>
      <c r="P126" s="281">
        <v>3</v>
      </c>
      <c r="Q126" s="281">
        <v>1</v>
      </c>
      <c r="R126" s="184">
        <v>0</v>
      </c>
      <c r="S126" s="262">
        <v>2</v>
      </c>
      <c r="T126" s="262">
        <v>2</v>
      </c>
      <c r="U126" s="262" t="s">
        <v>311</v>
      </c>
      <c r="V126" s="262">
        <v>3</v>
      </c>
      <c r="W126" s="262">
        <v>3</v>
      </c>
      <c r="X126" s="184" t="s">
        <v>312</v>
      </c>
      <c r="Y126" s="262">
        <v>3</v>
      </c>
      <c r="Z126" s="184" t="s">
        <v>312</v>
      </c>
      <c r="AA126" s="262">
        <v>1</v>
      </c>
      <c r="AB126" s="262">
        <v>7772420</v>
      </c>
      <c r="AC126" s="262">
        <v>3</v>
      </c>
      <c r="AD126" s="262" t="s">
        <v>591</v>
      </c>
      <c r="AE126" s="262">
        <v>3</v>
      </c>
      <c r="AF126" s="184" t="s">
        <v>312</v>
      </c>
      <c r="AG126" s="262">
        <v>3</v>
      </c>
      <c r="AH126" s="262">
        <v>4</v>
      </c>
      <c r="AI126" s="262">
        <v>0</v>
      </c>
      <c r="AJ126" s="262">
        <v>3</v>
      </c>
      <c r="AK126" s="184" t="s">
        <v>312</v>
      </c>
      <c r="AL126" s="262">
        <v>3</v>
      </c>
      <c r="AM126" s="184" t="s">
        <v>312</v>
      </c>
      <c r="AN126" s="262">
        <v>2</v>
      </c>
      <c r="AO126" s="184" t="s">
        <v>312</v>
      </c>
      <c r="AP126" s="262">
        <v>4</v>
      </c>
      <c r="AQ126" s="262">
        <v>5</v>
      </c>
      <c r="AR126" s="262">
        <v>4</v>
      </c>
      <c r="AS126" s="184" t="s">
        <v>312</v>
      </c>
      <c r="AT126" s="262">
        <v>5</v>
      </c>
      <c r="AU126" s="262">
        <v>1</v>
      </c>
      <c r="AV126" s="262">
        <v>1</v>
      </c>
      <c r="AW126" s="262">
        <v>5</v>
      </c>
      <c r="AX126" s="184" t="s">
        <v>312</v>
      </c>
      <c r="AY126" s="262">
        <v>3</v>
      </c>
      <c r="AZ126" s="262" t="s">
        <v>311</v>
      </c>
      <c r="BA126" s="262" t="s">
        <v>311</v>
      </c>
      <c r="BB126" s="262">
        <v>3</v>
      </c>
      <c r="BC126" s="184" t="s">
        <v>312</v>
      </c>
      <c r="BD126" s="262">
        <v>3</v>
      </c>
      <c r="BE126" s="262">
        <v>3</v>
      </c>
      <c r="BF126" s="262" t="s">
        <v>542</v>
      </c>
      <c r="BG126" s="262" t="s">
        <v>27</v>
      </c>
      <c r="BH126" s="262" t="s">
        <v>538</v>
      </c>
      <c r="BI126" s="262" t="s">
        <v>636</v>
      </c>
      <c r="BJ126" s="262">
        <v>3</v>
      </c>
      <c r="BK126" s="184" t="s">
        <v>312</v>
      </c>
      <c r="BL126" s="262">
        <v>5</v>
      </c>
      <c r="BM126" s="262">
        <v>3</v>
      </c>
      <c r="BN126" s="262">
        <v>4</v>
      </c>
      <c r="BO126" s="262">
        <v>3</v>
      </c>
      <c r="BP126" s="184" t="s">
        <v>312</v>
      </c>
      <c r="BQ126" s="262">
        <v>3</v>
      </c>
      <c r="BR126" s="262" t="s">
        <v>311</v>
      </c>
      <c r="BS126" s="262" t="s">
        <v>311</v>
      </c>
    </row>
    <row r="127" spans="2:71" s="16" customFormat="1" x14ac:dyDescent="0.25">
      <c r="B127" s="533" t="s">
        <v>860</v>
      </c>
      <c r="C127" s="515"/>
      <c r="D127" s="575">
        <f>COUNTIFS(D7:D126, "=NOT MAPPED")</f>
        <v>9</v>
      </c>
      <c r="E127" s="576">
        <f t="shared" ref="E127:Q127" si="0">COUNTIFS(E7:E126, "=NOT MAPPED")</f>
        <v>9</v>
      </c>
      <c r="F127" s="577">
        <f t="shared" si="0"/>
        <v>9</v>
      </c>
      <c r="G127" s="577">
        <f t="shared" si="0"/>
        <v>9</v>
      </c>
      <c r="H127" s="577">
        <f t="shared" si="0"/>
        <v>9</v>
      </c>
      <c r="I127" s="577">
        <f t="shared" si="0"/>
        <v>9</v>
      </c>
      <c r="J127" s="577">
        <f t="shared" si="0"/>
        <v>9</v>
      </c>
      <c r="K127" s="577">
        <f t="shared" si="0"/>
        <v>9</v>
      </c>
      <c r="L127" s="577">
        <f t="shared" si="0"/>
        <v>9</v>
      </c>
      <c r="M127" s="577">
        <f t="shared" si="0"/>
        <v>9</v>
      </c>
      <c r="N127" s="577">
        <f t="shared" si="0"/>
        <v>9</v>
      </c>
      <c r="O127" s="577">
        <f t="shared" si="0"/>
        <v>9</v>
      </c>
      <c r="P127" s="577">
        <f t="shared" si="0"/>
        <v>9</v>
      </c>
      <c r="Q127" s="577">
        <f t="shared" si="0"/>
        <v>9</v>
      </c>
      <c r="R127" s="186"/>
      <c r="S127" s="486">
        <f t="shared" ref="S127:U127" si="1">COUNTIFS(S7:S126, "=MISSING")</f>
        <v>0</v>
      </c>
      <c r="T127" s="486">
        <f t="shared" si="1"/>
        <v>1</v>
      </c>
      <c r="U127" s="486">
        <f t="shared" si="1"/>
        <v>63</v>
      </c>
      <c r="V127" s="486">
        <f>COUNTIFS(V7:V126, "=MISSING")</f>
        <v>0</v>
      </c>
      <c r="W127" s="262">
        <f t="shared" ref="W127" si="2">COUNTIFS(W7:W126, "=MISSING")</f>
        <v>16</v>
      </c>
      <c r="X127" s="184">
        <f t="shared" ref="X127" si="3">COUNTIFS(X7:X126, "=MISSING")</f>
        <v>0</v>
      </c>
      <c r="Y127" s="262">
        <f t="shared" ref="Y127:Z127" si="4">COUNTIFS(Y7:Y126, "=MISSING")</f>
        <v>15</v>
      </c>
      <c r="Z127" s="184">
        <f t="shared" si="4"/>
        <v>0</v>
      </c>
      <c r="AA127" s="262">
        <f t="shared" ref="AA127" si="5">COUNTIFS(AA7:AA126, "=MISSING")</f>
        <v>1</v>
      </c>
      <c r="AB127" s="262">
        <f t="shared" ref="AB127" si="6">COUNTIFS(AB7:AB126, "=MISSING")</f>
        <v>2</v>
      </c>
      <c r="AC127" s="262">
        <f t="shared" ref="AC127:AD127" si="7">COUNTIFS(AC7:AC126, "=MISSING")</f>
        <v>3</v>
      </c>
      <c r="AD127" s="262">
        <f t="shared" si="7"/>
        <v>3</v>
      </c>
      <c r="AE127" s="262">
        <f t="shared" ref="AE127" si="8">COUNTIFS(AE7:AE126, "=MISSING")</f>
        <v>2</v>
      </c>
      <c r="AF127" s="184">
        <f t="shared" ref="AF127" si="9">COUNTIFS(AF7:AF126, "=MISSING")</f>
        <v>0</v>
      </c>
      <c r="AG127" s="262">
        <f t="shared" ref="AG127:AH127" si="10">COUNTIFS(AG7:AG126, "=MISSING")</f>
        <v>0</v>
      </c>
      <c r="AH127" s="262">
        <f t="shared" si="10"/>
        <v>2</v>
      </c>
      <c r="AI127" s="262">
        <f t="shared" ref="AI127" si="11">COUNTIFS(AI7:AI126, "=MISSING")</f>
        <v>3</v>
      </c>
      <c r="AJ127" s="262">
        <f t="shared" ref="AJ127" si="12">COUNTIFS(AJ7:AJ126, "=MISSING")</f>
        <v>0</v>
      </c>
      <c r="AK127" s="184">
        <f t="shared" ref="AK127:AL127" si="13">COUNTIFS(AK7:AK126, "=MISSING")</f>
        <v>0</v>
      </c>
      <c r="AL127" s="262">
        <f t="shared" si="13"/>
        <v>0</v>
      </c>
      <c r="AM127" s="184">
        <f t="shared" ref="AM127" si="14">COUNTIFS(AM7:AM126, "=MISSING")</f>
        <v>0</v>
      </c>
      <c r="AN127" s="262">
        <f t="shared" ref="AN127" si="15">COUNTIFS(AN7:AN126, "=MISSING")</f>
        <v>18</v>
      </c>
      <c r="AO127" s="184">
        <f t="shared" ref="AO127:AP127" si="16">COUNTIFS(AO7:AO126, "=MISSING")</f>
        <v>0</v>
      </c>
      <c r="AP127" s="262">
        <f t="shared" si="16"/>
        <v>0</v>
      </c>
      <c r="AQ127" s="262">
        <f t="shared" ref="AQ127" si="17">COUNTIFS(AQ7:AQ126, "=MISSING")</f>
        <v>0</v>
      </c>
      <c r="AR127" s="262">
        <f t="shared" ref="AR127" si="18">COUNTIFS(AR7:AR126, "=MISSING")</f>
        <v>1</v>
      </c>
      <c r="AS127" s="184">
        <f t="shared" ref="AS127:AT127" si="19">COUNTIFS(AS7:AS126, "=MISSING")</f>
        <v>0</v>
      </c>
      <c r="AT127" s="262">
        <f t="shared" si="19"/>
        <v>5</v>
      </c>
      <c r="AU127" s="262">
        <f t="shared" ref="AU127" si="20">COUNTIFS(AU7:AU126, "=MISSING")</f>
        <v>12</v>
      </c>
      <c r="AV127" s="262">
        <f t="shared" ref="AV127" si="21">COUNTIFS(AV7:AV126, "=MISSING")</f>
        <v>1</v>
      </c>
      <c r="AW127" s="262">
        <f t="shared" ref="AW127:AX127" si="22">COUNTIFS(AW7:AW126, "=MISSING")</f>
        <v>2</v>
      </c>
      <c r="AX127" s="184">
        <f t="shared" si="22"/>
        <v>0</v>
      </c>
      <c r="AY127" s="262">
        <f t="shared" ref="AY127" si="23">COUNTIFS(AY7:AY126, "=MISSING")</f>
        <v>0</v>
      </c>
      <c r="AZ127" s="262">
        <f t="shared" ref="AZ127" si="24">COUNTIFS(AZ7:AZ126, "=MISSING")</f>
        <v>36</v>
      </c>
      <c r="BA127" s="262">
        <f t="shared" ref="BA127:BB127" si="25">COUNTIFS(BA7:BA126, "=MISSING")</f>
        <v>38</v>
      </c>
      <c r="BB127" s="262">
        <f t="shared" si="25"/>
        <v>0</v>
      </c>
      <c r="BC127" s="184">
        <f t="shared" ref="BC127" si="26">COUNTIFS(BC7:BC126, "=MISSING")</f>
        <v>0</v>
      </c>
      <c r="BD127" s="262">
        <f t="shared" ref="BD127" si="27">COUNTIFS(BD7:BD126, "=MISSING")</f>
        <v>2</v>
      </c>
      <c r="BE127" s="262">
        <f t="shared" ref="BE127:BF127" si="28">COUNTIFS(BE7:BE126, "=MISSING")</f>
        <v>1</v>
      </c>
      <c r="BF127" s="262">
        <f t="shared" si="28"/>
        <v>5</v>
      </c>
      <c r="BG127" s="262">
        <f t="shared" ref="BG127" si="29">COUNTIFS(BG7:BG126, "=MISSING")</f>
        <v>8</v>
      </c>
      <c r="BH127" s="262">
        <f t="shared" ref="BH127" si="30">COUNTIFS(BH7:BH126, "=MISSING")</f>
        <v>25</v>
      </c>
      <c r="BI127" s="262">
        <f t="shared" ref="BI127:BJ127" si="31">COUNTIFS(BI7:BI126, "=MISSING")</f>
        <v>23</v>
      </c>
      <c r="BJ127" s="262">
        <f t="shared" si="31"/>
        <v>5</v>
      </c>
      <c r="BK127" s="184">
        <f t="shared" ref="BK127" si="32">COUNTIFS(BK7:BK126, "=MISSING")</f>
        <v>0</v>
      </c>
      <c r="BL127" s="262">
        <f t="shared" ref="BL127" si="33">COUNTIFS(BL7:BL126, "=MISSING")</f>
        <v>17</v>
      </c>
      <c r="BM127" s="262">
        <f t="shared" ref="BM127:BN127" si="34">COUNTIFS(BM7:BM126, "=MISSING")</f>
        <v>16</v>
      </c>
      <c r="BN127" s="262">
        <f t="shared" si="34"/>
        <v>2</v>
      </c>
      <c r="BO127" s="262">
        <f t="shared" ref="BO127" si="35">COUNTIFS(BO7:BO126, "=MISSING")</f>
        <v>2</v>
      </c>
      <c r="BP127" s="184">
        <f t="shared" ref="BP127" si="36">COUNTIFS(BP7:BP126, "=MISSING")</f>
        <v>0</v>
      </c>
      <c r="BQ127" s="262">
        <f t="shared" ref="BQ127:BR127" si="37">COUNTIFS(BQ7:BQ126, "=MISSING")</f>
        <v>6</v>
      </c>
      <c r="BR127" s="262">
        <f t="shared" si="37"/>
        <v>18</v>
      </c>
      <c r="BS127" s="262">
        <f t="shared" ref="BS127" si="38">COUNTIFS(BS7:BS126, "=MISSING")</f>
        <v>17</v>
      </c>
    </row>
    <row r="128" spans="2:71" s="16" customFormat="1" x14ac:dyDescent="0.25">
      <c r="B128" s="516" t="s">
        <v>856</v>
      </c>
      <c r="C128" s="516"/>
      <c r="D128" s="578">
        <f>COUNTIFS(D7:D126, "=No Response")</f>
        <v>0</v>
      </c>
      <c r="E128" s="579">
        <f t="shared" ref="E128:Q128" si="39">COUNTIFS(E7:E126, "=No Response")</f>
        <v>0</v>
      </c>
      <c r="F128" s="577">
        <f t="shared" si="39"/>
        <v>0</v>
      </c>
      <c r="G128" s="577">
        <f t="shared" si="39"/>
        <v>0</v>
      </c>
      <c r="H128" s="577">
        <f t="shared" si="39"/>
        <v>0</v>
      </c>
      <c r="I128" s="577">
        <f t="shared" si="39"/>
        <v>0</v>
      </c>
      <c r="J128" s="577">
        <f t="shared" si="39"/>
        <v>0</v>
      </c>
      <c r="K128" s="577">
        <f t="shared" si="39"/>
        <v>0</v>
      </c>
      <c r="L128" s="577">
        <f t="shared" si="39"/>
        <v>0</v>
      </c>
      <c r="M128" s="577">
        <f t="shared" si="39"/>
        <v>0</v>
      </c>
      <c r="N128" s="577">
        <f t="shared" si="39"/>
        <v>0</v>
      </c>
      <c r="O128" s="577">
        <f t="shared" si="39"/>
        <v>0</v>
      </c>
      <c r="P128" s="577">
        <f t="shared" si="39"/>
        <v>0</v>
      </c>
      <c r="Q128" s="577">
        <f t="shared" si="39"/>
        <v>0</v>
      </c>
      <c r="R128" s="184"/>
      <c r="S128" s="379">
        <f t="shared" ref="S128:U128" si="40">COUNTIFS(S7:S126, "=No Response")</f>
        <v>33</v>
      </c>
      <c r="T128" s="379">
        <f t="shared" si="40"/>
        <v>33</v>
      </c>
      <c r="U128" s="379">
        <f t="shared" si="40"/>
        <v>33</v>
      </c>
      <c r="V128" s="379">
        <f>COUNTIFS(V7:V126, "=No Response")</f>
        <v>33</v>
      </c>
      <c r="W128" s="262">
        <f t="shared" ref="W128:BS128" si="41">COUNTIFS(W7:W126, "=No Response")</f>
        <v>33</v>
      </c>
      <c r="X128" s="184">
        <f t="shared" si="41"/>
        <v>0</v>
      </c>
      <c r="Y128" s="262">
        <f t="shared" si="41"/>
        <v>33</v>
      </c>
      <c r="Z128" s="184">
        <f t="shared" si="41"/>
        <v>0</v>
      </c>
      <c r="AA128" s="262">
        <f t="shared" si="41"/>
        <v>33</v>
      </c>
      <c r="AB128" s="262">
        <f t="shared" si="41"/>
        <v>33</v>
      </c>
      <c r="AC128" s="262">
        <f t="shared" si="41"/>
        <v>33</v>
      </c>
      <c r="AD128" s="262">
        <f t="shared" si="41"/>
        <v>33</v>
      </c>
      <c r="AE128" s="262">
        <f t="shared" si="41"/>
        <v>33</v>
      </c>
      <c r="AF128" s="184">
        <f t="shared" si="41"/>
        <v>0</v>
      </c>
      <c r="AG128" s="262">
        <f t="shared" si="41"/>
        <v>33</v>
      </c>
      <c r="AH128" s="262">
        <f t="shared" si="41"/>
        <v>33</v>
      </c>
      <c r="AI128" s="262">
        <f t="shared" si="41"/>
        <v>33</v>
      </c>
      <c r="AJ128" s="262">
        <f t="shared" si="41"/>
        <v>33</v>
      </c>
      <c r="AK128" s="184">
        <f t="shared" si="41"/>
        <v>0</v>
      </c>
      <c r="AL128" s="262">
        <f t="shared" si="41"/>
        <v>33</v>
      </c>
      <c r="AM128" s="184">
        <f t="shared" si="41"/>
        <v>0</v>
      </c>
      <c r="AN128" s="262">
        <f t="shared" si="41"/>
        <v>33</v>
      </c>
      <c r="AO128" s="184">
        <f t="shared" si="41"/>
        <v>0</v>
      </c>
      <c r="AP128" s="262">
        <f t="shared" si="41"/>
        <v>33</v>
      </c>
      <c r="AQ128" s="262">
        <f t="shared" si="41"/>
        <v>33</v>
      </c>
      <c r="AR128" s="262">
        <f t="shared" si="41"/>
        <v>33</v>
      </c>
      <c r="AS128" s="184">
        <f t="shared" si="41"/>
        <v>0</v>
      </c>
      <c r="AT128" s="262">
        <f t="shared" si="41"/>
        <v>33</v>
      </c>
      <c r="AU128" s="262">
        <f t="shared" si="41"/>
        <v>33</v>
      </c>
      <c r="AV128" s="262">
        <f t="shared" si="41"/>
        <v>33</v>
      </c>
      <c r="AW128" s="262">
        <f t="shared" si="41"/>
        <v>33</v>
      </c>
      <c r="AX128" s="184">
        <f t="shared" si="41"/>
        <v>0</v>
      </c>
      <c r="AY128" s="262">
        <f t="shared" si="41"/>
        <v>33</v>
      </c>
      <c r="AZ128" s="262">
        <f t="shared" si="41"/>
        <v>33</v>
      </c>
      <c r="BA128" s="262">
        <f t="shared" si="41"/>
        <v>33</v>
      </c>
      <c r="BB128" s="262">
        <f t="shared" si="41"/>
        <v>33</v>
      </c>
      <c r="BC128" s="184">
        <f t="shared" si="41"/>
        <v>0</v>
      </c>
      <c r="BD128" s="262">
        <f t="shared" si="41"/>
        <v>33</v>
      </c>
      <c r="BE128" s="262">
        <f t="shared" si="41"/>
        <v>33</v>
      </c>
      <c r="BF128" s="262">
        <f t="shared" si="41"/>
        <v>33</v>
      </c>
      <c r="BG128" s="262">
        <f t="shared" si="41"/>
        <v>33</v>
      </c>
      <c r="BH128" s="262">
        <f t="shared" si="41"/>
        <v>33</v>
      </c>
      <c r="BI128" s="262">
        <f t="shared" si="41"/>
        <v>33</v>
      </c>
      <c r="BJ128" s="262">
        <f t="shared" si="41"/>
        <v>33</v>
      </c>
      <c r="BK128" s="184">
        <f t="shared" si="41"/>
        <v>0</v>
      </c>
      <c r="BL128" s="262">
        <f t="shared" si="41"/>
        <v>33</v>
      </c>
      <c r="BM128" s="262">
        <f t="shared" si="41"/>
        <v>33</v>
      </c>
      <c r="BN128" s="262">
        <f t="shared" si="41"/>
        <v>33</v>
      </c>
      <c r="BO128" s="262">
        <f t="shared" si="41"/>
        <v>33</v>
      </c>
      <c r="BP128" s="184">
        <f t="shared" si="41"/>
        <v>0</v>
      </c>
      <c r="BQ128" s="262">
        <f t="shared" si="41"/>
        <v>33</v>
      </c>
      <c r="BR128" s="262">
        <f t="shared" si="41"/>
        <v>33</v>
      </c>
      <c r="BS128" s="262">
        <f t="shared" si="41"/>
        <v>33</v>
      </c>
    </row>
    <row r="129" spans="2:71" s="16" customFormat="1" x14ac:dyDescent="0.25">
      <c r="B129" s="516" t="s">
        <v>858</v>
      </c>
      <c r="C129" s="516"/>
      <c r="D129" s="578">
        <f>COUNTIFS(D7:D126, "=REMOVED")</f>
        <v>0</v>
      </c>
      <c r="E129" s="579">
        <f t="shared" ref="E129:Q129" si="42">COUNTIFS(E7:E126, "=REMOVED")</f>
        <v>0</v>
      </c>
      <c r="F129" s="577">
        <f t="shared" si="42"/>
        <v>0</v>
      </c>
      <c r="G129" s="577">
        <f t="shared" si="42"/>
        <v>0</v>
      </c>
      <c r="H129" s="577">
        <f t="shared" si="42"/>
        <v>0</v>
      </c>
      <c r="I129" s="577">
        <f t="shared" si="42"/>
        <v>0</v>
      </c>
      <c r="J129" s="577">
        <f t="shared" si="42"/>
        <v>0</v>
      </c>
      <c r="K129" s="577">
        <f t="shared" si="42"/>
        <v>0</v>
      </c>
      <c r="L129" s="577">
        <f t="shared" si="42"/>
        <v>0</v>
      </c>
      <c r="M129" s="577">
        <f t="shared" si="42"/>
        <v>0</v>
      </c>
      <c r="N129" s="577">
        <f t="shared" si="42"/>
        <v>0</v>
      </c>
      <c r="O129" s="577">
        <f t="shared" si="42"/>
        <v>0</v>
      </c>
      <c r="P129" s="577">
        <f t="shared" si="42"/>
        <v>0</v>
      </c>
      <c r="Q129" s="577">
        <f t="shared" si="42"/>
        <v>0</v>
      </c>
      <c r="R129" s="184"/>
      <c r="S129" s="379">
        <f t="shared" ref="S129:U129" si="43">COUNTIFS(S7:S126, "=REMOVED")</f>
        <v>1</v>
      </c>
      <c r="T129" s="379">
        <f t="shared" si="43"/>
        <v>1</v>
      </c>
      <c r="U129" s="379">
        <f t="shared" si="43"/>
        <v>1</v>
      </c>
      <c r="V129" s="379">
        <f>COUNTIFS(V7:V126, "=REMOVED")</f>
        <v>1</v>
      </c>
      <c r="W129" s="262">
        <f t="shared" ref="W129:BS129" si="44">COUNTIFS(W7:W126, "=REMOVED")</f>
        <v>1</v>
      </c>
      <c r="X129" s="184">
        <f t="shared" si="44"/>
        <v>0</v>
      </c>
      <c r="Y129" s="262">
        <f t="shared" si="44"/>
        <v>2</v>
      </c>
      <c r="Z129" s="184">
        <f t="shared" si="44"/>
        <v>0</v>
      </c>
      <c r="AA129" s="262">
        <f t="shared" si="44"/>
        <v>1</v>
      </c>
      <c r="AB129" s="262">
        <f t="shared" si="44"/>
        <v>1</v>
      </c>
      <c r="AC129" s="262">
        <f t="shared" si="44"/>
        <v>1</v>
      </c>
      <c r="AD129" s="262">
        <f t="shared" si="44"/>
        <v>1</v>
      </c>
      <c r="AE129" s="262">
        <f t="shared" si="44"/>
        <v>1</v>
      </c>
      <c r="AF129" s="184">
        <f t="shared" si="44"/>
        <v>0</v>
      </c>
      <c r="AG129" s="262">
        <f t="shared" si="44"/>
        <v>1</v>
      </c>
      <c r="AH129" s="262">
        <f t="shared" si="44"/>
        <v>1</v>
      </c>
      <c r="AI129" s="262">
        <f t="shared" si="44"/>
        <v>1</v>
      </c>
      <c r="AJ129" s="262">
        <f t="shared" si="44"/>
        <v>1</v>
      </c>
      <c r="AK129" s="184">
        <f t="shared" si="44"/>
        <v>0</v>
      </c>
      <c r="AL129" s="262">
        <f t="shared" si="44"/>
        <v>1</v>
      </c>
      <c r="AM129" s="184">
        <f t="shared" si="44"/>
        <v>0</v>
      </c>
      <c r="AN129" s="262">
        <f t="shared" si="44"/>
        <v>1</v>
      </c>
      <c r="AO129" s="184">
        <f t="shared" si="44"/>
        <v>0</v>
      </c>
      <c r="AP129" s="262">
        <f t="shared" si="44"/>
        <v>1</v>
      </c>
      <c r="AQ129" s="262">
        <f t="shared" si="44"/>
        <v>1</v>
      </c>
      <c r="AR129" s="262">
        <f t="shared" si="44"/>
        <v>1</v>
      </c>
      <c r="AS129" s="184">
        <f t="shared" si="44"/>
        <v>0</v>
      </c>
      <c r="AT129" s="262">
        <f t="shared" si="44"/>
        <v>1</v>
      </c>
      <c r="AU129" s="262">
        <f t="shared" si="44"/>
        <v>1</v>
      </c>
      <c r="AV129" s="262">
        <f t="shared" si="44"/>
        <v>1</v>
      </c>
      <c r="AW129" s="262">
        <f t="shared" si="44"/>
        <v>1</v>
      </c>
      <c r="AX129" s="184">
        <f t="shared" si="44"/>
        <v>0</v>
      </c>
      <c r="AY129" s="262">
        <f t="shared" si="44"/>
        <v>1</v>
      </c>
      <c r="AZ129" s="262">
        <f t="shared" si="44"/>
        <v>1</v>
      </c>
      <c r="BA129" s="262">
        <f t="shared" si="44"/>
        <v>1</v>
      </c>
      <c r="BB129" s="262">
        <f t="shared" si="44"/>
        <v>1</v>
      </c>
      <c r="BC129" s="184">
        <f t="shared" si="44"/>
        <v>0</v>
      </c>
      <c r="BD129" s="262">
        <f t="shared" si="44"/>
        <v>1</v>
      </c>
      <c r="BE129" s="262">
        <f t="shared" si="44"/>
        <v>1</v>
      </c>
      <c r="BF129" s="262">
        <f t="shared" si="44"/>
        <v>1</v>
      </c>
      <c r="BG129" s="262">
        <f t="shared" si="44"/>
        <v>1</v>
      </c>
      <c r="BH129" s="262">
        <f t="shared" si="44"/>
        <v>1</v>
      </c>
      <c r="BI129" s="262">
        <f t="shared" si="44"/>
        <v>1</v>
      </c>
      <c r="BJ129" s="262">
        <f t="shared" si="44"/>
        <v>1</v>
      </c>
      <c r="BK129" s="184">
        <f t="shared" si="44"/>
        <v>0</v>
      </c>
      <c r="BL129" s="262">
        <f t="shared" si="44"/>
        <v>1</v>
      </c>
      <c r="BM129" s="262">
        <f t="shared" si="44"/>
        <v>1</v>
      </c>
      <c r="BN129" s="262">
        <f t="shared" si="44"/>
        <v>1</v>
      </c>
      <c r="BO129" s="262">
        <f t="shared" si="44"/>
        <v>1</v>
      </c>
      <c r="BP129" s="184">
        <f t="shared" si="44"/>
        <v>0</v>
      </c>
      <c r="BQ129" s="262">
        <f t="shared" si="44"/>
        <v>1</v>
      </c>
      <c r="BR129" s="262">
        <f t="shared" si="44"/>
        <v>1</v>
      </c>
      <c r="BS129" s="262">
        <f t="shared" si="44"/>
        <v>1</v>
      </c>
    </row>
    <row r="130" spans="2:71" s="16" customFormat="1" ht="15.75" thickBot="1" x14ac:dyDescent="0.3">
      <c r="B130" s="517" t="s">
        <v>859</v>
      </c>
      <c r="C130" s="517"/>
      <c r="D130" s="580">
        <f>COUNTIFS(D7:D126, "&gt;0")</f>
        <v>111</v>
      </c>
      <c r="E130" s="581">
        <f t="shared" ref="E130:Q130" si="45">COUNTIFS(E7:E126, "&gt;0")</f>
        <v>111</v>
      </c>
      <c r="F130" s="577">
        <f t="shared" si="45"/>
        <v>111</v>
      </c>
      <c r="G130" s="577">
        <f t="shared" si="45"/>
        <v>111</v>
      </c>
      <c r="H130" s="577">
        <f t="shared" si="45"/>
        <v>111</v>
      </c>
      <c r="I130" s="577">
        <f t="shared" si="45"/>
        <v>111</v>
      </c>
      <c r="J130" s="577">
        <f t="shared" si="45"/>
        <v>111</v>
      </c>
      <c r="K130" s="577">
        <f t="shared" si="45"/>
        <v>111</v>
      </c>
      <c r="L130" s="577">
        <f t="shared" si="45"/>
        <v>111</v>
      </c>
      <c r="M130" s="577">
        <f t="shared" si="45"/>
        <v>111</v>
      </c>
      <c r="N130" s="577">
        <f t="shared" si="45"/>
        <v>111</v>
      </c>
      <c r="O130" s="577">
        <f t="shared" si="45"/>
        <v>111</v>
      </c>
      <c r="P130" s="577">
        <f t="shared" si="45"/>
        <v>111</v>
      </c>
      <c r="Q130" s="577">
        <f t="shared" si="45"/>
        <v>111</v>
      </c>
      <c r="R130" s="184"/>
      <c r="S130" s="383">
        <f t="shared" ref="S130:U130" si="46">COUNTIFS(S7:S126, "&gt;0")</f>
        <v>86</v>
      </c>
      <c r="T130" s="383">
        <f t="shared" si="46"/>
        <v>85</v>
      </c>
      <c r="U130" s="383">
        <f t="shared" si="46"/>
        <v>23</v>
      </c>
      <c r="V130" s="383">
        <f>COUNTIFS(V7:V126, "&gt;0")</f>
        <v>86</v>
      </c>
      <c r="W130" s="262">
        <f t="shared" ref="W130:BS130" si="47">COUNTIFS(W7:W126, "&gt;0")</f>
        <v>70</v>
      </c>
      <c r="X130" s="184">
        <f t="shared" si="47"/>
        <v>0</v>
      </c>
      <c r="Y130" s="262">
        <f t="shared" si="47"/>
        <v>70</v>
      </c>
      <c r="Z130" s="184">
        <f t="shared" si="47"/>
        <v>0</v>
      </c>
      <c r="AA130" s="262">
        <f t="shared" si="47"/>
        <v>85</v>
      </c>
      <c r="AB130" s="262">
        <f t="shared" si="47"/>
        <v>32</v>
      </c>
      <c r="AC130" s="262">
        <f t="shared" si="47"/>
        <v>83</v>
      </c>
      <c r="AD130" s="262">
        <f t="shared" si="47"/>
        <v>4</v>
      </c>
      <c r="AE130" s="262">
        <f t="shared" si="47"/>
        <v>84</v>
      </c>
      <c r="AF130" s="184">
        <f t="shared" si="47"/>
        <v>0</v>
      </c>
      <c r="AG130" s="262">
        <f t="shared" si="47"/>
        <v>86</v>
      </c>
      <c r="AH130" s="262">
        <f t="shared" si="47"/>
        <v>84</v>
      </c>
      <c r="AI130" s="262">
        <f t="shared" si="47"/>
        <v>0</v>
      </c>
      <c r="AJ130" s="262">
        <f t="shared" si="47"/>
        <v>86</v>
      </c>
      <c r="AK130" s="184">
        <f t="shared" si="47"/>
        <v>0</v>
      </c>
      <c r="AL130" s="262">
        <f t="shared" si="47"/>
        <v>86</v>
      </c>
      <c r="AM130" s="184">
        <f t="shared" si="47"/>
        <v>0</v>
      </c>
      <c r="AN130" s="262">
        <f t="shared" si="47"/>
        <v>68</v>
      </c>
      <c r="AO130" s="184">
        <f t="shared" si="47"/>
        <v>0</v>
      </c>
      <c r="AP130" s="262">
        <f t="shared" si="47"/>
        <v>86</v>
      </c>
      <c r="AQ130" s="262">
        <f t="shared" si="47"/>
        <v>86</v>
      </c>
      <c r="AR130" s="262">
        <f t="shared" si="47"/>
        <v>85</v>
      </c>
      <c r="AS130" s="184">
        <f t="shared" si="47"/>
        <v>0</v>
      </c>
      <c r="AT130" s="262">
        <f t="shared" si="47"/>
        <v>81</v>
      </c>
      <c r="AU130" s="262">
        <f t="shared" si="47"/>
        <v>74</v>
      </c>
      <c r="AV130" s="262">
        <f t="shared" si="47"/>
        <v>85</v>
      </c>
      <c r="AW130" s="262">
        <f t="shared" si="47"/>
        <v>84</v>
      </c>
      <c r="AX130" s="184">
        <f t="shared" si="47"/>
        <v>0</v>
      </c>
      <c r="AY130" s="262">
        <f t="shared" si="47"/>
        <v>86</v>
      </c>
      <c r="AZ130" s="262">
        <f t="shared" si="47"/>
        <v>50</v>
      </c>
      <c r="BA130" s="262">
        <f t="shared" si="47"/>
        <v>48</v>
      </c>
      <c r="BB130" s="262">
        <f t="shared" si="47"/>
        <v>86</v>
      </c>
      <c r="BC130" s="184">
        <f t="shared" si="47"/>
        <v>0</v>
      </c>
      <c r="BD130" s="262">
        <f t="shared" si="47"/>
        <v>84</v>
      </c>
      <c r="BE130" s="262">
        <f t="shared" si="47"/>
        <v>85</v>
      </c>
      <c r="BF130" s="262">
        <f t="shared" si="47"/>
        <v>0</v>
      </c>
      <c r="BG130" s="262">
        <f t="shared" si="47"/>
        <v>16</v>
      </c>
      <c r="BH130" s="262">
        <f t="shared" si="47"/>
        <v>0</v>
      </c>
      <c r="BI130" s="262">
        <f t="shared" si="47"/>
        <v>5</v>
      </c>
      <c r="BJ130" s="262">
        <f t="shared" si="47"/>
        <v>81</v>
      </c>
      <c r="BK130" s="184">
        <f t="shared" si="47"/>
        <v>0</v>
      </c>
      <c r="BL130" s="262">
        <f t="shared" si="47"/>
        <v>69</v>
      </c>
      <c r="BM130" s="262">
        <f t="shared" si="47"/>
        <v>70</v>
      </c>
      <c r="BN130" s="262">
        <f t="shared" si="47"/>
        <v>84</v>
      </c>
      <c r="BO130" s="262">
        <f t="shared" si="47"/>
        <v>84</v>
      </c>
      <c r="BP130" s="184">
        <f t="shared" si="47"/>
        <v>0</v>
      </c>
      <c r="BQ130" s="262">
        <f t="shared" si="47"/>
        <v>80</v>
      </c>
      <c r="BR130" s="262">
        <f t="shared" si="47"/>
        <v>7</v>
      </c>
      <c r="BS130" s="262">
        <f t="shared" si="47"/>
        <v>0</v>
      </c>
    </row>
    <row r="131" spans="2:71" s="16" customFormat="1" x14ac:dyDescent="0.25">
      <c r="B131" s="198"/>
      <c r="C131" s="154"/>
      <c r="D131" s="172"/>
      <c r="E131" s="172"/>
      <c r="F131" s="172"/>
      <c r="G131" s="172"/>
      <c r="H131" s="172"/>
      <c r="I131" s="281"/>
      <c r="J131" s="281"/>
      <c r="K131" s="281"/>
      <c r="L131" s="281"/>
      <c r="M131" s="281"/>
      <c r="N131" s="281"/>
      <c r="O131" s="281"/>
      <c r="P131" s="281"/>
      <c r="Q131" s="281"/>
      <c r="R131" s="184"/>
      <c r="S131" s="262"/>
      <c r="T131" s="262"/>
      <c r="U131" s="262"/>
      <c r="V131" s="262"/>
      <c r="W131" s="262"/>
      <c r="X131" s="184"/>
      <c r="Y131" s="262"/>
      <c r="Z131" s="184"/>
      <c r="AA131" s="262"/>
      <c r="AB131" s="262"/>
      <c r="AC131" s="262"/>
      <c r="AD131" s="262"/>
      <c r="AE131" s="262"/>
      <c r="AF131" s="184"/>
      <c r="AG131" s="262"/>
      <c r="AH131" s="262"/>
      <c r="AI131" s="262"/>
      <c r="AJ131" s="262"/>
      <c r="AK131" s="184"/>
      <c r="AL131" s="262"/>
      <c r="AM131" s="184"/>
      <c r="AN131" s="262"/>
      <c r="AO131" s="184"/>
      <c r="AP131" s="262"/>
      <c r="AQ131" s="262"/>
      <c r="AR131" s="262"/>
      <c r="AS131" s="184"/>
      <c r="AT131" s="262"/>
      <c r="AU131" s="262"/>
      <c r="AV131" s="262"/>
      <c r="AW131" s="262"/>
      <c r="AX131" s="184"/>
      <c r="AY131" s="262"/>
      <c r="AZ131" s="262"/>
      <c r="BA131" s="262"/>
      <c r="BB131" s="262"/>
      <c r="BC131" s="184"/>
      <c r="BD131" s="262"/>
      <c r="BE131" s="262"/>
      <c r="BF131" s="262"/>
      <c r="BG131" s="262"/>
      <c r="BH131" s="262"/>
      <c r="BI131" s="262"/>
      <c r="BJ131" s="262"/>
      <c r="BK131" s="184"/>
      <c r="BL131" s="262"/>
      <c r="BM131" s="262"/>
      <c r="BN131" s="262"/>
      <c r="BO131" s="262"/>
      <c r="BP131" s="184"/>
      <c r="BQ131" s="262"/>
      <c r="BR131" s="262">
        <f>COUNTIFS(BR7:BR126, "=Unknown")</f>
        <v>8</v>
      </c>
      <c r="BS131" s="262"/>
    </row>
    <row r="132" spans="2:71" s="16" customFormat="1" x14ac:dyDescent="0.25">
      <c r="B132" s="198"/>
      <c r="C132" s="154"/>
      <c r="D132" s="172"/>
      <c r="E132" s="172"/>
      <c r="F132" s="172"/>
      <c r="G132" s="172"/>
      <c r="H132" s="172"/>
      <c r="I132" s="281"/>
      <c r="J132" s="281"/>
      <c r="K132" s="281"/>
      <c r="L132" s="281"/>
      <c r="M132" s="281"/>
      <c r="N132" s="281"/>
      <c r="O132" s="281"/>
      <c r="P132" s="281"/>
      <c r="Q132" s="281"/>
      <c r="R132" s="184"/>
      <c r="S132" s="262"/>
      <c r="T132" s="262"/>
      <c r="U132" s="262"/>
      <c r="V132" s="262"/>
      <c r="W132" s="262"/>
      <c r="X132" s="184"/>
      <c r="Y132" s="262"/>
      <c r="Z132" s="184"/>
      <c r="AA132" s="262"/>
      <c r="AB132" s="262"/>
      <c r="AC132" s="262"/>
      <c r="AD132" s="262"/>
      <c r="AE132" s="262"/>
      <c r="AF132" s="184"/>
      <c r="AG132" s="262"/>
      <c r="AH132" s="262"/>
      <c r="AI132" s="262"/>
      <c r="AJ132" s="262"/>
      <c r="AK132" s="184"/>
      <c r="AL132" s="262"/>
      <c r="AM132" s="184"/>
      <c r="AN132" s="262"/>
      <c r="AO132" s="184"/>
      <c r="AP132" s="262"/>
      <c r="AQ132" s="262"/>
      <c r="AR132" s="262"/>
      <c r="AS132" s="184"/>
      <c r="AT132" s="262"/>
      <c r="AU132" s="262"/>
      <c r="AV132" s="262"/>
      <c r="AW132" s="262"/>
      <c r="AX132" s="184"/>
      <c r="AY132" s="262"/>
      <c r="AZ132" s="262"/>
      <c r="BA132" s="262"/>
      <c r="BB132" s="262"/>
      <c r="BC132" s="184"/>
      <c r="BD132" s="262"/>
      <c r="BE132" s="262"/>
      <c r="BF132" s="262"/>
      <c r="BG132" s="262"/>
      <c r="BH132" s="262"/>
      <c r="BI132" s="262"/>
      <c r="BJ132" s="262"/>
      <c r="BK132" s="184"/>
      <c r="BL132" s="262"/>
      <c r="BM132" s="262"/>
      <c r="BN132" s="262"/>
      <c r="BO132" s="262"/>
      <c r="BP132" s="184"/>
      <c r="BQ132" s="262"/>
      <c r="BR132" s="262"/>
      <c r="BS132" s="262"/>
    </row>
    <row r="133" spans="2:71" s="16" customFormat="1" x14ac:dyDescent="0.25">
      <c r="D133" s="161"/>
      <c r="E133" s="161"/>
      <c r="F133" s="161"/>
      <c r="G133" s="161"/>
      <c r="H133" s="161"/>
      <c r="I133" s="161"/>
      <c r="J133" s="161"/>
      <c r="K133" s="161"/>
      <c r="L133" s="161"/>
      <c r="M133" s="161"/>
      <c r="N133" s="161"/>
      <c r="O133" s="161"/>
      <c r="P133" s="161"/>
      <c r="Q133" s="161"/>
    </row>
    <row r="134" spans="2:71" s="16" customFormat="1" x14ac:dyDescent="0.25">
      <c r="D134" s="161"/>
      <c r="E134" s="161"/>
      <c r="F134" s="161"/>
      <c r="G134" s="161"/>
      <c r="H134" s="161"/>
      <c r="I134" s="161"/>
      <c r="J134" s="161"/>
      <c r="K134" s="161"/>
      <c r="L134" s="161"/>
      <c r="M134" s="161"/>
      <c r="N134" s="161"/>
      <c r="O134" s="161"/>
      <c r="P134" s="161"/>
      <c r="Q134" s="161"/>
    </row>
    <row r="135" spans="2:71" s="16" customFormat="1" x14ac:dyDescent="0.25">
      <c r="D135" s="161"/>
      <c r="E135" s="161"/>
      <c r="F135" s="161"/>
      <c r="G135" s="161"/>
      <c r="H135" s="161"/>
      <c r="I135" s="161"/>
      <c r="J135" s="161"/>
      <c r="K135" s="161"/>
      <c r="L135" s="161"/>
      <c r="M135" s="161"/>
      <c r="N135" s="161"/>
      <c r="O135" s="161"/>
      <c r="P135" s="161"/>
      <c r="Q135" s="161"/>
    </row>
    <row r="136" spans="2:71" s="16" customFormat="1" x14ac:dyDescent="0.25">
      <c r="D136" s="161"/>
      <c r="E136" s="161"/>
      <c r="F136" s="161"/>
      <c r="G136" s="161"/>
      <c r="H136" s="161"/>
      <c r="I136" s="161"/>
      <c r="J136" s="161"/>
      <c r="K136" s="161"/>
      <c r="L136" s="161"/>
      <c r="M136" s="161"/>
      <c r="N136" s="161"/>
      <c r="O136" s="161"/>
      <c r="P136" s="161"/>
      <c r="Q136" s="161"/>
    </row>
  </sheetData>
  <sheetProtection algorithmName="SHA-512" hashValue="Y+z6BPUP5LZ9/5odDIHFUNKogZbwzj8L9njsFYRJSCwhzMmqV1bk3YLwH1aS7HskulVgfYaruduQNl1XQENk7A==" saltValue="zHDX1MIK9UOxAn2VcxLz5g==" spinCount="100000" sheet="1" objects="1" scenarios="1"/>
  <mergeCells count="22">
    <mergeCell ref="BD4:BE4"/>
    <mergeCell ref="BF4:BJ4"/>
    <mergeCell ref="BN4:BO4"/>
    <mergeCell ref="BQ4:BS4"/>
    <mergeCell ref="BD3:BJ3"/>
    <mergeCell ref="BL3:BO3"/>
    <mergeCell ref="BQ3:BS3"/>
    <mergeCell ref="B5:C5"/>
    <mergeCell ref="A1:G1"/>
    <mergeCell ref="AT4:AV4"/>
    <mergeCell ref="AY4:BB4"/>
    <mergeCell ref="S3:W3"/>
    <mergeCell ref="AA3:AE3"/>
    <mergeCell ref="AG3:AJ3"/>
    <mergeCell ref="AP3:AR3"/>
    <mergeCell ref="AT3:AW3"/>
    <mergeCell ref="AY3:BB3"/>
    <mergeCell ref="S4:V4"/>
    <mergeCell ref="AA4:AB4"/>
    <mergeCell ref="AC4:AD4"/>
    <mergeCell ref="AG4:AI4"/>
    <mergeCell ref="AP4:AQ4"/>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xr:uid="{00000000-0002-0000-1800-000000000000}">
          <x14:formula1>
            <xm:f>'N:\4.0 Projects\2015 Projects\2015-026 San Diego Basin Study FY15\3.0 Data &amp; Analysis\Task 2.4\Concepts and Projects\[Projects_082318.xlsx]Cell Validation'!#REF!</xm:f>
          </x14:formula1>
          <xm:sqref>C7:C18 C21:C52 C54:C78 C80:C95 C98:C126 C131:C132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sheetPr>
  <dimension ref="A1:CX811"/>
  <sheetViews>
    <sheetView workbookViewId="0">
      <selection activeCell="V9" sqref="V9"/>
    </sheetView>
  </sheetViews>
  <sheetFormatPr defaultColWidth="12.5703125" defaultRowHeight="15" x14ac:dyDescent="0.25"/>
  <cols>
    <col min="1" max="2" width="29.28515625" style="17" customWidth="1"/>
    <col min="3" max="3" width="26.42578125" style="17" customWidth="1"/>
    <col min="5" max="5" width="2.28515625" style="221" customWidth="1"/>
    <col min="6" max="6" width="16.7109375" style="222" customWidth="1"/>
    <col min="7" max="10" width="16.7109375" style="17" customWidth="1"/>
    <col min="11" max="11" width="2.28515625" style="221" customWidth="1"/>
    <col min="12" max="12" width="16.7109375" style="222" customWidth="1"/>
    <col min="13" max="13" width="2.28515625" style="221" customWidth="1"/>
    <col min="14" max="14" width="16.7109375" style="222" customWidth="1"/>
    <col min="15" max="15" width="16.7109375" style="17" customWidth="1"/>
    <col min="16" max="16" width="2.28515625" style="221" customWidth="1"/>
    <col min="17" max="17" width="16.7109375" style="222" customWidth="1"/>
    <col min="18" max="20" width="16.7109375" style="17" customWidth="1"/>
    <col min="21" max="21" width="2.28515625" style="221" customWidth="1"/>
    <col min="22" max="22" width="16.7109375" style="222" customWidth="1"/>
    <col min="23" max="23" width="2.28515625" style="221" customWidth="1"/>
    <col min="24" max="24" width="16.7109375" style="222" customWidth="1"/>
    <col min="25" max="25" width="2.28515625" style="221" customWidth="1"/>
    <col min="26" max="26" width="16.7109375" style="222" customWidth="1"/>
    <col min="27" max="28" width="16.7109375" style="220" customWidth="1"/>
    <col min="29" max="29" width="2.28515625" style="221" customWidth="1"/>
    <col min="30" max="31" width="17" style="187" customWidth="1"/>
    <col min="32" max="32" width="2.28515625" style="221" customWidth="1"/>
    <col min="33" max="33" width="16.7109375" style="222" customWidth="1"/>
    <col min="34" max="36" width="17" style="187" customWidth="1"/>
    <col min="37" max="16384" width="12.5703125" style="187"/>
  </cols>
  <sheetData>
    <row r="1" spans="1:102" s="167" customFormat="1" ht="15.75" x14ac:dyDescent="0.25">
      <c r="A1" s="162"/>
      <c r="B1" s="162"/>
      <c r="C1" s="163"/>
      <c r="D1" s="164"/>
      <c r="E1" s="164"/>
      <c r="F1" s="165"/>
      <c r="G1" s="165"/>
      <c r="H1" s="165"/>
      <c r="I1" s="165"/>
      <c r="J1" s="165"/>
      <c r="K1" s="164"/>
      <c r="L1" s="165"/>
      <c r="M1" s="164"/>
      <c r="N1" s="165"/>
      <c r="O1" s="165"/>
      <c r="P1" s="164"/>
      <c r="Q1" s="165"/>
      <c r="R1" s="165"/>
      <c r="S1" s="165"/>
      <c r="T1" s="165"/>
      <c r="U1" s="164"/>
      <c r="V1" s="165"/>
      <c r="W1" s="164"/>
      <c r="X1" s="162"/>
      <c r="Y1" s="164"/>
      <c r="Z1" s="162"/>
      <c r="AA1" s="162"/>
      <c r="AB1" s="162"/>
      <c r="AC1" s="164"/>
      <c r="AF1" s="164"/>
    </row>
    <row r="2" spans="1:102" ht="15.75" customHeight="1" x14ac:dyDescent="0.25">
      <c r="A2" s="168"/>
      <c r="B2" s="168"/>
      <c r="C2" s="168"/>
      <c r="D2" s="169"/>
      <c r="E2" s="170"/>
      <c r="F2" s="171" t="str">
        <f>Table133[[#Headers],[RR-V-1]]</f>
        <v>RR-V-1</v>
      </c>
      <c r="G2" s="171" t="str">
        <f>Table133[[#Headers],[RR-V-2]]</f>
        <v>RR-V-2</v>
      </c>
      <c r="H2" s="171" t="str">
        <f>Table133[[#Headers],[RR-V-3]]</f>
        <v>RR-V-3</v>
      </c>
      <c r="I2" s="171" t="str">
        <f>Table133[[#Headers],[RR-V-4]]</f>
        <v>RR-V-4</v>
      </c>
      <c r="J2" s="171" t="str">
        <f>Table133[[#Headers],[RR-CS-1]]</f>
        <v>RR-CS-1</v>
      </c>
      <c r="K2" s="170"/>
      <c r="L2" s="171" t="str">
        <f>Table133[[#Headers],[OLS-LS-1]]</f>
        <v>OLS-LS-1</v>
      </c>
      <c r="M2" s="170"/>
      <c r="N2" s="171" t="str">
        <f>Table133[[#Headers],[CE-CC-1]]</f>
        <v>CE-CC-1</v>
      </c>
      <c r="O2" s="171" t="str">
        <f>Table133[[#Headers],[CE-OM-1]]</f>
        <v>CE-OM-1</v>
      </c>
      <c r="P2" s="170"/>
      <c r="Q2" s="171" t="str">
        <f>Table133[[#Headers],[RI-C-1]]</f>
        <v>RI-C-1</v>
      </c>
      <c r="R2" s="171" t="str">
        <f>Table133[[#Headers],[RI-C-2]]</f>
        <v>RI-C-2</v>
      </c>
      <c r="S2" s="171" t="str">
        <f>Table133[[#Headers],[RI-C-3]]</f>
        <v>RI-C-3</v>
      </c>
      <c r="T2" s="171" t="str">
        <f>Table133[[#Headers],[RI-EO-1]]</f>
        <v>RI-EO-1</v>
      </c>
      <c r="U2" s="170"/>
      <c r="V2" s="171" t="str">
        <f>Table133[[#Headers],[SI-PP-1]]</f>
        <v>SI-PP-1</v>
      </c>
      <c r="W2" s="170"/>
      <c r="X2" s="171" t="str">
        <f>Table133[[#Headers],[PC-CF-1]]</f>
        <v>PC-CF-1</v>
      </c>
      <c r="Y2" s="170"/>
      <c r="Z2" s="171" t="str">
        <f>Table133[[#Headers],[QR-GS-1]]</f>
        <v>QR-GS-1</v>
      </c>
      <c r="AA2" s="171" t="str">
        <f>Table133[[#Headers],[QR-GS-12]]</f>
        <v>QR-GS-12</v>
      </c>
      <c r="AB2" s="171" t="str">
        <f>Table133[[#Headers],[QR-RO-1]]</f>
        <v>QR-RO-1</v>
      </c>
      <c r="AC2" s="170"/>
      <c r="AD2" s="171" t="str">
        <f>Table133[[#Headers],[WQ-WW-1]]</f>
        <v>WQ-WW-1</v>
      </c>
      <c r="AE2" s="171" t="str">
        <f>Table133[[#Headers],[WQ-WW-2]]</f>
        <v>WQ-WW-2</v>
      </c>
      <c r="AF2" s="170"/>
      <c r="AG2" s="171" t="str">
        <f>Table133[[#Headers],[GHG-GM-1]]</f>
        <v>GHG-GM-1</v>
      </c>
    </row>
    <row r="3" spans="1:102" ht="36" customHeight="1" x14ac:dyDescent="0.25">
      <c r="A3" s="168"/>
      <c r="B3" s="168"/>
      <c r="C3" s="168"/>
      <c r="D3" s="173"/>
      <c r="E3" s="170"/>
      <c r="F3" s="860" t="s">
        <v>446</v>
      </c>
      <c r="G3" s="860"/>
      <c r="H3" s="860"/>
      <c r="I3" s="860"/>
      <c r="J3" s="860"/>
      <c r="K3" s="170"/>
      <c r="L3" s="174" t="s">
        <v>447</v>
      </c>
      <c r="M3" s="170"/>
      <c r="N3" s="860" t="s">
        <v>448</v>
      </c>
      <c r="O3" s="860"/>
      <c r="P3" s="170"/>
      <c r="Q3" s="860" t="s">
        <v>449</v>
      </c>
      <c r="R3" s="860"/>
      <c r="S3" s="860"/>
      <c r="T3" s="860"/>
      <c r="U3" s="170"/>
      <c r="V3" s="175" t="s">
        <v>450</v>
      </c>
      <c r="W3" s="170"/>
      <c r="X3" s="175" t="s">
        <v>451</v>
      </c>
      <c r="Y3" s="170"/>
      <c r="Z3" s="860" t="s">
        <v>452</v>
      </c>
      <c r="AA3" s="860"/>
      <c r="AB3" s="860"/>
      <c r="AC3" s="170"/>
      <c r="AD3" s="861"/>
      <c r="AE3" s="861"/>
      <c r="AF3" s="170"/>
      <c r="AG3" s="177" t="s">
        <v>457</v>
      </c>
    </row>
    <row r="4" spans="1:102" ht="30" customHeight="1" x14ac:dyDescent="0.25">
      <c r="A4" s="176"/>
      <c r="B4" s="176"/>
      <c r="C4" s="168"/>
      <c r="D4" s="173"/>
      <c r="E4" s="170"/>
      <c r="F4" s="860" t="s">
        <v>458</v>
      </c>
      <c r="G4" s="860"/>
      <c r="H4" s="860"/>
      <c r="I4" s="860"/>
      <c r="J4" s="175" t="s">
        <v>459</v>
      </c>
      <c r="K4" s="170"/>
      <c r="L4" s="174" t="s">
        <v>460</v>
      </c>
      <c r="M4" s="170"/>
      <c r="N4" s="175" t="s">
        <v>461</v>
      </c>
      <c r="O4" s="175" t="s">
        <v>462</v>
      </c>
      <c r="P4" s="170"/>
      <c r="Q4" s="860" t="s">
        <v>464</v>
      </c>
      <c r="R4" s="860"/>
      <c r="S4" s="175"/>
      <c r="T4" s="175" t="s">
        <v>465</v>
      </c>
      <c r="U4" s="170"/>
      <c r="V4" s="175" t="s">
        <v>466</v>
      </c>
      <c r="W4" s="170"/>
      <c r="X4" s="175" t="s">
        <v>467</v>
      </c>
      <c r="Y4" s="170"/>
      <c r="Z4" s="860" t="s">
        <v>468</v>
      </c>
      <c r="AA4" s="860"/>
      <c r="AB4" s="175" t="s">
        <v>469</v>
      </c>
      <c r="AC4" s="170"/>
      <c r="AD4" s="861" t="s">
        <v>476</v>
      </c>
      <c r="AE4" s="861"/>
      <c r="AF4" s="170"/>
      <c r="AG4" s="188" t="s">
        <v>477</v>
      </c>
    </row>
    <row r="5" spans="1:102" s="197" customFormat="1" ht="113.25" customHeight="1" x14ac:dyDescent="0.25">
      <c r="A5" s="189"/>
      <c r="B5" s="189"/>
      <c r="C5" s="189"/>
      <c r="D5" s="190"/>
      <c r="E5" s="191"/>
      <c r="F5" s="192" t="s">
        <v>661</v>
      </c>
      <c r="G5" s="192" t="s">
        <v>662</v>
      </c>
      <c r="H5" s="192" t="s">
        <v>663</v>
      </c>
      <c r="I5" s="192" t="s">
        <v>664</v>
      </c>
      <c r="J5" s="192" t="s">
        <v>665</v>
      </c>
      <c r="K5" s="191"/>
      <c r="L5" s="193" t="s">
        <v>666</v>
      </c>
      <c r="M5" s="191"/>
      <c r="N5" s="192" t="s">
        <v>667</v>
      </c>
      <c r="O5" s="192" t="s">
        <v>668</v>
      </c>
      <c r="P5" s="191"/>
      <c r="Q5" s="192" t="s">
        <v>669</v>
      </c>
      <c r="R5" s="192" t="s">
        <v>670</v>
      </c>
      <c r="S5" s="192" t="s">
        <v>671</v>
      </c>
      <c r="T5" s="192" t="s">
        <v>672</v>
      </c>
      <c r="U5" s="191"/>
      <c r="V5" s="194" t="s">
        <v>673</v>
      </c>
      <c r="W5" s="191"/>
      <c r="X5" s="192" t="s">
        <v>674</v>
      </c>
      <c r="Y5" s="191"/>
      <c r="Z5" s="192" t="s">
        <v>675</v>
      </c>
      <c r="AA5" s="192" t="s">
        <v>676</v>
      </c>
      <c r="AB5" s="192" t="s">
        <v>677</v>
      </c>
      <c r="AC5" s="191"/>
      <c r="AD5" s="195" t="s">
        <v>678</v>
      </c>
      <c r="AE5" s="195" t="s">
        <v>679</v>
      </c>
      <c r="AF5" s="191"/>
      <c r="AG5" s="196" t="s">
        <v>680</v>
      </c>
    </row>
    <row r="6" spans="1:102" s="167" customFormat="1" ht="13.5" customHeight="1" x14ac:dyDescent="0.25">
      <c r="A6" s="179" t="s">
        <v>523</v>
      </c>
      <c r="B6" s="179" t="s">
        <v>6</v>
      </c>
      <c r="C6" s="179" t="s">
        <v>681</v>
      </c>
      <c r="D6" s="180" t="s">
        <v>525</v>
      </c>
      <c r="E6" s="181" t="s">
        <v>526</v>
      </c>
      <c r="F6" s="182" t="s">
        <v>395</v>
      </c>
      <c r="G6" s="182" t="s">
        <v>396</v>
      </c>
      <c r="H6" s="182" t="s">
        <v>397</v>
      </c>
      <c r="I6" s="182" t="s">
        <v>398</v>
      </c>
      <c r="J6" s="182" t="s">
        <v>399</v>
      </c>
      <c r="K6" s="181" t="s">
        <v>682</v>
      </c>
      <c r="L6" s="182" t="s">
        <v>401</v>
      </c>
      <c r="M6" s="181" t="s">
        <v>400</v>
      </c>
      <c r="N6" s="182" t="s">
        <v>402</v>
      </c>
      <c r="O6" s="182" t="s">
        <v>404</v>
      </c>
      <c r="P6" s="181" t="s">
        <v>683</v>
      </c>
      <c r="Q6" s="182" t="s">
        <v>407</v>
      </c>
      <c r="R6" s="182" t="s">
        <v>408</v>
      </c>
      <c r="S6" s="182" t="s">
        <v>409</v>
      </c>
      <c r="T6" s="182" t="s">
        <v>410</v>
      </c>
      <c r="U6" s="181" t="s">
        <v>684</v>
      </c>
      <c r="V6" s="182" t="s">
        <v>411</v>
      </c>
      <c r="W6" s="181" t="s">
        <v>685</v>
      </c>
      <c r="X6" s="182" t="s">
        <v>412</v>
      </c>
      <c r="Y6" s="181" t="s">
        <v>686</v>
      </c>
      <c r="Z6" s="182" t="s">
        <v>413</v>
      </c>
      <c r="AA6" s="182" t="s">
        <v>414</v>
      </c>
      <c r="AB6" s="182" t="s">
        <v>415</v>
      </c>
      <c r="AC6" s="181" t="s">
        <v>687</v>
      </c>
      <c r="AD6" s="182" t="s">
        <v>433</v>
      </c>
      <c r="AE6" s="182" t="s">
        <v>434</v>
      </c>
      <c r="AF6" s="181" t="s">
        <v>688</v>
      </c>
      <c r="AG6" s="182" t="s">
        <v>435</v>
      </c>
    </row>
    <row r="7" spans="1:102" s="199" customFormat="1" ht="25.5" customHeight="1" x14ac:dyDescent="0.25">
      <c r="A7" s="198" t="s">
        <v>375</v>
      </c>
      <c r="B7" s="198" t="s">
        <v>7</v>
      </c>
      <c r="C7" s="153" t="s">
        <v>689</v>
      </c>
      <c r="D7" s="154" t="s">
        <v>32</v>
      </c>
      <c r="E7" s="184"/>
      <c r="F7" s="183">
        <v>3</v>
      </c>
      <c r="G7" s="183">
        <v>5</v>
      </c>
      <c r="H7" s="183">
        <v>5</v>
      </c>
      <c r="I7" s="183">
        <v>3</v>
      </c>
      <c r="J7" s="183">
        <v>4</v>
      </c>
      <c r="K7" s="184"/>
      <c r="L7" s="183">
        <v>3</v>
      </c>
      <c r="M7" s="184"/>
      <c r="N7" s="183">
        <v>3</v>
      </c>
      <c r="O7" s="183">
        <v>3</v>
      </c>
      <c r="P7" s="184"/>
      <c r="Q7" s="183">
        <v>3</v>
      </c>
      <c r="R7" s="183" t="s">
        <v>311</v>
      </c>
      <c r="S7" s="183">
        <v>0</v>
      </c>
      <c r="T7" s="183">
        <v>2</v>
      </c>
      <c r="U7" s="184"/>
      <c r="V7" s="183">
        <v>2</v>
      </c>
      <c r="W7" s="184"/>
      <c r="X7" s="183">
        <v>2</v>
      </c>
      <c r="Y7" s="184"/>
      <c r="Z7" s="183">
        <v>3</v>
      </c>
      <c r="AA7" s="183">
        <v>3</v>
      </c>
      <c r="AB7" s="183">
        <v>3</v>
      </c>
      <c r="AC7" s="184"/>
      <c r="AD7" s="183">
        <v>3</v>
      </c>
      <c r="AE7" s="183">
        <v>3</v>
      </c>
      <c r="AF7" s="184"/>
      <c r="AG7" s="183">
        <v>3</v>
      </c>
    </row>
    <row r="8" spans="1:102" s="167" customFormat="1" ht="38.25" customHeight="1" x14ac:dyDescent="0.25">
      <c r="A8" s="198" t="s">
        <v>375</v>
      </c>
      <c r="B8" s="198" t="s">
        <v>376</v>
      </c>
      <c r="C8" s="153" t="s">
        <v>690</v>
      </c>
      <c r="D8" s="154" t="s">
        <v>32</v>
      </c>
      <c r="E8" s="184"/>
      <c r="F8" s="183">
        <v>3</v>
      </c>
      <c r="G8" s="183">
        <v>3</v>
      </c>
      <c r="H8" s="183">
        <v>3</v>
      </c>
      <c r="I8" s="183">
        <v>2</v>
      </c>
      <c r="J8" s="183">
        <v>3</v>
      </c>
      <c r="K8" s="184"/>
      <c r="L8" s="183">
        <v>4</v>
      </c>
      <c r="M8" s="184"/>
      <c r="N8" s="183">
        <v>5</v>
      </c>
      <c r="O8" s="183">
        <v>5</v>
      </c>
      <c r="P8" s="184"/>
      <c r="Q8" s="183">
        <v>3</v>
      </c>
      <c r="R8" s="183">
        <v>1</v>
      </c>
      <c r="S8" s="183">
        <v>0</v>
      </c>
      <c r="T8" s="183">
        <v>5</v>
      </c>
      <c r="U8" s="184"/>
      <c r="V8" s="183">
        <v>3</v>
      </c>
      <c r="W8" s="184"/>
      <c r="X8" s="183">
        <v>5</v>
      </c>
      <c r="Y8" s="184"/>
      <c r="Z8" s="183">
        <v>3</v>
      </c>
      <c r="AA8" s="183">
        <v>3</v>
      </c>
      <c r="AB8" s="183">
        <v>3</v>
      </c>
      <c r="AC8" s="184"/>
      <c r="AD8" s="183">
        <v>4</v>
      </c>
      <c r="AE8" s="183">
        <v>4</v>
      </c>
      <c r="AF8" s="184"/>
      <c r="AG8" s="183">
        <v>3</v>
      </c>
    </row>
    <row r="9" spans="1:102" s="200" customFormat="1" ht="89.25" x14ac:dyDescent="0.25">
      <c r="A9" s="198" t="s">
        <v>375</v>
      </c>
      <c r="B9" s="198" t="s">
        <v>377</v>
      </c>
      <c r="C9" s="153" t="s">
        <v>691</v>
      </c>
      <c r="D9" s="154" t="s">
        <v>32</v>
      </c>
      <c r="E9" s="184"/>
      <c r="F9" s="183">
        <v>5</v>
      </c>
      <c r="G9" s="183">
        <v>5</v>
      </c>
      <c r="H9" s="183">
        <v>3</v>
      </c>
      <c r="I9" s="183">
        <v>3</v>
      </c>
      <c r="J9" s="183">
        <v>3</v>
      </c>
      <c r="K9" s="184"/>
      <c r="L9" s="183">
        <v>4</v>
      </c>
      <c r="M9" s="184"/>
      <c r="N9" s="183">
        <v>3</v>
      </c>
      <c r="O9" s="183">
        <v>5</v>
      </c>
      <c r="P9" s="184"/>
      <c r="Q9" s="183">
        <v>5</v>
      </c>
      <c r="R9" s="183">
        <v>4</v>
      </c>
      <c r="S9" s="183">
        <v>0</v>
      </c>
      <c r="T9" s="183">
        <v>2</v>
      </c>
      <c r="U9" s="184"/>
      <c r="V9" s="183">
        <v>3</v>
      </c>
      <c r="W9" s="184"/>
      <c r="X9" s="183">
        <v>2</v>
      </c>
      <c r="Y9" s="184"/>
      <c r="Z9" s="183">
        <v>3</v>
      </c>
      <c r="AA9" s="183">
        <v>3</v>
      </c>
      <c r="AB9" s="183">
        <v>3</v>
      </c>
      <c r="AC9" s="184"/>
      <c r="AD9" s="183">
        <v>3</v>
      </c>
      <c r="AE9" s="183">
        <v>3</v>
      </c>
      <c r="AF9" s="184"/>
      <c r="AG9" s="183">
        <v>3</v>
      </c>
    </row>
    <row r="10" spans="1:102" s="200" customFormat="1" ht="38.25" customHeight="1" x14ac:dyDescent="0.25">
      <c r="A10" s="198" t="s">
        <v>375</v>
      </c>
      <c r="B10" s="198" t="s">
        <v>8</v>
      </c>
      <c r="C10" s="153" t="s">
        <v>692</v>
      </c>
      <c r="D10" s="154" t="s">
        <v>32</v>
      </c>
      <c r="E10" s="184"/>
      <c r="F10" s="183">
        <v>4</v>
      </c>
      <c r="G10" s="183">
        <v>5</v>
      </c>
      <c r="H10" s="183">
        <v>3</v>
      </c>
      <c r="I10" s="183">
        <v>2</v>
      </c>
      <c r="J10" s="183">
        <v>3</v>
      </c>
      <c r="K10" s="184"/>
      <c r="L10" s="183">
        <v>5</v>
      </c>
      <c r="M10" s="184"/>
      <c r="N10" s="183">
        <v>5</v>
      </c>
      <c r="O10" s="183">
        <v>5</v>
      </c>
      <c r="P10" s="184"/>
      <c r="Q10" s="183">
        <v>2</v>
      </c>
      <c r="R10" s="183">
        <v>1</v>
      </c>
      <c r="S10" s="183">
        <v>0</v>
      </c>
      <c r="T10" s="183">
        <v>5</v>
      </c>
      <c r="U10" s="184"/>
      <c r="V10" s="183">
        <v>3</v>
      </c>
      <c r="W10" s="184"/>
      <c r="X10" s="183">
        <v>4</v>
      </c>
      <c r="Y10" s="184"/>
      <c r="Z10" s="183">
        <v>3</v>
      </c>
      <c r="AA10" s="183">
        <v>3</v>
      </c>
      <c r="AB10" s="183">
        <v>3</v>
      </c>
      <c r="AC10" s="184"/>
      <c r="AD10" s="183">
        <v>3</v>
      </c>
      <c r="AE10" s="183">
        <v>3</v>
      </c>
      <c r="AF10" s="184"/>
      <c r="AG10" s="183">
        <v>3</v>
      </c>
    </row>
    <row r="11" spans="1:102" s="200" customFormat="1" ht="38.25" customHeight="1" x14ac:dyDescent="0.25">
      <c r="A11" s="198" t="s">
        <v>375</v>
      </c>
      <c r="B11" s="198" t="s">
        <v>9</v>
      </c>
      <c r="C11" s="153" t="s">
        <v>693</v>
      </c>
      <c r="D11" s="154" t="s">
        <v>32</v>
      </c>
      <c r="E11" s="184"/>
      <c r="F11" s="183">
        <v>5</v>
      </c>
      <c r="G11" s="183">
        <v>5</v>
      </c>
      <c r="H11" s="183">
        <v>3</v>
      </c>
      <c r="I11" s="183">
        <v>3</v>
      </c>
      <c r="J11" s="183">
        <v>3</v>
      </c>
      <c r="K11" s="184"/>
      <c r="L11" s="183">
        <v>5</v>
      </c>
      <c r="M11" s="184"/>
      <c r="N11" s="183">
        <v>1</v>
      </c>
      <c r="O11" s="183">
        <v>1</v>
      </c>
      <c r="P11" s="184"/>
      <c r="Q11" s="183">
        <v>4</v>
      </c>
      <c r="R11" s="183" t="s">
        <v>311</v>
      </c>
      <c r="S11" s="183">
        <v>0</v>
      </c>
      <c r="T11" s="183">
        <v>5</v>
      </c>
      <c r="U11" s="184"/>
      <c r="V11" s="183">
        <v>3</v>
      </c>
      <c r="W11" s="184"/>
      <c r="X11" s="183">
        <v>4</v>
      </c>
      <c r="Y11" s="184"/>
      <c r="Z11" s="183">
        <v>3</v>
      </c>
      <c r="AA11" s="183">
        <v>3</v>
      </c>
      <c r="AB11" s="183">
        <v>3</v>
      </c>
      <c r="AC11" s="184"/>
      <c r="AD11" s="183">
        <v>5</v>
      </c>
      <c r="AE11" s="183">
        <v>5</v>
      </c>
      <c r="AF11" s="184"/>
      <c r="AG11" s="183">
        <v>3</v>
      </c>
    </row>
    <row r="12" spans="1:102" s="200" customFormat="1" ht="39" customHeight="1" x14ac:dyDescent="0.25">
      <c r="A12" s="198" t="s">
        <v>375</v>
      </c>
      <c r="B12" s="198" t="s">
        <v>10</v>
      </c>
      <c r="C12" s="153" t="s">
        <v>694</v>
      </c>
      <c r="D12" s="154" t="s">
        <v>32</v>
      </c>
      <c r="E12" s="184"/>
      <c r="F12" s="183">
        <v>1</v>
      </c>
      <c r="G12" s="183">
        <v>3</v>
      </c>
      <c r="H12" s="183">
        <v>3</v>
      </c>
      <c r="I12" s="183">
        <v>3</v>
      </c>
      <c r="J12" s="183">
        <v>4</v>
      </c>
      <c r="K12" s="184"/>
      <c r="L12" s="183">
        <v>3</v>
      </c>
      <c r="M12" s="184"/>
      <c r="N12" s="183">
        <v>5</v>
      </c>
      <c r="O12" s="183">
        <v>5</v>
      </c>
      <c r="P12" s="184"/>
      <c r="Q12" s="183">
        <v>3</v>
      </c>
      <c r="R12" s="183">
        <v>4</v>
      </c>
      <c r="S12" s="183">
        <v>0</v>
      </c>
      <c r="T12" s="183">
        <v>1</v>
      </c>
      <c r="U12" s="184"/>
      <c r="V12" s="183">
        <v>4</v>
      </c>
      <c r="W12" s="184"/>
      <c r="X12" s="183">
        <v>5</v>
      </c>
      <c r="Y12" s="184"/>
      <c r="Z12" s="183">
        <v>3</v>
      </c>
      <c r="AA12" s="183">
        <v>3</v>
      </c>
      <c r="AB12" s="183">
        <v>3</v>
      </c>
      <c r="AC12" s="184"/>
      <c r="AD12" s="183">
        <v>3</v>
      </c>
      <c r="AE12" s="183">
        <v>3</v>
      </c>
      <c r="AF12" s="184"/>
      <c r="AG12" s="183">
        <v>3</v>
      </c>
    </row>
    <row r="13" spans="1:102" s="200" customFormat="1" ht="33.75" customHeight="1" x14ac:dyDescent="0.25">
      <c r="A13" s="198" t="s">
        <v>375</v>
      </c>
      <c r="B13" s="198" t="s">
        <v>378</v>
      </c>
      <c r="C13" s="153" t="s">
        <v>695</v>
      </c>
      <c r="D13" s="154" t="s">
        <v>32</v>
      </c>
      <c r="E13" s="184"/>
      <c r="F13" s="183">
        <v>5</v>
      </c>
      <c r="G13" s="183">
        <v>5</v>
      </c>
      <c r="H13" s="183">
        <v>3</v>
      </c>
      <c r="I13" s="183">
        <v>3</v>
      </c>
      <c r="J13" s="183">
        <v>5</v>
      </c>
      <c r="K13" s="184"/>
      <c r="L13" s="183">
        <v>5</v>
      </c>
      <c r="M13" s="184"/>
      <c r="N13" s="183">
        <v>1</v>
      </c>
      <c r="O13" s="183">
        <v>1</v>
      </c>
      <c r="P13" s="184"/>
      <c r="Q13" s="183">
        <v>4</v>
      </c>
      <c r="R13" s="183">
        <v>4</v>
      </c>
      <c r="S13" s="183">
        <v>0</v>
      </c>
      <c r="T13" s="183">
        <v>3</v>
      </c>
      <c r="U13" s="184"/>
      <c r="V13" s="183">
        <v>2</v>
      </c>
      <c r="W13" s="184"/>
      <c r="X13" s="183">
        <v>2</v>
      </c>
      <c r="Y13" s="184"/>
      <c r="Z13" s="183">
        <v>4</v>
      </c>
      <c r="AA13" s="183">
        <v>5</v>
      </c>
      <c r="AB13" s="183">
        <v>5</v>
      </c>
      <c r="AC13" s="184"/>
      <c r="AD13" s="183">
        <v>5</v>
      </c>
      <c r="AE13" s="183">
        <v>5</v>
      </c>
      <c r="AF13" s="184"/>
      <c r="AG13" s="183">
        <v>4</v>
      </c>
    </row>
    <row r="14" spans="1:102" s="167" customFormat="1" ht="39" customHeight="1" x14ac:dyDescent="0.25">
      <c r="A14" s="198" t="s">
        <v>375</v>
      </c>
      <c r="B14" s="198" t="s">
        <v>11</v>
      </c>
      <c r="C14" s="153" t="s">
        <v>696</v>
      </c>
      <c r="D14" s="154" t="s">
        <v>32</v>
      </c>
      <c r="E14" s="184"/>
      <c r="F14" s="183">
        <v>5</v>
      </c>
      <c r="G14" s="183">
        <v>5</v>
      </c>
      <c r="H14" s="183">
        <v>3</v>
      </c>
      <c r="I14" s="183">
        <v>3</v>
      </c>
      <c r="J14" s="183">
        <v>5</v>
      </c>
      <c r="K14" s="184"/>
      <c r="L14" s="183">
        <v>5</v>
      </c>
      <c r="M14" s="184"/>
      <c r="N14" s="183">
        <v>1</v>
      </c>
      <c r="O14" s="183">
        <v>1</v>
      </c>
      <c r="P14" s="184"/>
      <c r="Q14" s="183">
        <v>5</v>
      </c>
      <c r="R14" s="183" t="s">
        <v>311</v>
      </c>
      <c r="S14" s="183">
        <v>0</v>
      </c>
      <c r="T14" s="183">
        <v>5</v>
      </c>
      <c r="U14" s="184"/>
      <c r="V14" s="183">
        <v>2</v>
      </c>
      <c r="W14" s="184"/>
      <c r="X14" s="183">
        <v>1</v>
      </c>
      <c r="Y14" s="184"/>
      <c r="Z14" s="183">
        <v>3</v>
      </c>
      <c r="AA14" s="183">
        <v>3</v>
      </c>
      <c r="AB14" s="183">
        <v>3</v>
      </c>
      <c r="AC14" s="184"/>
      <c r="AD14" s="183">
        <v>5</v>
      </c>
      <c r="AE14" s="183">
        <v>5</v>
      </c>
      <c r="AF14" s="184"/>
      <c r="AG14" s="183">
        <v>3</v>
      </c>
    </row>
    <row r="15" spans="1:102" s="167" customFormat="1" ht="50.25" customHeight="1" x14ac:dyDescent="0.25">
      <c r="A15" s="198" t="s">
        <v>375</v>
      </c>
      <c r="B15" s="198" t="s">
        <v>12</v>
      </c>
      <c r="C15" s="153" t="s">
        <v>697</v>
      </c>
      <c r="D15" s="154" t="s">
        <v>32</v>
      </c>
      <c r="E15" s="184"/>
      <c r="F15" s="183">
        <v>5</v>
      </c>
      <c r="G15" s="183">
        <v>4</v>
      </c>
      <c r="H15" s="183">
        <v>3</v>
      </c>
      <c r="I15" s="183">
        <v>3</v>
      </c>
      <c r="J15" s="183">
        <v>3</v>
      </c>
      <c r="K15" s="184"/>
      <c r="L15" s="183">
        <v>5</v>
      </c>
      <c r="M15" s="184"/>
      <c r="N15" s="183">
        <v>3</v>
      </c>
      <c r="O15" s="183">
        <v>3</v>
      </c>
      <c r="P15" s="184"/>
      <c r="Q15" s="183">
        <v>3</v>
      </c>
      <c r="R15" s="183">
        <v>4</v>
      </c>
      <c r="S15" s="183">
        <v>0</v>
      </c>
      <c r="T15" s="183">
        <v>5</v>
      </c>
      <c r="U15" s="184"/>
      <c r="V15" s="183">
        <v>2</v>
      </c>
      <c r="W15" s="184"/>
      <c r="X15" s="183">
        <v>4</v>
      </c>
      <c r="Y15" s="184"/>
      <c r="Z15" s="183">
        <v>3</v>
      </c>
      <c r="AA15" s="183">
        <v>3</v>
      </c>
      <c r="AB15" s="183">
        <v>3</v>
      </c>
      <c r="AC15" s="184"/>
      <c r="AD15" s="183">
        <v>5</v>
      </c>
      <c r="AE15" s="183">
        <v>5</v>
      </c>
      <c r="AF15" s="184"/>
      <c r="AG15" s="183">
        <v>3</v>
      </c>
    </row>
    <row r="16" spans="1:102" s="201" customFormat="1" ht="25.5" customHeight="1" x14ac:dyDescent="0.25">
      <c r="A16" s="198" t="s">
        <v>375</v>
      </c>
      <c r="B16" s="198" t="s">
        <v>13</v>
      </c>
      <c r="C16" s="153" t="s">
        <v>698</v>
      </c>
      <c r="D16" s="154" t="s">
        <v>32</v>
      </c>
      <c r="E16" s="184"/>
      <c r="F16" s="183">
        <v>5</v>
      </c>
      <c r="G16" s="183">
        <v>5</v>
      </c>
      <c r="H16" s="183">
        <v>3</v>
      </c>
      <c r="I16" s="183">
        <v>3</v>
      </c>
      <c r="J16" s="183">
        <v>5</v>
      </c>
      <c r="K16" s="184"/>
      <c r="L16" s="183">
        <v>5</v>
      </c>
      <c r="M16" s="184"/>
      <c r="N16" s="183">
        <v>1</v>
      </c>
      <c r="O16" s="183">
        <v>1</v>
      </c>
      <c r="P16" s="184"/>
      <c r="Q16" s="183">
        <v>5</v>
      </c>
      <c r="R16" s="183" t="s">
        <v>311</v>
      </c>
      <c r="S16" s="183">
        <v>0</v>
      </c>
      <c r="T16" s="183">
        <v>4</v>
      </c>
      <c r="U16" s="184"/>
      <c r="V16" s="183">
        <v>2</v>
      </c>
      <c r="W16" s="184"/>
      <c r="X16" s="183">
        <v>1</v>
      </c>
      <c r="Y16" s="184"/>
      <c r="Z16" s="183">
        <v>3</v>
      </c>
      <c r="AA16" s="183">
        <v>3</v>
      </c>
      <c r="AB16" s="183">
        <v>3</v>
      </c>
      <c r="AC16" s="184"/>
      <c r="AD16" s="183">
        <v>3</v>
      </c>
      <c r="AE16" s="183">
        <v>3</v>
      </c>
      <c r="AF16" s="184"/>
      <c r="AG16" s="183">
        <v>2</v>
      </c>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row>
    <row r="17" spans="1:33" s="199" customFormat="1" ht="39" customHeight="1" x14ac:dyDescent="0.25">
      <c r="A17" s="198" t="s">
        <v>375</v>
      </c>
      <c r="B17" s="198" t="s">
        <v>14</v>
      </c>
      <c r="C17" s="153" t="s">
        <v>699</v>
      </c>
      <c r="D17" s="154" t="s">
        <v>32</v>
      </c>
      <c r="E17" s="184"/>
      <c r="F17" s="183">
        <v>3</v>
      </c>
      <c r="G17" s="183">
        <v>3</v>
      </c>
      <c r="H17" s="183">
        <v>4</v>
      </c>
      <c r="I17" s="183">
        <v>3</v>
      </c>
      <c r="J17" s="183">
        <v>3</v>
      </c>
      <c r="K17" s="184"/>
      <c r="L17" s="183">
        <v>3</v>
      </c>
      <c r="M17" s="184"/>
      <c r="N17" s="183">
        <v>3</v>
      </c>
      <c r="O17" s="183">
        <v>3</v>
      </c>
      <c r="P17" s="184"/>
      <c r="Q17" s="183">
        <v>3</v>
      </c>
      <c r="R17" s="183">
        <v>4</v>
      </c>
      <c r="S17" s="183">
        <v>0</v>
      </c>
      <c r="T17" s="183">
        <v>4</v>
      </c>
      <c r="U17" s="184"/>
      <c r="V17" s="183">
        <v>3</v>
      </c>
      <c r="W17" s="184"/>
      <c r="X17" s="183">
        <v>2</v>
      </c>
      <c r="Y17" s="184"/>
      <c r="Z17" s="183">
        <v>5</v>
      </c>
      <c r="AA17" s="183">
        <v>5</v>
      </c>
      <c r="AB17" s="183">
        <v>3</v>
      </c>
      <c r="AC17" s="184"/>
      <c r="AD17" s="183">
        <v>5</v>
      </c>
      <c r="AE17" s="183">
        <v>5</v>
      </c>
      <c r="AF17" s="184"/>
      <c r="AG17" s="183">
        <v>4</v>
      </c>
    </row>
    <row r="18" spans="1:33" s="167" customFormat="1" ht="39" customHeight="1" x14ac:dyDescent="0.25">
      <c r="A18" s="198" t="s">
        <v>375</v>
      </c>
      <c r="B18" s="198" t="s">
        <v>15</v>
      </c>
      <c r="C18" s="153" t="s">
        <v>700</v>
      </c>
      <c r="D18" s="154" t="s">
        <v>32</v>
      </c>
      <c r="E18" s="184"/>
      <c r="F18" s="183">
        <v>5</v>
      </c>
      <c r="G18" s="183">
        <v>5</v>
      </c>
      <c r="H18" s="183">
        <v>3</v>
      </c>
      <c r="I18" s="183">
        <v>3</v>
      </c>
      <c r="J18" s="183">
        <v>5</v>
      </c>
      <c r="K18" s="184"/>
      <c r="L18" s="183">
        <v>5</v>
      </c>
      <c r="M18" s="184"/>
      <c r="N18" s="183">
        <v>3</v>
      </c>
      <c r="O18" s="183">
        <v>3</v>
      </c>
      <c r="P18" s="184"/>
      <c r="Q18" s="183">
        <v>2</v>
      </c>
      <c r="R18" s="183">
        <v>4</v>
      </c>
      <c r="S18" s="183">
        <v>0</v>
      </c>
      <c r="T18" s="183">
        <v>5</v>
      </c>
      <c r="U18" s="184"/>
      <c r="V18" s="183">
        <v>4</v>
      </c>
      <c r="W18" s="184"/>
      <c r="X18" s="183">
        <v>4</v>
      </c>
      <c r="Y18" s="184"/>
      <c r="Z18" s="183">
        <v>3</v>
      </c>
      <c r="AA18" s="183">
        <v>3</v>
      </c>
      <c r="AB18" s="183">
        <v>3</v>
      </c>
      <c r="AC18" s="184"/>
      <c r="AD18" s="183">
        <v>5</v>
      </c>
      <c r="AE18" s="183">
        <v>5</v>
      </c>
      <c r="AF18" s="184"/>
      <c r="AG18" s="183">
        <v>3</v>
      </c>
    </row>
    <row r="19" spans="1:33" s="199" customFormat="1" ht="74.25" customHeight="1" x14ac:dyDescent="0.25">
      <c r="A19" s="198" t="s">
        <v>375</v>
      </c>
      <c r="B19" s="198" t="s">
        <v>16</v>
      </c>
      <c r="C19" s="153" t="s">
        <v>701</v>
      </c>
      <c r="D19" s="154" t="s">
        <v>32</v>
      </c>
      <c r="E19" s="184"/>
      <c r="F19" s="183">
        <v>4</v>
      </c>
      <c r="G19" s="183">
        <v>4</v>
      </c>
      <c r="H19" s="183">
        <v>3</v>
      </c>
      <c r="I19" s="183">
        <v>2</v>
      </c>
      <c r="J19" s="183">
        <v>3</v>
      </c>
      <c r="K19" s="184"/>
      <c r="L19" s="183">
        <v>5</v>
      </c>
      <c r="M19" s="184"/>
      <c r="N19" s="183">
        <v>5</v>
      </c>
      <c r="O19" s="183">
        <v>5</v>
      </c>
      <c r="P19" s="184"/>
      <c r="Q19" s="183">
        <v>3</v>
      </c>
      <c r="R19" s="183">
        <v>1</v>
      </c>
      <c r="S19" s="183">
        <v>0</v>
      </c>
      <c r="T19" s="183">
        <v>5</v>
      </c>
      <c r="U19" s="184"/>
      <c r="V19" s="183">
        <v>5</v>
      </c>
      <c r="W19" s="184"/>
      <c r="X19" s="183">
        <v>5</v>
      </c>
      <c r="Y19" s="184"/>
      <c r="Z19" s="183">
        <v>3</v>
      </c>
      <c r="AA19" s="183">
        <v>3</v>
      </c>
      <c r="AB19" s="183">
        <v>3</v>
      </c>
      <c r="AC19" s="184"/>
      <c r="AD19" s="183">
        <v>5</v>
      </c>
      <c r="AE19" s="183">
        <v>5</v>
      </c>
      <c r="AF19" s="184"/>
      <c r="AG19" s="183">
        <v>4</v>
      </c>
    </row>
    <row r="20" spans="1:33" s="167" customFormat="1" ht="25.5" customHeight="1" x14ac:dyDescent="0.25">
      <c r="A20" s="198" t="s">
        <v>375</v>
      </c>
      <c r="B20" s="198" t="s">
        <v>17</v>
      </c>
      <c r="C20" s="153" t="s">
        <v>702</v>
      </c>
      <c r="D20" s="154" t="s">
        <v>32</v>
      </c>
      <c r="E20" s="184"/>
      <c r="F20" s="183">
        <v>4</v>
      </c>
      <c r="G20" s="183">
        <v>3</v>
      </c>
      <c r="H20" s="183">
        <v>3</v>
      </c>
      <c r="I20" s="183">
        <v>3</v>
      </c>
      <c r="J20" s="183">
        <v>3</v>
      </c>
      <c r="K20" s="184"/>
      <c r="L20" s="183">
        <v>4</v>
      </c>
      <c r="M20" s="184"/>
      <c r="N20" s="183">
        <v>3</v>
      </c>
      <c r="O20" s="183">
        <v>3</v>
      </c>
      <c r="P20" s="184"/>
      <c r="Q20" s="183">
        <v>3</v>
      </c>
      <c r="R20" s="183">
        <v>4</v>
      </c>
      <c r="S20" s="183">
        <v>0</v>
      </c>
      <c r="T20" s="183">
        <v>5</v>
      </c>
      <c r="U20" s="184"/>
      <c r="V20" s="183">
        <v>2</v>
      </c>
      <c r="W20" s="184"/>
      <c r="X20" s="183">
        <v>2</v>
      </c>
      <c r="Y20" s="184"/>
      <c r="Z20" s="183">
        <v>5</v>
      </c>
      <c r="AA20" s="183">
        <v>5</v>
      </c>
      <c r="AB20" s="183">
        <v>5</v>
      </c>
      <c r="AC20" s="184"/>
      <c r="AD20" s="183">
        <v>5</v>
      </c>
      <c r="AE20" s="183">
        <v>5</v>
      </c>
      <c r="AF20" s="184"/>
      <c r="AG20" s="183">
        <v>5</v>
      </c>
    </row>
    <row r="21" spans="1:33" s="199" customFormat="1" ht="38.25" customHeight="1" x14ac:dyDescent="0.25">
      <c r="A21" s="198" t="s">
        <v>379</v>
      </c>
      <c r="B21" s="198" t="s">
        <v>7</v>
      </c>
      <c r="C21" s="153" t="s">
        <v>689</v>
      </c>
      <c r="D21" s="154" t="s">
        <v>32</v>
      </c>
      <c r="E21" s="184"/>
      <c r="F21" s="183">
        <v>3</v>
      </c>
      <c r="G21" s="183">
        <v>5</v>
      </c>
      <c r="H21" s="183">
        <v>4</v>
      </c>
      <c r="I21" s="183">
        <v>4</v>
      </c>
      <c r="J21" s="183">
        <v>5</v>
      </c>
      <c r="K21" s="184"/>
      <c r="L21" s="183">
        <v>5</v>
      </c>
      <c r="M21" s="184"/>
      <c r="N21" s="183">
        <v>1</v>
      </c>
      <c r="O21" s="183">
        <v>3</v>
      </c>
      <c r="P21" s="184"/>
      <c r="Q21" s="183">
        <v>3</v>
      </c>
      <c r="R21" s="183" t="s">
        <v>311</v>
      </c>
      <c r="S21" s="183">
        <v>0</v>
      </c>
      <c r="T21" s="183">
        <v>4</v>
      </c>
      <c r="U21" s="184"/>
      <c r="V21" s="183">
        <v>4</v>
      </c>
      <c r="W21" s="184"/>
      <c r="X21" s="183">
        <v>2</v>
      </c>
      <c r="Y21" s="184"/>
      <c r="Z21" s="183">
        <v>3</v>
      </c>
      <c r="AA21" s="183">
        <v>3</v>
      </c>
      <c r="AB21" s="183">
        <v>3</v>
      </c>
      <c r="AC21" s="184"/>
      <c r="AD21" s="183">
        <v>3</v>
      </c>
      <c r="AE21" s="183">
        <v>3</v>
      </c>
      <c r="AF21" s="184"/>
      <c r="AG21" s="183">
        <v>4</v>
      </c>
    </row>
    <row r="22" spans="1:33" s="167" customFormat="1" ht="40.5" customHeight="1" x14ac:dyDescent="0.25">
      <c r="A22" s="198" t="s">
        <v>379</v>
      </c>
      <c r="B22" s="198" t="s">
        <v>376</v>
      </c>
      <c r="C22" s="153" t="s">
        <v>690</v>
      </c>
      <c r="D22" s="154" t="s">
        <v>32</v>
      </c>
      <c r="E22" s="184"/>
      <c r="F22" s="183">
        <v>4</v>
      </c>
      <c r="G22" s="183">
        <v>3</v>
      </c>
      <c r="H22" s="183">
        <v>3</v>
      </c>
      <c r="I22" s="183">
        <v>2</v>
      </c>
      <c r="J22" s="183">
        <v>4</v>
      </c>
      <c r="K22" s="184"/>
      <c r="L22" s="183">
        <v>4</v>
      </c>
      <c r="M22" s="184"/>
      <c r="N22" s="183">
        <v>5</v>
      </c>
      <c r="O22" s="183">
        <v>5</v>
      </c>
      <c r="P22" s="184"/>
      <c r="Q22" s="183">
        <v>1</v>
      </c>
      <c r="R22" s="183" t="s">
        <v>311</v>
      </c>
      <c r="S22" s="183">
        <v>0</v>
      </c>
      <c r="T22" s="183">
        <v>5</v>
      </c>
      <c r="U22" s="184"/>
      <c r="V22" s="183">
        <v>4</v>
      </c>
      <c r="W22" s="184"/>
      <c r="X22" s="183">
        <v>5</v>
      </c>
      <c r="Y22" s="184"/>
      <c r="Z22" s="183">
        <v>2</v>
      </c>
      <c r="AA22" s="183">
        <v>2</v>
      </c>
      <c r="AB22" s="183">
        <v>2</v>
      </c>
      <c r="AC22" s="184"/>
      <c r="AD22" s="183">
        <v>4</v>
      </c>
      <c r="AE22" s="183">
        <v>4</v>
      </c>
      <c r="AF22" s="184"/>
      <c r="AG22" s="183">
        <v>3</v>
      </c>
    </row>
    <row r="23" spans="1:33" s="167" customFormat="1" ht="39" customHeight="1" x14ac:dyDescent="0.25">
      <c r="A23" s="198" t="s">
        <v>379</v>
      </c>
      <c r="B23" s="198" t="s">
        <v>377</v>
      </c>
      <c r="C23" s="153" t="s">
        <v>691</v>
      </c>
      <c r="D23" s="154" t="s">
        <v>32</v>
      </c>
      <c r="E23" s="186"/>
      <c r="F23" s="183">
        <v>5</v>
      </c>
      <c r="G23" s="183">
        <v>3</v>
      </c>
      <c r="H23" s="183">
        <v>4</v>
      </c>
      <c r="I23" s="183">
        <v>3</v>
      </c>
      <c r="J23" s="183">
        <v>3</v>
      </c>
      <c r="K23" s="186"/>
      <c r="L23" s="183">
        <v>4</v>
      </c>
      <c r="M23" s="186"/>
      <c r="N23" s="183">
        <v>5</v>
      </c>
      <c r="O23" s="183">
        <v>5</v>
      </c>
      <c r="P23" s="186"/>
      <c r="Q23" s="183">
        <v>4</v>
      </c>
      <c r="R23" s="183">
        <v>4</v>
      </c>
      <c r="S23" s="183">
        <v>0</v>
      </c>
      <c r="T23" s="183">
        <v>4</v>
      </c>
      <c r="U23" s="186"/>
      <c r="V23" s="183">
        <v>2</v>
      </c>
      <c r="W23" s="186"/>
      <c r="X23" s="183">
        <v>1</v>
      </c>
      <c r="Y23" s="186"/>
      <c r="Z23" s="183">
        <v>3</v>
      </c>
      <c r="AA23" s="183">
        <v>3</v>
      </c>
      <c r="AB23" s="183">
        <v>3</v>
      </c>
      <c r="AC23" s="186"/>
      <c r="AD23" s="183">
        <v>3</v>
      </c>
      <c r="AE23" s="183">
        <v>3</v>
      </c>
      <c r="AF23" s="186"/>
      <c r="AG23" s="183">
        <v>3</v>
      </c>
    </row>
    <row r="24" spans="1:33" s="202" customFormat="1" ht="39" customHeight="1" x14ac:dyDescent="0.25">
      <c r="A24" s="198" t="s">
        <v>379</v>
      </c>
      <c r="B24" s="198" t="s">
        <v>8</v>
      </c>
      <c r="C24" s="153" t="s">
        <v>692</v>
      </c>
      <c r="D24" s="154" t="s">
        <v>32</v>
      </c>
      <c r="E24" s="184"/>
      <c r="F24" s="183">
        <v>4</v>
      </c>
      <c r="G24" s="183">
        <v>4</v>
      </c>
      <c r="H24" s="183">
        <v>3</v>
      </c>
      <c r="I24" s="183">
        <v>2</v>
      </c>
      <c r="J24" s="183">
        <v>4</v>
      </c>
      <c r="K24" s="184"/>
      <c r="L24" s="183">
        <v>4</v>
      </c>
      <c r="M24" s="184"/>
      <c r="N24" s="183">
        <v>5</v>
      </c>
      <c r="O24" s="183">
        <v>5</v>
      </c>
      <c r="P24" s="184"/>
      <c r="Q24" s="183">
        <v>1</v>
      </c>
      <c r="R24" s="183">
        <v>1</v>
      </c>
      <c r="S24" s="183">
        <v>0</v>
      </c>
      <c r="T24" s="183">
        <v>4</v>
      </c>
      <c r="U24" s="184"/>
      <c r="V24" s="183">
        <v>4</v>
      </c>
      <c r="W24" s="184"/>
      <c r="X24" s="183">
        <v>4</v>
      </c>
      <c r="Y24" s="184"/>
      <c r="Z24" s="183">
        <v>3</v>
      </c>
      <c r="AA24" s="183">
        <v>3</v>
      </c>
      <c r="AB24" s="183">
        <v>3</v>
      </c>
      <c r="AC24" s="184"/>
      <c r="AD24" s="183">
        <v>4</v>
      </c>
      <c r="AE24" s="183">
        <v>4</v>
      </c>
      <c r="AF24" s="184"/>
      <c r="AG24" s="183">
        <v>3</v>
      </c>
    </row>
    <row r="25" spans="1:33" s="167" customFormat="1" ht="39" customHeight="1" x14ac:dyDescent="0.25">
      <c r="A25" s="198" t="s">
        <v>379</v>
      </c>
      <c r="B25" s="198" t="s">
        <v>9</v>
      </c>
      <c r="C25" s="153" t="s">
        <v>693</v>
      </c>
      <c r="D25" s="154" t="s">
        <v>32</v>
      </c>
      <c r="E25" s="184"/>
      <c r="F25" s="183">
        <v>5</v>
      </c>
      <c r="G25" s="183">
        <v>4</v>
      </c>
      <c r="H25" s="183">
        <v>3</v>
      </c>
      <c r="I25" s="183">
        <v>3</v>
      </c>
      <c r="J25" s="183">
        <v>3</v>
      </c>
      <c r="K25" s="184"/>
      <c r="L25" s="183">
        <v>5</v>
      </c>
      <c r="M25" s="184"/>
      <c r="N25" s="183">
        <v>1</v>
      </c>
      <c r="O25" s="183">
        <v>3</v>
      </c>
      <c r="P25" s="184"/>
      <c r="Q25" s="183">
        <v>3</v>
      </c>
      <c r="R25" s="183" t="s">
        <v>311</v>
      </c>
      <c r="S25" s="183">
        <v>0</v>
      </c>
      <c r="T25" s="183">
        <v>4</v>
      </c>
      <c r="U25" s="184"/>
      <c r="V25" s="183">
        <v>3</v>
      </c>
      <c r="W25" s="184"/>
      <c r="X25" s="183">
        <v>1</v>
      </c>
      <c r="Y25" s="184"/>
      <c r="Z25" s="183">
        <v>3</v>
      </c>
      <c r="AA25" s="183">
        <v>3</v>
      </c>
      <c r="AB25" s="183">
        <v>3</v>
      </c>
      <c r="AC25" s="184"/>
      <c r="AD25" s="183">
        <v>4</v>
      </c>
      <c r="AE25" s="183">
        <v>4</v>
      </c>
      <c r="AF25" s="184"/>
      <c r="AG25" s="183">
        <v>4</v>
      </c>
    </row>
    <row r="26" spans="1:33" s="167" customFormat="1" ht="39" customHeight="1" x14ac:dyDescent="0.25">
      <c r="A26" s="198" t="s">
        <v>379</v>
      </c>
      <c r="B26" s="198" t="s">
        <v>10</v>
      </c>
      <c r="C26" s="153" t="s">
        <v>694</v>
      </c>
      <c r="D26" s="154" t="s">
        <v>32</v>
      </c>
      <c r="E26" s="184"/>
      <c r="F26" s="183">
        <v>1</v>
      </c>
      <c r="G26" s="183">
        <v>4</v>
      </c>
      <c r="H26" s="183">
        <v>3</v>
      </c>
      <c r="I26" s="183">
        <v>3</v>
      </c>
      <c r="J26" s="183">
        <v>3</v>
      </c>
      <c r="K26" s="184"/>
      <c r="L26" s="183">
        <v>3</v>
      </c>
      <c r="M26" s="184"/>
      <c r="N26" s="183">
        <v>3</v>
      </c>
      <c r="O26" s="183">
        <v>3</v>
      </c>
      <c r="P26" s="184"/>
      <c r="Q26" s="183">
        <v>2</v>
      </c>
      <c r="R26" s="183" t="s">
        <v>311</v>
      </c>
      <c r="S26" s="183">
        <v>0</v>
      </c>
      <c r="T26" s="183">
        <v>3</v>
      </c>
      <c r="U26" s="184"/>
      <c r="V26" s="183">
        <v>3</v>
      </c>
      <c r="W26" s="184"/>
      <c r="X26" s="183">
        <v>2</v>
      </c>
      <c r="Y26" s="184"/>
      <c r="Z26" s="183">
        <v>3</v>
      </c>
      <c r="AA26" s="183">
        <v>3</v>
      </c>
      <c r="AB26" s="183">
        <v>3</v>
      </c>
      <c r="AC26" s="184"/>
      <c r="AD26" s="183">
        <v>3</v>
      </c>
      <c r="AE26" s="183">
        <v>3</v>
      </c>
      <c r="AF26" s="184"/>
      <c r="AG26" s="183">
        <v>2</v>
      </c>
    </row>
    <row r="27" spans="1:33" s="167" customFormat="1" ht="93.75" customHeight="1" x14ac:dyDescent="0.25">
      <c r="A27" s="198" t="s">
        <v>379</v>
      </c>
      <c r="B27" s="198" t="s">
        <v>378</v>
      </c>
      <c r="C27" s="153" t="s">
        <v>695</v>
      </c>
      <c r="D27" s="154" t="s">
        <v>32</v>
      </c>
      <c r="E27" s="184"/>
      <c r="F27" s="183">
        <v>3</v>
      </c>
      <c r="G27" s="183">
        <v>4</v>
      </c>
      <c r="H27" s="183">
        <v>3</v>
      </c>
      <c r="I27" s="183">
        <v>3</v>
      </c>
      <c r="J27" s="183">
        <v>3</v>
      </c>
      <c r="K27" s="184"/>
      <c r="L27" s="183">
        <v>5</v>
      </c>
      <c r="M27" s="184"/>
      <c r="N27" s="183">
        <v>1</v>
      </c>
      <c r="O27" s="183">
        <v>3</v>
      </c>
      <c r="P27" s="184"/>
      <c r="Q27" s="183">
        <v>2</v>
      </c>
      <c r="R27" s="183" t="s">
        <v>311</v>
      </c>
      <c r="S27" s="183">
        <v>0</v>
      </c>
      <c r="T27" s="183">
        <v>4</v>
      </c>
      <c r="U27" s="184"/>
      <c r="V27" s="183">
        <v>2</v>
      </c>
      <c r="W27" s="184"/>
      <c r="X27" s="183">
        <v>2</v>
      </c>
      <c r="Y27" s="184"/>
      <c r="Z27" s="183">
        <v>4</v>
      </c>
      <c r="AA27" s="183">
        <v>4</v>
      </c>
      <c r="AB27" s="183">
        <v>4</v>
      </c>
      <c r="AC27" s="184"/>
      <c r="AD27" s="183">
        <v>3</v>
      </c>
      <c r="AE27" s="183">
        <v>3</v>
      </c>
      <c r="AF27" s="184"/>
      <c r="AG27" s="183">
        <v>3</v>
      </c>
    </row>
    <row r="28" spans="1:33" s="167" customFormat="1" ht="39" customHeight="1" x14ac:dyDescent="0.25">
      <c r="A28" s="198" t="s">
        <v>379</v>
      </c>
      <c r="B28" s="198" t="s">
        <v>11</v>
      </c>
      <c r="C28" s="153" t="s">
        <v>696</v>
      </c>
      <c r="D28" s="154" t="s">
        <v>32</v>
      </c>
      <c r="E28" s="184"/>
      <c r="F28" s="183">
        <v>5</v>
      </c>
      <c r="G28" s="183">
        <v>4</v>
      </c>
      <c r="H28" s="183">
        <v>3</v>
      </c>
      <c r="I28" s="183">
        <v>3</v>
      </c>
      <c r="J28" s="183">
        <v>3</v>
      </c>
      <c r="K28" s="184"/>
      <c r="L28" s="183">
        <v>5</v>
      </c>
      <c r="M28" s="184"/>
      <c r="N28" s="183">
        <v>1</v>
      </c>
      <c r="O28" s="183">
        <v>3</v>
      </c>
      <c r="P28" s="184"/>
      <c r="Q28" s="183">
        <v>2</v>
      </c>
      <c r="R28" s="183" t="s">
        <v>311</v>
      </c>
      <c r="S28" s="183">
        <v>0</v>
      </c>
      <c r="T28" s="183">
        <v>4</v>
      </c>
      <c r="U28" s="184"/>
      <c r="V28" s="183">
        <v>4</v>
      </c>
      <c r="W28" s="184"/>
      <c r="X28" s="183">
        <v>1</v>
      </c>
      <c r="Y28" s="184"/>
      <c r="Z28" s="183">
        <v>3</v>
      </c>
      <c r="AA28" s="183">
        <v>3</v>
      </c>
      <c r="AB28" s="183">
        <v>4</v>
      </c>
      <c r="AC28" s="184"/>
      <c r="AD28" s="183">
        <v>4</v>
      </c>
      <c r="AE28" s="183">
        <v>4</v>
      </c>
      <c r="AF28" s="184"/>
      <c r="AG28" s="183">
        <v>3</v>
      </c>
    </row>
    <row r="29" spans="1:33" s="199" customFormat="1" ht="39" customHeight="1" x14ac:dyDescent="0.25">
      <c r="A29" s="198" t="s">
        <v>379</v>
      </c>
      <c r="B29" s="198" t="s">
        <v>12</v>
      </c>
      <c r="C29" s="153" t="s">
        <v>697</v>
      </c>
      <c r="D29" s="154" t="s">
        <v>32</v>
      </c>
      <c r="E29" s="184"/>
      <c r="F29" s="183">
        <v>4</v>
      </c>
      <c r="G29" s="183">
        <v>4</v>
      </c>
      <c r="H29" s="183">
        <v>3</v>
      </c>
      <c r="I29" s="183">
        <v>3</v>
      </c>
      <c r="J29" s="183">
        <v>5</v>
      </c>
      <c r="K29" s="184"/>
      <c r="L29" s="183">
        <v>5</v>
      </c>
      <c r="M29" s="184"/>
      <c r="N29" s="183">
        <v>1</v>
      </c>
      <c r="O29" s="183">
        <v>3</v>
      </c>
      <c r="P29" s="184"/>
      <c r="Q29" s="183">
        <v>2</v>
      </c>
      <c r="R29" s="183" t="s">
        <v>311</v>
      </c>
      <c r="S29" s="183">
        <v>0</v>
      </c>
      <c r="T29" s="183">
        <v>4</v>
      </c>
      <c r="U29" s="184"/>
      <c r="V29" s="183">
        <v>4</v>
      </c>
      <c r="W29" s="184"/>
      <c r="X29" s="183">
        <v>2</v>
      </c>
      <c r="Y29" s="184"/>
      <c r="Z29" s="183">
        <v>4</v>
      </c>
      <c r="AA29" s="183">
        <v>4</v>
      </c>
      <c r="AB29" s="183">
        <v>4</v>
      </c>
      <c r="AC29" s="184"/>
      <c r="AD29" s="183">
        <v>4</v>
      </c>
      <c r="AE29" s="183">
        <v>4</v>
      </c>
      <c r="AF29" s="184"/>
      <c r="AG29" s="183">
        <v>3</v>
      </c>
    </row>
    <row r="30" spans="1:33" s="199" customFormat="1" ht="45.75" customHeight="1" x14ac:dyDescent="0.25">
      <c r="A30" s="198" t="s">
        <v>379</v>
      </c>
      <c r="B30" s="198" t="s">
        <v>13</v>
      </c>
      <c r="C30" s="153" t="s">
        <v>698</v>
      </c>
      <c r="D30" s="154" t="s">
        <v>32</v>
      </c>
      <c r="E30" s="184"/>
      <c r="F30" s="183">
        <v>4</v>
      </c>
      <c r="G30" s="183">
        <v>4</v>
      </c>
      <c r="H30" s="183">
        <v>3</v>
      </c>
      <c r="I30" s="183">
        <v>3</v>
      </c>
      <c r="J30" s="183">
        <v>3</v>
      </c>
      <c r="K30" s="184"/>
      <c r="L30" s="183">
        <v>5</v>
      </c>
      <c r="M30" s="184"/>
      <c r="N30" s="183">
        <v>1</v>
      </c>
      <c r="O30" s="183">
        <v>3</v>
      </c>
      <c r="P30" s="184"/>
      <c r="Q30" s="183">
        <v>4</v>
      </c>
      <c r="R30" s="183" t="s">
        <v>311</v>
      </c>
      <c r="S30" s="183">
        <v>0</v>
      </c>
      <c r="T30" s="183">
        <v>4</v>
      </c>
      <c r="U30" s="184"/>
      <c r="V30" s="183">
        <v>4</v>
      </c>
      <c r="W30" s="184"/>
      <c r="X30" s="183">
        <v>1</v>
      </c>
      <c r="Y30" s="184"/>
      <c r="Z30" s="183">
        <v>3</v>
      </c>
      <c r="AA30" s="183">
        <v>3</v>
      </c>
      <c r="AB30" s="183">
        <v>3</v>
      </c>
      <c r="AC30" s="184"/>
      <c r="AD30" s="183">
        <v>3</v>
      </c>
      <c r="AE30" s="183">
        <v>3</v>
      </c>
      <c r="AF30" s="184"/>
      <c r="AG30" s="183">
        <v>3</v>
      </c>
    </row>
    <row r="31" spans="1:33" s="199" customFormat="1" ht="45.75" customHeight="1" x14ac:dyDescent="0.25">
      <c r="A31" s="198" t="s">
        <v>379</v>
      </c>
      <c r="B31" s="198" t="s">
        <v>14</v>
      </c>
      <c r="C31" s="153" t="s">
        <v>699</v>
      </c>
      <c r="D31" s="154" t="s">
        <v>32</v>
      </c>
      <c r="E31" s="186"/>
      <c r="F31" s="183">
        <v>3</v>
      </c>
      <c r="G31" s="183">
        <v>5</v>
      </c>
      <c r="H31" s="183">
        <v>3</v>
      </c>
      <c r="I31" s="183">
        <v>3</v>
      </c>
      <c r="J31" s="183">
        <v>3</v>
      </c>
      <c r="K31" s="186"/>
      <c r="L31" s="183">
        <v>4</v>
      </c>
      <c r="M31" s="186"/>
      <c r="N31" s="183">
        <v>3</v>
      </c>
      <c r="O31" s="183">
        <v>3</v>
      </c>
      <c r="P31" s="186"/>
      <c r="Q31" s="183">
        <v>2</v>
      </c>
      <c r="R31" s="183">
        <v>4</v>
      </c>
      <c r="S31" s="183">
        <v>0</v>
      </c>
      <c r="T31" s="183">
        <v>4</v>
      </c>
      <c r="U31" s="186"/>
      <c r="V31" s="183">
        <v>3</v>
      </c>
      <c r="W31" s="186"/>
      <c r="X31" s="183">
        <v>4</v>
      </c>
      <c r="Y31" s="186"/>
      <c r="Z31" s="183">
        <v>4</v>
      </c>
      <c r="AA31" s="183">
        <v>4</v>
      </c>
      <c r="AB31" s="183">
        <v>4</v>
      </c>
      <c r="AC31" s="186"/>
      <c r="AD31" s="183">
        <v>4</v>
      </c>
      <c r="AE31" s="183">
        <v>4</v>
      </c>
      <c r="AF31" s="186"/>
      <c r="AG31" s="183">
        <v>4</v>
      </c>
    </row>
    <row r="32" spans="1:33" s="203" customFormat="1" ht="40.5" customHeight="1" x14ac:dyDescent="0.25">
      <c r="A32" s="198" t="s">
        <v>379</v>
      </c>
      <c r="B32" s="198" t="s">
        <v>15</v>
      </c>
      <c r="C32" s="153" t="s">
        <v>700</v>
      </c>
      <c r="D32" s="154" t="s">
        <v>32</v>
      </c>
      <c r="E32" s="184"/>
      <c r="F32" s="183">
        <v>5</v>
      </c>
      <c r="G32" s="183">
        <v>4</v>
      </c>
      <c r="H32" s="183">
        <v>3</v>
      </c>
      <c r="I32" s="183">
        <v>3</v>
      </c>
      <c r="J32" s="183">
        <v>3</v>
      </c>
      <c r="K32" s="184"/>
      <c r="L32" s="183">
        <v>5</v>
      </c>
      <c r="M32" s="184"/>
      <c r="N32" s="183">
        <v>1</v>
      </c>
      <c r="O32" s="183">
        <v>3</v>
      </c>
      <c r="P32" s="184"/>
      <c r="Q32" s="183">
        <v>3</v>
      </c>
      <c r="R32" s="183">
        <v>4</v>
      </c>
      <c r="S32" s="183">
        <v>0</v>
      </c>
      <c r="T32" s="183">
        <v>4</v>
      </c>
      <c r="U32" s="184"/>
      <c r="V32" s="183">
        <v>3</v>
      </c>
      <c r="W32" s="184"/>
      <c r="X32" s="183">
        <v>2</v>
      </c>
      <c r="Y32" s="184"/>
      <c r="Z32" s="183">
        <v>3</v>
      </c>
      <c r="AA32" s="183">
        <v>3</v>
      </c>
      <c r="AB32" s="183">
        <v>3</v>
      </c>
      <c r="AC32" s="184"/>
      <c r="AD32" s="183">
        <v>4</v>
      </c>
      <c r="AE32" s="183">
        <v>4</v>
      </c>
      <c r="AF32" s="184"/>
      <c r="AG32" s="183">
        <v>3</v>
      </c>
    </row>
    <row r="33" spans="1:33" s="199" customFormat="1" ht="78" customHeight="1" x14ac:dyDescent="0.25">
      <c r="A33" s="198" t="s">
        <v>379</v>
      </c>
      <c r="B33" s="198" t="s">
        <v>16</v>
      </c>
      <c r="C33" s="153" t="s">
        <v>701</v>
      </c>
      <c r="D33" s="154" t="s">
        <v>32</v>
      </c>
      <c r="E33" s="184"/>
      <c r="F33" s="183">
        <v>4</v>
      </c>
      <c r="G33" s="183">
        <v>4</v>
      </c>
      <c r="H33" s="183">
        <v>3</v>
      </c>
      <c r="I33" s="183">
        <v>3</v>
      </c>
      <c r="J33" s="183">
        <v>3</v>
      </c>
      <c r="K33" s="184"/>
      <c r="L33" s="183">
        <v>4</v>
      </c>
      <c r="M33" s="184"/>
      <c r="N33" s="183">
        <v>3</v>
      </c>
      <c r="O33" s="183">
        <v>3</v>
      </c>
      <c r="P33" s="184"/>
      <c r="Q33" s="183">
        <v>2</v>
      </c>
      <c r="R33" s="183">
        <v>1</v>
      </c>
      <c r="S33" s="183">
        <v>0</v>
      </c>
      <c r="T33" s="183">
        <v>4</v>
      </c>
      <c r="U33" s="184"/>
      <c r="V33" s="183">
        <v>4</v>
      </c>
      <c r="W33" s="184"/>
      <c r="X33" s="183">
        <v>4</v>
      </c>
      <c r="Y33" s="184"/>
      <c r="Z33" s="183">
        <v>3</v>
      </c>
      <c r="AA33" s="183">
        <v>4</v>
      </c>
      <c r="AB33" s="183">
        <v>3</v>
      </c>
      <c r="AC33" s="184"/>
      <c r="AD33" s="183">
        <v>4</v>
      </c>
      <c r="AE33" s="183">
        <v>4</v>
      </c>
      <c r="AF33" s="184"/>
      <c r="AG33" s="183">
        <v>3</v>
      </c>
    </row>
    <row r="34" spans="1:33" s="167" customFormat="1" ht="40.5" customHeight="1" x14ac:dyDescent="0.25">
      <c r="A34" s="198" t="s">
        <v>379</v>
      </c>
      <c r="B34" s="198" t="s">
        <v>17</v>
      </c>
      <c r="C34" s="153" t="s">
        <v>702</v>
      </c>
      <c r="D34" s="154" t="s">
        <v>32</v>
      </c>
      <c r="E34" s="184"/>
      <c r="F34" s="183">
        <v>3</v>
      </c>
      <c r="G34" s="183">
        <v>5</v>
      </c>
      <c r="H34" s="183">
        <v>4</v>
      </c>
      <c r="I34" s="183">
        <v>3</v>
      </c>
      <c r="J34" s="183">
        <v>5</v>
      </c>
      <c r="K34" s="184"/>
      <c r="L34" s="183">
        <v>4</v>
      </c>
      <c r="M34" s="184"/>
      <c r="N34" s="183">
        <v>3</v>
      </c>
      <c r="O34" s="183">
        <v>3</v>
      </c>
      <c r="P34" s="184"/>
      <c r="Q34" s="183">
        <v>2</v>
      </c>
      <c r="R34" s="183">
        <v>4</v>
      </c>
      <c r="S34" s="183">
        <v>0</v>
      </c>
      <c r="T34" s="183">
        <v>4</v>
      </c>
      <c r="U34" s="184"/>
      <c r="V34" s="183">
        <v>4</v>
      </c>
      <c r="W34" s="184"/>
      <c r="X34" s="183">
        <v>4</v>
      </c>
      <c r="Y34" s="184"/>
      <c r="Z34" s="183">
        <v>4</v>
      </c>
      <c r="AA34" s="183">
        <v>4</v>
      </c>
      <c r="AB34" s="183">
        <v>4</v>
      </c>
      <c r="AC34" s="184"/>
      <c r="AD34" s="183">
        <v>4</v>
      </c>
      <c r="AE34" s="183">
        <v>4</v>
      </c>
      <c r="AF34" s="184"/>
      <c r="AG34" s="183">
        <v>4</v>
      </c>
    </row>
    <row r="35" spans="1:33" s="199" customFormat="1" ht="40.5" customHeight="1" x14ac:dyDescent="0.25">
      <c r="A35" s="198" t="s">
        <v>380</v>
      </c>
      <c r="B35" s="198" t="s">
        <v>7</v>
      </c>
      <c r="C35" s="153" t="s">
        <v>689</v>
      </c>
      <c r="D35" s="154" t="s">
        <v>32</v>
      </c>
      <c r="E35" s="184"/>
      <c r="F35" s="183">
        <v>5</v>
      </c>
      <c r="G35" s="183">
        <v>5</v>
      </c>
      <c r="H35" s="183">
        <v>4</v>
      </c>
      <c r="I35" s="183">
        <v>3</v>
      </c>
      <c r="J35" s="183">
        <v>3</v>
      </c>
      <c r="K35" s="184"/>
      <c r="L35" s="183">
        <v>4</v>
      </c>
      <c r="M35" s="184"/>
      <c r="N35" s="183">
        <v>3</v>
      </c>
      <c r="O35" s="183">
        <v>3</v>
      </c>
      <c r="P35" s="184"/>
      <c r="Q35" s="183">
        <v>2</v>
      </c>
      <c r="R35" s="183" t="s">
        <v>311</v>
      </c>
      <c r="S35" s="183">
        <v>0</v>
      </c>
      <c r="T35" s="183">
        <v>2</v>
      </c>
      <c r="U35" s="184"/>
      <c r="V35" s="183">
        <v>2</v>
      </c>
      <c r="W35" s="184"/>
      <c r="X35" s="183">
        <v>2</v>
      </c>
      <c r="Y35" s="184"/>
      <c r="Z35" s="183">
        <v>3</v>
      </c>
      <c r="AA35" s="183">
        <v>4</v>
      </c>
      <c r="AB35" s="183">
        <v>3</v>
      </c>
      <c r="AC35" s="184"/>
      <c r="AD35" s="183">
        <v>3</v>
      </c>
      <c r="AE35" s="183">
        <v>3</v>
      </c>
      <c r="AF35" s="184"/>
      <c r="AG35" s="183">
        <v>3</v>
      </c>
    </row>
    <row r="36" spans="1:33" s="199" customFormat="1" ht="39" customHeight="1" x14ac:dyDescent="0.25">
      <c r="A36" s="198" t="s">
        <v>380</v>
      </c>
      <c r="B36" s="198" t="s">
        <v>376</v>
      </c>
      <c r="C36" s="153" t="s">
        <v>690</v>
      </c>
      <c r="D36" s="154" t="s">
        <v>32</v>
      </c>
      <c r="E36" s="184"/>
      <c r="F36" s="183">
        <v>3</v>
      </c>
      <c r="G36" s="183">
        <v>3</v>
      </c>
      <c r="H36" s="183">
        <v>3</v>
      </c>
      <c r="I36" s="183">
        <v>1</v>
      </c>
      <c r="J36" s="183">
        <v>3</v>
      </c>
      <c r="K36" s="184"/>
      <c r="L36" s="183">
        <v>3</v>
      </c>
      <c r="M36" s="184"/>
      <c r="N36" s="183">
        <v>5</v>
      </c>
      <c r="O36" s="183">
        <v>5</v>
      </c>
      <c r="P36" s="184"/>
      <c r="Q36" s="183">
        <v>4</v>
      </c>
      <c r="R36" s="183">
        <v>1</v>
      </c>
      <c r="S36" s="183">
        <v>0</v>
      </c>
      <c r="T36" s="183">
        <v>5</v>
      </c>
      <c r="U36" s="184"/>
      <c r="V36" s="183">
        <v>4</v>
      </c>
      <c r="W36" s="184"/>
      <c r="X36" s="183">
        <v>4</v>
      </c>
      <c r="Y36" s="184"/>
      <c r="Z36" s="183">
        <v>2</v>
      </c>
      <c r="AA36" s="183">
        <v>2</v>
      </c>
      <c r="AB36" s="183">
        <v>2</v>
      </c>
      <c r="AC36" s="184"/>
      <c r="AD36" s="183">
        <v>4</v>
      </c>
      <c r="AE36" s="183">
        <v>4</v>
      </c>
      <c r="AF36" s="184"/>
      <c r="AG36" s="183">
        <v>3</v>
      </c>
    </row>
    <row r="37" spans="1:33" s="199" customFormat="1" ht="39" customHeight="1" x14ac:dyDescent="0.25">
      <c r="A37" s="198" t="s">
        <v>380</v>
      </c>
      <c r="B37" s="198" t="s">
        <v>377</v>
      </c>
      <c r="C37" s="153" t="s">
        <v>691</v>
      </c>
      <c r="D37" s="154" t="s">
        <v>32</v>
      </c>
      <c r="E37" s="186"/>
      <c r="F37" s="183">
        <v>5</v>
      </c>
      <c r="G37" s="183">
        <v>3</v>
      </c>
      <c r="H37" s="183">
        <v>3</v>
      </c>
      <c r="I37" s="183">
        <v>3</v>
      </c>
      <c r="J37" s="183">
        <v>4</v>
      </c>
      <c r="K37" s="186"/>
      <c r="L37" s="183">
        <v>5</v>
      </c>
      <c r="M37" s="186"/>
      <c r="N37" s="183">
        <v>3</v>
      </c>
      <c r="O37" s="183">
        <v>3</v>
      </c>
      <c r="P37" s="186"/>
      <c r="Q37" s="183">
        <v>4</v>
      </c>
      <c r="R37" s="183">
        <v>4</v>
      </c>
      <c r="S37" s="183">
        <v>0</v>
      </c>
      <c r="T37" s="183">
        <v>3</v>
      </c>
      <c r="U37" s="186"/>
      <c r="V37" s="183">
        <v>3</v>
      </c>
      <c r="W37" s="186"/>
      <c r="X37" s="183">
        <v>2</v>
      </c>
      <c r="Y37" s="186"/>
      <c r="Z37" s="183">
        <v>3</v>
      </c>
      <c r="AA37" s="183">
        <v>3</v>
      </c>
      <c r="AB37" s="183">
        <v>3</v>
      </c>
      <c r="AC37" s="186"/>
      <c r="AD37" s="183">
        <v>3</v>
      </c>
      <c r="AE37" s="183">
        <v>3</v>
      </c>
      <c r="AF37" s="186"/>
      <c r="AG37" s="183">
        <v>3</v>
      </c>
    </row>
    <row r="38" spans="1:33" s="167" customFormat="1" ht="39" customHeight="1" x14ac:dyDescent="0.25">
      <c r="A38" s="198" t="s">
        <v>380</v>
      </c>
      <c r="B38" s="198" t="s">
        <v>8</v>
      </c>
      <c r="C38" s="153" t="s">
        <v>692</v>
      </c>
      <c r="D38" s="154" t="s">
        <v>32</v>
      </c>
      <c r="E38" s="184"/>
      <c r="F38" s="183">
        <v>3</v>
      </c>
      <c r="G38" s="183">
        <v>3</v>
      </c>
      <c r="H38" s="183">
        <v>3</v>
      </c>
      <c r="I38" s="183">
        <v>1</v>
      </c>
      <c r="J38" s="183">
        <v>3</v>
      </c>
      <c r="K38" s="184"/>
      <c r="L38" s="183">
        <v>3</v>
      </c>
      <c r="M38" s="184"/>
      <c r="N38" s="183">
        <v>3</v>
      </c>
      <c r="O38" s="183">
        <v>5</v>
      </c>
      <c r="P38" s="184"/>
      <c r="Q38" s="183">
        <v>4</v>
      </c>
      <c r="R38" s="183">
        <v>4</v>
      </c>
      <c r="S38" s="183">
        <v>0</v>
      </c>
      <c r="T38" s="183">
        <v>4</v>
      </c>
      <c r="U38" s="184"/>
      <c r="V38" s="183">
        <v>4</v>
      </c>
      <c r="W38" s="184"/>
      <c r="X38" s="183">
        <v>2</v>
      </c>
      <c r="Y38" s="184"/>
      <c r="Z38" s="183">
        <v>3</v>
      </c>
      <c r="AA38" s="183">
        <v>2</v>
      </c>
      <c r="AB38" s="183">
        <v>3</v>
      </c>
      <c r="AC38" s="184"/>
      <c r="AD38" s="183">
        <v>4</v>
      </c>
      <c r="AE38" s="183">
        <v>4</v>
      </c>
      <c r="AF38" s="184"/>
      <c r="AG38" s="183">
        <v>3</v>
      </c>
    </row>
    <row r="39" spans="1:33" s="167" customFormat="1" ht="39" customHeight="1" x14ac:dyDescent="0.25">
      <c r="A39" s="198" t="s">
        <v>380</v>
      </c>
      <c r="B39" s="198" t="s">
        <v>9</v>
      </c>
      <c r="C39" s="153" t="s">
        <v>693</v>
      </c>
      <c r="D39" s="154" t="s">
        <v>32</v>
      </c>
      <c r="E39" s="184"/>
      <c r="F39" s="183">
        <v>5</v>
      </c>
      <c r="G39" s="183">
        <v>4</v>
      </c>
      <c r="H39" s="183">
        <v>3</v>
      </c>
      <c r="I39" s="183">
        <v>3</v>
      </c>
      <c r="J39" s="183">
        <v>4</v>
      </c>
      <c r="K39" s="184"/>
      <c r="L39" s="183">
        <v>5</v>
      </c>
      <c r="M39" s="184"/>
      <c r="N39" s="183">
        <v>1</v>
      </c>
      <c r="O39" s="183">
        <v>1</v>
      </c>
      <c r="P39" s="184"/>
      <c r="Q39" s="183">
        <v>4</v>
      </c>
      <c r="R39" s="183">
        <v>4</v>
      </c>
      <c r="S39" s="183">
        <v>0</v>
      </c>
      <c r="T39" s="183">
        <v>3</v>
      </c>
      <c r="U39" s="184"/>
      <c r="V39" s="183">
        <v>2</v>
      </c>
      <c r="W39" s="184"/>
      <c r="X39" s="183">
        <v>1</v>
      </c>
      <c r="Y39" s="184"/>
      <c r="Z39" s="183">
        <v>3</v>
      </c>
      <c r="AA39" s="183">
        <v>3</v>
      </c>
      <c r="AB39" s="183">
        <v>3</v>
      </c>
      <c r="AC39" s="184"/>
      <c r="AD39" s="183">
        <v>3</v>
      </c>
      <c r="AE39" s="183">
        <v>3</v>
      </c>
      <c r="AF39" s="184"/>
      <c r="AG39" s="183">
        <v>3</v>
      </c>
    </row>
    <row r="40" spans="1:33" s="167" customFormat="1" ht="40.5" customHeight="1" x14ac:dyDescent="0.25">
      <c r="A40" s="198" t="s">
        <v>380</v>
      </c>
      <c r="B40" s="198" t="s">
        <v>10</v>
      </c>
      <c r="C40" s="153" t="s">
        <v>694</v>
      </c>
      <c r="D40" s="154" t="s">
        <v>32</v>
      </c>
      <c r="E40" s="184"/>
      <c r="F40" s="183">
        <v>5</v>
      </c>
      <c r="G40" s="183">
        <v>3</v>
      </c>
      <c r="H40" s="183">
        <v>3</v>
      </c>
      <c r="I40" s="183">
        <v>3</v>
      </c>
      <c r="J40" s="183">
        <v>5</v>
      </c>
      <c r="K40" s="184"/>
      <c r="L40" s="183">
        <v>5</v>
      </c>
      <c r="M40" s="184"/>
      <c r="N40" s="183">
        <v>3</v>
      </c>
      <c r="O40" s="183">
        <v>1</v>
      </c>
      <c r="P40" s="184"/>
      <c r="Q40" s="183">
        <v>3</v>
      </c>
      <c r="R40" s="183" t="s">
        <v>311</v>
      </c>
      <c r="S40" s="183">
        <v>0</v>
      </c>
      <c r="T40" s="183">
        <v>3</v>
      </c>
      <c r="U40" s="184"/>
      <c r="V40" s="183">
        <v>2</v>
      </c>
      <c r="W40" s="184"/>
      <c r="X40" s="183">
        <v>4</v>
      </c>
      <c r="Y40" s="184"/>
      <c r="Z40" s="183">
        <v>3</v>
      </c>
      <c r="AA40" s="183">
        <v>4</v>
      </c>
      <c r="AB40" s="183">
        <v>3</v>
      </c>
      <c r="AC40" s="184"/>
      <c r="AD40" s="183">
        <v>3</v>
      </c>
      <c r="AE40" s="183">
        <v>3</v>
      </c>
      <c r="AF40" s="184"/>
      <c r="AG40" s="183">
        <v>3</v>
      </c>
    </row>
    <row r="41" spans="1:33" s="167" customFormat="1" ht="39" customHeight="1" x14ac:dyDescent="0.25">
      <c r="A41" s="198" t="s">
        <v>380</v>
      </c>
      <c r="B41" s="198" t="s">
        <v>378</v>
      </c>
      <c r="C41" s="153" t="s">
        <v>695</v>
      </c>
      <c r="D41" s="154" t="s">
        <v>32</v>
      </c>
      <c r="E41" s="184"/>
      <c r="F41" s="183">
        <v>5</v>
      </c>
      <c r="G41" s="183">
        <v>4</v>
      </c>
      <c r="H41" s="183">
        <v>3</v>
      </c>
      <c r="I41" s="183">
        <v>3</v>
      </c>
      <c r="J41" s="183">
        <v>5</v>
      </c>
      <c r="K41" s="184"/>
      <c r="L41" s="183">
        <v>5</v>
      </c>
      <c r="M41" s="184"/>
      <c r="N41" s="183">
        <v>1</v>
      </c>
      <c r="O41" s="183">
        <v>1</v>
      </c>
      <c r="P41" s="184"/>
      <c r="Q41" s="183">
        <v>4</v>
      </c>
      <c r="R41" s="183" t="s">
        <v>311</v>
      </c>
      <c r="S41" s="183">
        <v>0</v>
      </c>
      <c r="T41" s="183">
        <v>3</v>
      </c>
      <c r="U41" s="184"/>
      <c r="V41" s="183">
        <v>2</v>
      </c>
      <c r="W41" s="184"/>
      <c r="X41" s="183">
        <v>1</v>
      </c>
      <c r="Y41" s="184"/>
      <c r="Z41" s="183">
        <v>2</v>
      </c>
      <c r="AA41" s="183">
        <v>3</v>
      </c>
      <c r="AB41" s="183">
        <v>4</v>
      </c>
      <c r="AC41" s="184"/>
      <c r="AD41" s="183">
        <v>3</v>
      </c>
      <c r="AE41" s="183">
        <v>4</v>
      </c>
      <c r="AF41" s="184"/>
      <c r="AG41" s="183">
        <v>3</v>
      </c>
    </row>
    <row r="42" spans="1:33" s="167" customFormat="1" ht="40.5" customHeight="1" x14ac:dyDescent="0.25">
      <c r="A42" s="198" t="s">
        <v>380</v>
      </c>
      <c r="B42" s="198" t="s">
        <v>11</v>
      </c>
      <c r="C42" s="153" t="s">
        <v>696</v>
      </c>
      <c r="D42" s="154" t="s">
        <v>32</v>
      </c>
      <c r="E42" s="184"/>
      <c r="F42" s="183">
        <v>5</v>
      </c>
      <c r="G42" s="183">
        <v>4</v>
      </c>
      <c r="H42" s="183">
        <v>3</v>
      </c>
      <c r="I42" s="183">
        <v>3</v>
      </c>
      <c r="J42" s="183">
        <v>4</v>
      </c>
      <c r="K42" s="184"/>
      <c r="L42" s="183">
        <v>5</v>
      </c>
      <c r="M42" s="184"/>
      <c r="N42" s="183">
        <v>1</v>
      </c>
      <c r="O42" s="183">
        <v>1</v>
      </c>
      <c r="P42" s="184"/>
      <c r="Q42" s="183">
        <v>4</v>
      </c>
      <c r="R42" s="183" t="s">
        <v>311</v>
      </c>
      <c r="S42" s="183">
        <v>0</v>
      </c>
      <c r="T42" s="183">
        <v>4</v>
      </c>
      <c r="U42" s="184"/>
      <c r="V42" s="183">
        <v>2</v>
      </c>
      <c r="W42" s="184"/>
      <c r="X42" s="183">
        <v>1</v>
      </c>
      <c r="Y42" s="184"/>
      <c r="Z42" s="183">
        <v>3</v>
      </c>
      <c r="AA42" s="183">
        <v>3</v>
      </c>
      <c r="AB42" s="183">
        <v>2</v>
      </c>
      <c r="AC42" s="184"/>
      <c r="AD42" s="183">
        <v>3</v>
      </c>
      <c r="AE42" s="183">
        <v>3</v>
      </c>
      <c r="AF42" s="184"/>
      <c r="AG42" s="183">
        <v>3</v>
      </c>
    </row>
    <row r="43" spans="1:33" s="167" customFormat="1" ht="40.5" customHeight="1" x14ac:dyDescent="0.25">
      <c r="A43" s="198" t="s">
        <v>380</v>
      </c>
      <c r="B43" s="198" t="s">
        <v>12</v>
      </c>
      <c r="C43" s="153" t="s">
        <v>697</v>
      </c>
      <c r="D43" s="154" t="s">
        <v>32</v>
      </c>
      <c r="E43" s="184"/>
      <c r="F43" s="183">
        <v>5</v>
      </c>
      <c r="G43" s="183">
        <v>3</v>
      </c>
      <c r="H43" s="183">
        <v>3</v>
      </c>
      <c r="I43" s="183">
        <v>3</v>
      </c>
      <c r="J43" s="183">
        <v>5</v>
      </c>
      <c r="K43" s="184"/>
      <c r="L43" s="183">
        <v>5</v>
      </c>
      <c r="M43" s="184"/>
      <c r="N43" s="183">
        <v>1</v>
      </c>
      <c r="O43" s="183">
        <v>1</v>
      </c>
      <c r="P43" s="184"/>
      <c r="Q43" s="183">
        <v>4</v>
      </c>
      <c r="R43" s="183" t="s">
        <v>311</v>
      </c>
      <c r="S43" s="183">
        <v>0</v>
      </c>
      <c r="T43" s="183">
        <v>4</v>
      </c>
      <c r="U43" s="184"/>
      <c r="V43" s="183">
        <v>2</v>
      </c>
      <c r="W43" s="184"/>
      <c r="X43" s="183">
        <v>2</v>
      </c>
      <c r="Y43" s="184"/>
      <c r="Z43" s="183">
        <v>4</v>
      </c>
      <c r="AA43" s="183">
        <v>3</v>
      </c>
      <c r="AB43" s="183">
        <v>3</v>
      </c>
      <c r="AC43" s="184"/>
      <c r="AD43" s="183">
        <v>5</v>
      </c>
      <c r="AE43" s="183">
        <v>5</v>
      </c>
      <c r="AF43" s="184"/>
      <c r="AG43" s="183">
        <v>3</v>
      </c>
    </row>
    <row r="44" spans="1:33" s="167" customFormat="1" ht="39" customHeight="1" x14ac:dyDescent="0.25">
      <c r="A44" s="198" t="s">
        <v>380</v>
      </c>
      <c r="B44" s="198" t="s">
        <v>13</v>
      </c>
      <c r="C44" s="153" t="s">
        <v>698</v>
      </c>
      <c r="D44" s="154" t="s">
        <v>32</v>
      </c>
      <c r="E44" s="184"/>
      <c r="F44" s="183">
        <v>5</v>
      </c>
      <c r="G44" s="183">
        <v>4</v>
      </c>
      <c r="H44" s="183">
        <v>3</v>
      </c>
      <c r="I44" s="183">
        <v>3</v>
      </c>
      <c r="J44" s="183">
        <v>5</v>
      </c>
      <c r="K44" s="184"/>
      <c r="L44" s="183">
        <v>5</v>
      </c>
      <c r="M44" s="184"/>
      <c r="N44" s="183">
        <v>1</v>
      </c>
      <c r="O44" s="183">
        <v>1</v>
      </c>
      <c r="P44" s="184"/>
      <c r="Q44" s="183">
        <v>4</v>
      </c>
      <c r="R44" s="183" t="s">
        <v>311</v>
      </c>
      <c r="S44" s="183">
        <v>0</v>
      </c>
      <c r="T44" s="183">
        <v>4</v>
      </c>
      <c r="U44" s="184"/>
      <c r="V44" s="183">
        <v>2</v>
      </c>
      <c r="W44" s="184"/>
      <c r="X44" s="183">
        <v>1</v>
      </c>
      <c r="Y44" s="184"/>
      <c r="Z44" s="183">
        <v>3</v>
      </c>
      <c r="AA44" s="183">
        <v>4</v>
      </c>
      <c r="AB44" s="183">
        <v>3</v>
      </c>
      <c r="AC44" s="184"/>
      <c r="AD44" s="183">
        <v>3</v>
      </c>
      <c r="AE44" s="183">
        <v>2</v>
      </c>
      <c r="AF44" s="184"/>
      <c r="AG44" s="183">
        <v>3</v>
      </c>
    </row>
    <row r="45" spans="1:33" s="167" customFormat="1" ht="40.5" customHeight="1" x14ac:dyDescent="0.25">
      <c r="A45" s="198" t="s">
        <v>380</v>
      </c>
      <c r="B45" s="198" t="s">
        <v>14</v>
      </c>
      <c r="C45" s="153" t="s">
        <v>699</v>
      </c>
      <c r="D45" s="154" t="s">
        <v>32</v>
      </c>
      <c r="E45" s="184"/>
      <c r="F45" s="183">
        <v>3</v>
      </c>
      <c r="G45" s="183">
        <v>2</v>
      </c>
      <c r="H45" s="183">
        <v>3</v>
      </c>
      <c r="I45" s="183">
        <v>3</v>
      </c>
      <c r="J45" s="183">
        <v>3</v>
      </c>
      <c r="K45" s="184"/>
      <c r="L45" s="183">
        <v>3</v>
      </c>
      <c r="M45" s="184"/>
      <c r="N45" s="183">
        <v>3</v>
      </c>
      <c r="O45" s="183">
        <v>3</v>
      </c>
      <c r="P45" s="184"/>
      <c r="Q45" s="183">
        <v>3</v>
      </c>
      <c r="R45" s="183">
        <v>4</v>
      </c>
      <c r="S45" s="183">
        <v>0</v>
      </c>
      <c r="T45" s="183">
        <v>3</v>
      </c>
      <c r="U45" s="184"/>
      <c r="V45" s="183">
        <v>2</v>
      </c>
      <c r="W45" s="184"/>
      <c r="X45" s="183">
        <v>2</v>
      </c>
      <c r="Y45" s="184"/>
      <c r="Z45" s="183">
        <v>4</v>
      </c>
      <c r="AA45" s="183">
        <v>3</v>
      </c>
      <c r="AB45" s="183">
        <v>3</v>
      </c>
      <c r="AC45" s="184"/>
      <c r="AD45" s="183">
        <v>4</v>
      </c>
      <c r="AE45" s="183">
        <v>4</v>
      </c>
      <c r="AF45" s="184"/>
      <c r="AG45" s="183">
        <v>3</v>
      </c>
    </row>
    <row r="46" spans="1:33" s="199" customFormat="1" ht="40.5" customHeight="1" x14ac:dyDescent="0.25">
      <c r="A46" s="198" t="s">
        <v>380</v>
      </c>
      <c r="B46" s="198" t="s">
        <v>15</v>
      </c>
      <c r="C46" s="153" t="s">
        <v>700</v>
      </c>
      <c r="D46" s="154" t="s">
        <v>32</v>
      </c>
      <c r="E46" s="184"/>
      <c r="F46" s="183">
        <v>5</v>
      </c>
      <c r="G46" s="183">
        <v>4</v>
      </c>
      <c r="H46" s="183">
        <v>3</v>
      </c>
      <c r="I46" s="183">
        <v>3</v>
      </c>
      <c r="J46" s="183">
        <v>3</v>
      </c>
      <c r="K46" s="184"/>
      <c r="L46" s="183">
        <v>5</v>
      </c>
      <c r="M46" s="184"/>
      <c r="N46" s="183">
        <v>1</v>
      </c>
      <c r="O46" s="183">
        <v>1</v>
      </c>
      <c r="P46" s="184"/>
      <c r="Q46" s="183">
        <v>4</v>
      </c>
      <c r="R46" s="183" t="s">
        <v>311</v>
      </c>
      <c r="S46" s="183">
        <v>0</v>
      </c>
      <c r="T46" s="183">
        <v>4</v>
      </c>
      <c r="U46" s="184"/>
      <c r="V46" s="183">
        <v>2</v>
      </c>
      <c r="W46" s="184"/>
      <c r="X46" s="183">
        <v>1</v>
      </c>
      <c r="Y46" s="184"/>
      <c r="Z46" s="183">
        <v>3</v>
      </c>
      <c r="AA46" s="183">
        <v>3</v>
      </c>
      <c r="AB46" s="183">
        <v>3</v>
      </c>
      <c r="AC46" s="184"/>
      <c r="AD46" s="183">
        <v>5</v>
      </c>
      <c r="AE46" s="183">
        <v>5</v>
      </c>
      <c r="AF46" s="184"/>
      <c r="AG46" s="183">
        <v>3</v>
      </c>
    </row>
    <row r="47" spans="1:33" s="199" customFormat="1" ht="40.5" customHeight="1" x14ac:dyDescent="0.25">
      <c r="A47" s="198" t="s">
        <v>380</v>
      </c>
      <c r="B47" s="198" t="s">
        <v>16</v>
      </c>
      <c r="C47" s="153" t="s">
        <v>701</v>
      </c>
      <c r="D47" s="154" t="s">
        <v>32</v>
      </c>
      <c r="E47" s="184"/>
      <c r="F47" s="183">
        <v>3</v>
      </c>
      <c r="G47" s="183">
        <v>3</v>
      </c>
      <c r="H47" s="183">
        <v>3</v>
      </c>
      <c r="I47" s="183">
        <v>2</v>
      </c>
      <c r="J47" s="183">
        <v>4</v>
      </c>
      <c r="K47" s="184"/>
      <c r="L47" s="183">
        <v>4</v>
      </c>
      <c r="M47" s="184"/>
      <c r="N47" s="183">
        <v>3</v>
      </c>
      <c r="O47" s="183">
        <v>3</v>
      </c>
      <c r="P47" s="184"/>
      <c r="Q47" s="183">
        <v>3</v>
      </c>
      <c r="R47" s="183">
        <v>4</v>
      </c>
      <c r="S47" s="183">
        <v>0</v>
      </c>
      <c r="T47" s="183">
        <v>4</v>
      </c>
      <c r="U47" s="184"/>
      <c r="V47" s="183">
        <v>4</v>
      </c>
      <c r="W47" s="184"/>
      <c r="X47" s="183">
        <v>4</v>
      </c>
      <c r="Y47" s="184"/>
      <c r="Z47" s="183">
        <v>3</v>
      </c>
      <c r="AA47" s="183">
        <v>3</v>
      </c>
      <c r="AB47" s="183">
        <v>3</v>
      </c>
      <c r="AC47" s="184"/>
      <c r="AD47" s="183">
        <v>4</v>
      </c>
      <c r="AE47" s="183">
        <v>4</v>
      </c>
      <c r="AF47" s="184"/>
      <c r="AG47" s="183">
        <v>3</v>
      </c>
    </row>
    <row r="48" spans="1:33" s="199" customFormat="1" ht="39" customHeight="1" x14ac:dyDescent="0.25">
      <c r="A48" s="198" t="s">
        <v>380</v>
      </c>
      <c r="B48" s="198" t="s">
        <v>17</v>
      </c>
      <c r="C48" s="153" t="s">
        <v>702</v>
      </c>
      <c r="D48" s="154" t="s">
        <v>32</v>
      </c>
      <c r="E48" s="184"/>
      <c r="F48" s="183">
        <v>3</v>
      </c>
      <c r="G48" s="183">
        <v>3</v>
      </c>
      <c r="H48" s="183">
        <v>3</v>
      </c>
      <c r="I48" s="183">
        <v>3</v>
      </c>
      <c r="J48" s="183">
        <v>3</v>
      </c>
      <c r="K48" s="184"/>
      <c r="L48" s="183">
        <v>3</v>
      </c>
      <c r="M48" s="184"/>
      <c r="N48" s="183">
        <v>3</v>
      </c>
      <c r="O48" s="183">
        <v>3</v>
      </c>
      <c r="P48" s="184"/>
      <c r="Q48" s="183">
        <v>2</v>
      </c>
      <c r="R48" s="183">
        <v>3</v>
      </c>
      <c r="S48" s="183">
        <v>0</v>
      </c>
      <c r="T48" s="183">
        <v>3</v>
      </c>
      <c r="U48" s="184"/>
      <c r="V48" s="183">
        <v>4</v>
      </c>
      <c r="W48" s="184"/>
      <c r="X48" s="183">
        <v>2</v>
      </c>
      <c r="Y48" s="184"/>
      <c r="Z48" s="183">
        <v>4</v>
      </c>
      <c r="AA48" s="183">
        <v>4</v>
      </c>
      <c r="AB48" s="183">
        <v>3</v>
      </c>
      <c r="AC48" s="184"/>
      <c r="AD48" s="183">
        <v>4</v>
      </c>
      <c r="AE48" s="183">
        <v>4</v>
      </c>
      <c r="AF48" s="184"/>
      <c r="AG48" s="183">
        <v>4</v>
      </c>
    </row>
    <row r="49" spans="1:33" s="167" customFormat="1" ht="40.5" customHeight="1" x14ac:dyDescent="0.25">
      <c r="A49" s="198" t="s">
        <v>381</v>
      </c>
      <c r="B49" s="198" t="s">
        <v>7</v>
      </c>
      <c r="C49" s="153" t="s">
        <v>689</v>
      </c>
      <c r="D49" s="154" t="s">
        <v>32</v>
      </c>
      <c r="E49" s="184"/>
      <c r="F49" s="183">
        <v>4</v>
      </c>
      <c r="G49" s="183">
        <v>5</v>
      </c>
      <c r="H49" s="183">
        <v>5</v>
      </c>
      <c r="I49" s="183">
        <v>4</v>
      </c>
      <c r="J49" s="183">
        <v>4</v>
      </c>
      <c r="K49" s="184"/>
      <c r="L49" s="183">
        <v>5</v>
      </c>
      <c r="M49" s="184"/>
      <c r="N49" s="183">
        <v>3</v>
      </c>
      <c r="O49" s="183">
        <v>3</v>
      </c>
      <c r="P49" s="184"/>
      <c r="Q49" s="183">
        <v>5</v>
      </c>
      <c r="R49" s="183" t="s">
        <v>311</v>
      </c>
      <c r="S49" s="183">
        <v>0</v>
      </c>
      <c r="T49" s="183">
        <v>2</v>
      </c>
      <c r="U49" s="184"/>
      <c r="V49" s="183">
        <v>4</v>
      </c>
      <c r="W49" s="184"/>
      <c r="X49" s="183">
        <v>2</v>
      </c>
      <c r="Y49" s="184"/>
      <c r="Z49" s="183">
        <v>1</v>
      </c>
      <c r="AA49" s="183">
        <v>3</v>
      </c>
      <c r="AB49" s="183">
        <v>3</v>
      </c>
      <c r="AC49" s="184"/>
      <c r="AD49" s="183">
        <v>4</v>
      </c>
      <c r="AE49" s="183">
        <v>4</v>
      </c>
      <c r="AF49" s="184"/>
      <c r="AG49" s="183">
        <v>4</v>
      </c>
    </row>
    <row r="50" spans="1:33" s="167" customFormat="1" ht="40.5" customHeight="1" x14ac:dyDescent="0.25">
      <c r="A50" s="198" t="s">
        <v>381</v>
      </c>
      <c r="B50" s="198" t="s">
        <v>376</v>
      </c>
      <c r="C50" s="153" t="s">
        <v>690</v>
      </c>
      <c r="D50" s="154" t="s">
        <v>32</v>
      </c>
      <c r="E50" s="184"/>
      <c r="F50" s="183">
        <v>1</v>
      </c>
      <c r="G50" s="183">
        <v>1</v>
      </c>
      <c r="H50" s="183">
        <v>3</v>
      </c>
      <c r="I50" s="183">
        <v>2</v>
      </c>
      <c r="J50" s="183">
        <v>4</v>
      </c>
      <c r="K50" s="184"/>
      <c r="L50" s="183">
        <v>4</v>
      </c>
      <c r="M50" s="184"/>
      <c r="N50" s="183">
        <v>5</v>
      </c>
      <c r="O50" s="183">
        <v>5</v>
      </c>
      <c r="P50" s="184"/>
      <c r="Q50" s="183">
        <v>2</v>
      </c>
      <c r="R50" s="183">
        <v>1</v>
      </c>
      <c r="S50" s="183">
        <v>0</v>
      </c>
      <c r="T50" s="183">
        <v>4</v>
      </c>
      <c r="U50" s="184"/>
      <c r="V50" s="183">
        <v>2</v>
      </c>
      <c r="W50" s="184"/>
      <c r="X50" s="183">
        <v>4</v>
      </c>
      <c r="Y50" s="184"/>
      <c r="Z50" s="183">
        <v>3</v>
      </c>
      <c r="AA50" s="183">
        <v>3</v>
      </c>
      <c r="AB50" s="183">
        <v>3</v>
      </c>
      <c r="AC50" s="184"/>
      <c r="AD50" s="183">
        <v>4</v>
      </c>
      <c r="AE50" s="183">
        <v>4</v>
      </c>
      <c r="AF50" s="184"/>
      <c r="AG50" s="183">
        <v>3</v>
      </c>
    </row>
    <row r="51" spans="1:33" s="167" customFormat="1" ht="40.5" customHeight="1" x14ac:dyDescent="0.25">
      <c r="A51" s="198" t="s">
        <v>381</v>
      </c>
      <c r="B51" s="198" t="s">
        <v>377</v>
      </c>
      <c r="C51" s="153" t="s">
        <v>691</v>
      </c>
      <c r="D51" s="154" t="s">
        <v>32</v>
      </c>
      <c r="E51" s="184"/>
      <c r="F51" s="183">
        <v>4</v>
      </c>
      <c r="G51" s="183">
        <v>4</v>
      </c>
      <c r="H51" s="183">
        <v>3</v>
      </c>
      <c r="I51" s="183">
        <v>3</v>
      </c>
      <c r="J51" s="183">
        <v>5</v>
      </c>
      <c r="K51" s="184"/>
      <c r="L51" s="183">
        <v>5</v>
      </c>
      <c r="M51" s="184"/>
      <c r="N51" s="183">
        <v>3</v>
      </c>
      <c r="O51" s="183">
        <v>5</v>
      </c>
      <c r="P51" s="184"/>
      <c r="Q51" s="183">
        <v>3</v>
      </c>
      <c r="R51" s="183">
        <v>4</v>
      </c>
      <c r="S51" s="183">
        <v>0</v>
      </c>
      <c r="T51" s="183">
        <v>1</v>
      </c>
      <c r="U51" s="184"/>
      <c r="V51" s="183">
        <v>2</v>
      </c>
      <c r="W51" s="184"/>
      <c r="X51" s="183">
        <v>4</v>
      </c>
      <c r="Y51" s="184"/>
      <c r="Z51" s="183">
        <v>3</v>
      </c>
      <c r="AA51" s="183">
        <v>3</v>
      </c>
      <c r="AB51" s="183">
        <v>3</v>
      </c>
      <c r="AC51" s="184"/>
      <c r="AD51" s="183">
        <v>3</v>
      </c>
      <c r="AE51" s="183">
        <v>3</v>
      </c>
      <c r="AF51" s="184"/>
      <c r="AG51" s="183">
        <v>3</v>
      </c>
    </row>
    <row r="52" spans="1:33" s="167" customFormat="1" ht="39" customHeight="1" x14ac:dyDescent="0.25">
      <c r="A52" s="198" t="s">
        <v>381</v>
      </c>
      <c r="B52" s="198" t="s">
        <v>8</v>
      </c>
      <c r="C52" s="153" t="s">
        <v>692</v>
      </c>
      <c r="D52" s="154" t="s">
        <v>32</v>
      </c>
      <c r="E52" s="184"/>
      <c r="F52" s="183">
        <v>5</v>
      </c>
      <c r="G52" s="183">
        <v>5</v>
      </c>
      <c r="H52" s="183">
        <v>3</v>
      </c>
      <c r="I52" s="183">
        <v>2</v>
      </c>
      <c r="J52" s="183">
        <v>2</v>
      </c>
      <c r="K52" s="184"/>
      <c r="L52" s="183">
        <v>5</v>
      </c>
      <c r="M52" s="184"/>
      <c r="N52" s="183">
        <v>5</v>
      </c>
      <c r="O52" s="183">
        <v>5</v>
      </c>
      <c r="P52" s="184"/>
      <c r="Q52" s="183">
        <v>2</v>
      </c>
      <c r="R52" s="183">
        <v>1</v>
      </c>
      <c r="S52" s="183">
        <v>0</v>
      </c>
      <c r="T52" s="183">
        <v>3</v>
      </c>
      <c r="U52" s="184"/>
      <c r="V52" s="183">
        <v>4</v>
      </c>
      <c r="W52" s="184"/>
      <c r="X52" s="183">
        <v>2</v>
      </c>
      <c r="Y52" s="184"/>
      <c r="Z52" s="183">
        <v>4</v>
      </c>
      <c r="AA52" s="183">
        <v>4</v>
      </c>
      <c r="AB52" s="183">
        <v>3</v>
      </c>
      <c r="AC52" s="184"/>
      <c r="AD52" s="183">
        <v>5</v>
      </c>
      <c r="AE52" s="183">
        <v>5</v>
      </c>
      <c r="AF52" s="184"/>
      <c r="AG52" s="183">
        <v>3</v>
      </c>
    </row>
    <row r="53" spans="1:33" s="167" customFormat="1" ht="40.5" customHeight="1" x14ac:dyDescent="0.25">
      <c r="A53" s="198" t="s">
        <v>381</v>
      </c>
      <c r="B53" s="198" t="s">
        <v>9</v>
      </c>
      <c r="C53" s="153" t="s">
        <v>693</v>
      </c>
      <c r="D53" s="154" t="s">
        <v>32</v>
      </c>
      <c r="E53" s="184"/>
      <c r="F53" s="183">
        <v>5</v>
      </c>
      <c r="G53" s="183">
        <v>4</v>
      </c>
      <c r="H53" s="183">
        <v>4</v>
      </c>
      <c r="I53" s="183">
        <v>4</v>
      </c>
      <c r="J53" s="183">
        <v>5</v>
      </c>
      <c r="K53" s="184"/>
      <c r="L53" s="183">
        <v>5</v>
      </c>
      <c r="M53" s="184"/>
      <c r="N53" s="183">
        <v>1</v>
      </c>
      <c r="O53" s="183">
        <v>1</v>
      </c>
      <c r="P53" s="184"/>
      <c r="Q53" s="183">
        <v>4</v>
      </c>
      <c r="R53" s="183" t="s">
        <v>311</v>
      </c>
      <c r="S53" s="183">
        <v>0</v>
      </c>
      <c r="T53" s="183">
        <v>4</v>
      </c>
      <c r="U53" s="184"/>
      <c r="V53" s="183">
        <v>4</v>
      </c>
      <c r="W53" s="184"/>
      <c r="X53" s="183">
        <v>2</v>
      </c>
      <c r="Y53" s="184"/>
      <c r="Z53" s="183">
        <v>4</v>
      </c>
      <c r="AA53" s="183">
        <v>3</v>
      </c>
      <c r="AB53" s="183">
        <v>3</v>
      </c>
      <c r="AC53" s="184"/>
      <c r="AD53" s="183">
        <v>5</v>
      </c>
      <c r="AE53" s="183">
        <v>5</v>
      </c>
      <c r="AF53" s="184"/>
      <c r="AG53" s="183">
        <v>3</v>
      </c>
    </row>
    <row r="54" spans="1:33" s="167" customFormat="1" ht="40.5" customHeight="1" x14ac:dyDescent="0.25">
      <c r="A54" s="198" t="s">
        <v>381</v>
      </c>
      <c r="B54" s="198" t="s">
        <v>10</v>
      </c>
      <c r="C54" s="153" t="s">
        <v>694</v>
      </c>
      <c r="D54" s="154" t="s">
        <v>32</v>
      </c>
      <c r="E54" s="184"/>
      <c r="F54" s="183">
        <v>1</v>
      </c>
      <c r="G54" s="183">
        <v>1</v>
      </c>
      <c r="H54" s="183">
        <v>3</v>
      </c>
      <c r="I54" s="183">
        <v>4</v>
      </c>
      <c r="J54" s="183">
        <v>5</v>
      </c>
      <c r="K54" s="184"/>
      <c r="L54" s="183">
        <v>5</v>
      </c>
      <c r="M54" s="184"/>
      <c r="N54" s="183">
        <v>1</v>
      </c>
      <c r="O54" s="183">
        <v>5</v>
      </c>
      <c r="P54" s="184"/>
      <c r="Q54" s="183">
        <v>3</v>
      </c>
      <c r="R54" s="183">
        <v>4</v>
      </c>
      <c r="S54" s="183">
        <v>0</v>
      </c>
      <c r="T54" s="183">
        <v>3</v>
      </c>
      <c r="U54" s="184"/>
      <c r="V54" s="183">
        <v>3</v>
      </c>
      <c r="W54" s="184"/>
      <c r="X54" s="183">
        <v>5</v>
      </c>
      <c r="Y54" s="184"/>
      <c r="Z54" s="183">
        <v>3</v>
      </c>
      <c r="AA54" s="183">
        <v>3</v>
      </c>
      <c r="AB54" s="183">
        <v>3</v>
      </c>
      <c r="AC54" s="184"/>
      <c r="AD54" s="183">
        <v>2</v>
      </c>
      <c r="AE54" s="183">
        <v>3</v>
      </c>
      <c r="AF54" s="184"/>
      <c r="AG54" s="183">
        <v>3</v>
      </c>
    </row>
    <row r="55" spans="1:33" s="167" customFormat="1" ht="40.5" customHeight="1" x14ac:dyDescent="0.25">
      <c r="A55" s="198" t="s">
        <v>381</v>
      </c>
      <c r="B55" s="198" t="s">
        <v>378</v>
      </c>
      <c r="C55" s="153" t="s">
        <v>695</v>
      </c>
      <c r="D55" s="154" t="s">
        <v>32</v>
      </c>
      <c r="E55" s="184"/>
      <c r="F55" s="183">
        <v>1</v>
      </c>
      <c r="G55" s="183" t="s">
        <v>311</v>
      </c>
      <c r="H55" s="183">
        <v>3</v>
      </c>
      <c r="I55" s="183">
        <v>4</v>
      </c>
      <c r="J55" s="183">
        <v>5</v>
      </c>
      <c r="K55" s="184"/>
      <c r="L55" s="183">
        <v>5</v>
      </c>
      <c r="M55" s="184"/>
      <c r="N55" s="183">
        <v>3</v>
      </c>
      <c r="O55" s="183">
        <v>3</v>
      </c>
      <c r="P55" s="184"/>
      <c r="Q55" s="183">
        <v>4</v>
      </c>
      <c r="R55" s="183" t="s">
        <v>311</v>
      </c>
      <c r="S55" s="183">
        <v>0</v>
      </c>
      <c r="T55" s="183">
        <v>3</v>
      </c>
      <c r="U55" s="184"/>
      <c r="V55" s="183">
        <v>4</v>
      </c>
      <c r="W55" s="184"/>
      <c r="X55" s="183">
        <v>2</v>
      </c>
      <c r="Y55" s="184"/>
      <c r="Z55" s="183">
        <v>2</v>
      </c>
      <c r="AA55" s="183">
        <v>4</v>
      </c>
      <c r="AB55" s="183">
        <v>4</v>
      </c>
      <c r="AC55" s="184"/>
      <c r="AD55" s="183">
        <v>3</v>
      </c>
      <c r="AE55" s="183">
        <v>3</v>
      </c>
      <c r="AF55" s="184"/>
      <c r="AG55" s="183">
        <v>3</v>
      </c>
    </row>
    <row r="56" spans="1:33" s="167" customFormat="1" ht="40.5" customHeight="1" x14ac:dyDescent="0.25">
      <c r="A56" s="198" t="s">
        <v>381</v>
      </c>
      <c r="B56" s="198" t="s">
        <v>11</v>
      </c>
      <c r="C56" s="153" t="s">
        <v>696</v>
      </c>
      <c r="D56" s="154" t="s">
        <v>32</v>
      </c>
      <c r="E56" s="184"/>
      <c r="F56" s="183">
        <v>5</v>
      </c>
      <c r="G56" s="183">
        <v>4</v>
      </c>
      <c r="H56" s="183">
        <v>4</v>
      </c>
      <c r="I56" s="183">
        <v>3</v>
      </c>
      <c r="J56" s="183">
        <v>5</v>
      </c>
      <c r="K56" s="184"/>
      <c r="L56" s="183">
        <v>5</v>
      </c>
      <c r="M56" s="184"/>
      <c r="N56" s="183">
        <v>1</v>
      </c>
      <c r="O56" s="183">
        <v>1</v>
      </c>
      <c r="P56" s="184"/>
      <c r="Q56" s="183">
        <v>2</v>
      </c>
      <c r="R56" s="183" t="s">
        <v>311</v>
      </c>
      <c r="S56" s="183">
        <v>0</v>
      </c>
      <c r="T56" s="183">
        <v>5</v>
      </c>
      <c r="U56" s="184"/>
      <c r="V56" s="183">
        <v>4</v>
      </c>
      <c r="W56" s="184"/>
      <c r="X56" s="183">
        <v>1</v>
      </c>
      <c r="Y56" s="184"/>
      <c r="Z56" s="183">
        <v>4</v>
      </c>
      <c r="AA56" s="183">
        <v>5</v>
      </c>
      <c r="AB56" s="183">
        <v>3</v>
      </c>
      <c r="AC56" s="184"/>
      <c r="AD56" s="183">
        <v>5</v>
      </c>
      <c r="AE56" s="183">
        <v>3</v>
      </c>
      <c r="AF56" s="184"/>
      <c r="AG56" s="183">
        <v>3</v>
      </c>
    </row>
    <row r="57" spans="1:33" s="167" customFormat="1" ht="40.5" customHeight="1" x14ac:dyDescent="0.25">
      <c r="A57" s="198" t="s">
        <v>381</v>
      </c>
      <c r="B57" s="198" t="s">
        <v>12</v>
      </c>
      <c r="C57" s="153" t="s">
        <v>697</v>
      </c>
      <c r="D57" s="154" t="s">
        <v>32</v>
      </c>
      <c r="E57" s="184"/>
      <c r="F57" s="183">
        <v>5</v>
      </c>
      <c r="G57" s="183">
        <v>4</v>
      </c>
      <c r="H57" s="183">
        <v>4</v>
      </c>
      <c r="I57" s="183">
        <v>4</v>
      </c>
      <c r="J57" s="183">
        <v>3</v>
      </c>
      <c r="K57" s="184"/>
      <c r="L57" s="183">
        <v>4</v>
      </c>
      <c r="M57" s="184"/>
      <c r="N57" s="183">
        <v>3</v>
      </c>
      <c r="O57" s="183">
        <v>3</v>
      </c>
      <c r="P57" s="184"/>
      <c r="Q57" s="183">
        <v>2</v>
      </c>
      <c r="R57" s="183">
        <v>4</v>
      </c>
      <c r="S57" s="183">
        <v>0</v>
      </c>
      <c r="T57" s="183">
        <v>3</v>
      </c>
      <c r="U57" s="184"/>
      <c r="V57" s="183">
        <v>4</v>
      </c>
      <c r="W57" s="184"/>
      <c r="X57" s="183">
        <v>2</v>
      </c>
      <c r="Y57" s="184"/>
      <c r="Z57" s="183">
        <v>4</v>
      </c>
      <c r="AA57" s="183">
        <v>5</v>
      </c>
      <c r="AB57" s="183">
        <v>3</v>
      </c>
      <c r="AC57" s="184"/>
      <c r="AD57" s="183">
        <v>5</v>
      </c>
      <c r="AE57" s="183">
        <v>3</v>
      </c>
      <c r="AF57" s="184"/>
      <c r="AG57" s="183">
        <v>4</v>
      </c>
    </row>
    <row r="58" spans="1:33" s="167" customFormat="1" ht="40.5" customHeight="1" x14ac:dyDescent="0.25">
      <c r="A58" s="198" t="s">
        <v>381</v>
      </c>
      <c r="B58" s="198" t="s">
        <v>13</v>
      </c>
      <c r="C58" s="153" t="s">
        <v>698</v>
      </c>
      <c r="D58" s="154" t="s">
        <v>32</v>
      </c>
      <c r="E58" s="184"/>
      <c r="F58" s="183">
        <v>5</v>
      </c>
      <c r="G58" s="183">
        <v>5</v>
      </c>
      <c r="H58" s="183">
        <v>5</v>
      </c>
      <c r="I58" s="183">
        <v>4</v>
      </c>
      <c r="J58" s="183">
        <v>3</v>
      </c>
      <c r="K58" s="184"/>
      <c r="L58" s="183">
        <v>5</v>
      </c>
      <c r="M58" s="184"/>
      <c r="N58" s="183">
        <v>3</v>
      </c>
      <c r="O58" s="183">
        <v>1</v>
      </c>
      <c r="P58" s="184"/>
      <c r="Q58" s="183">
        <v>3</v>
      </c>
      <c r="R58" s="183" t="s">
        <v>311</v>
      </c>
      <c r="S58" s="183">
        <v>0</v>
      </c>
      <c r="T58" s="183">
        <v>2</v>
      </c>
      <c r="U58" s="184"/>
      <c r="V58" s="183">
        <v>4</v>
      </c>
      <c r="W58" s="184"/>
      <c r="X58" s="183">
        <v>2</v>
      </c>
      <c r="Y58" s="184"/>
      <c r="Z58" s="183">
        <v>2</v>
      </c>
      <c r="AA58" s="183">
        <v>5</v>
      </c>
      <c r="AB58" s="183">
        <v>3</v>
      </c>
      <c r="AC58" s="184"/>
      <c r="AD58" s="183">
        <v>3</v>
      </c>
      <c r="AE58" s="183">
        <v>3</v>
      </c>
      <c r="AF58" s="184"/>
      <c r="AG58" s="183">
        <v>3</v>
      </c>
    </row>
    <row r="59" spans="1:33" s="167" customFormat="1" ht="40.5" customHeight="1" x14ac:dyDescent="0.25">
      <c r="A59" s="198" t="s">
        <v>381</v>
      </c>
      <c r="B59" s="198" t="s">
        <v>14</v>
      </c>
      <c r="C59" s="153" t="s">
        <v>699</v>
      </c>
      <c r="D59" s="154" t="s">
        <v>32</v>
      </c>
      <c r="E59" s="184"/>
      <c r="F59" s="183">
        <v>1</v>
      </c>
      <c r="G59" s="183">
        <v>1</v>
      </c>
      <c r="H59" s="183">
        <v>3</v>
      </c>
      <c r="I59" s="183">
        <v>3</v>
      </c>
      <c r="J59" s="183">
        <v>3</v>
      </c>
      <c r="K59" s="184"/>
      <c r="L59" s="183">
        <v>3</v>
      </c>
      <c r="M59" s="184"/>
      <c r="N59" s="183">
        <v>3</v>
      </c>
      <c r="O59" s="183">
        <v>5</v>
      </c>
      <c r="P59" s="184"/>
      <c r="Q59" s="183">
        <v>2</v>
      </c>
      <c r="R59" s="183">
        <v>4</v>
      </c>
      <c r="S59" s="183">
        <v>0</v>
      </c>
      <c r="T59" s="183">
        <v>4</v>
      </c>
      <c r="U59" s="184"/>
      <c r="V59" s="183">
        <v>4</v>
      </c>
      <c r="W59" s="184"/>
      <c r="X59" s="183">
        <v>4</v>
      </c>
      <c r="Y59" s="184"/>
      <c r="Z59" s="183">
        <v>5</v>
      </c>
      <c r="AA59" s="183">
        <v>5</v>
      </c>
      <c r="AB59" s="183">
        <v>3</v>
      </c>
      <c r="AC59" s="184"/>
      <c r="AD59" s="183">
        <v>5</v>
      </c>
      <c r="AE59" s="183">
        <v>5</v>
      </c>
      <c r="AF59" s="184"/>
      <c r="AG59" s="183">
        <v>4</v>
      </c>
    </row>
    <row r="60" spans="1:33" s="199" customFormat="1" ht="40.5" customHeight="1" x14ac:dyDescent="0.25">
      <c r="A60" s="198" t="s">
        <v>381</v>
      </c>
      <c r="B60" s="198" t="s">
        <v>15</v>
      </c>
      <c r="C60" s="153" t="s">
        <v>700</v>
      </c>
      <c r="D60" s="154" t="s">
        <v>32</v>
      </c>
      <c r="E60" s="184"/>
      <c r="F60" s="183">
        <v>1</v>
      </c>
      <c r="G60" s="183">
        <v>5</v>
      </c>
      <c r="H60" s="183">
        <v>3</v>
      </c>
      <c r="I60" s="183">
        <v>4</v>
      </c>
      <c r="J60" s="183">
        <v>5</v>
      </c>
      <c r="K60" s="184"/>
      <c r="L60" s="183">
        <v>5</v>
      </c>
      <c r="M60" s="184"/>
      <c r="N60" s="183">
        <v>3</v>
      </c>
      <c r="O60" s="183">
        <v>3</v>
      </c>
      <c r="P60" s="184"/>
      <c r="Q60" s="183">
        <v>4</v>
      </c>
      <c r="R60" s="183" t="s">
        <v>311</v>
      </c>
      <c r="S60" s="183">
        <v>0</v>
      </c>
      <c r="T60" s="183">
        <v>3</v>
      </c>
      <c r="U60" s="184"/>
      <c r="V60" s="183">
        <v>4</v>
      </c>
      <c r="W60" s="184"/>
      <c r="X60" s="183">
        <v>2</v>
      </c>
      <c r="Y60" s="184"/>
      <c r="Z60" s="183">
        <v>3</v>
      </c>
      <c r="AA60" s="183">
        <v>3</v>
      </c>
      <c r="AB60" s="183">
        <v>3</v>
      </c>
      <c r="AC60" s="184"/>
      <c r="AD60" s="183">
        <v>5</v>
      </c>
      <c r="AE60" s="183">
        <v>5</v>
      </c>
      <c r="AF60" s="184"/>
      <c r="AG60" s="183">
        <v>3</v>
      </c>
    </row>
    <row r="61" spans="1:33" s="167" customFormat="1" ht="39" customHeight="1" x14ac:dyDescent="0.25">
      <c r="A61" s="198" t="s">
        <v>381</v>
      </c>
      <c r="B61" s="198" t="s">
        <v>16</v>
      </c>
      <c r="C61" s="153" t="s">
        <v>701</v>
      </c>
      <c r="D61" s="154" t="s">
        <v>32</v>
      </c>
      <c r="E61" s="184"/>
      <c r="F61" s="183">
        <v>4</v>
      </c>
      <c r="G61" s="183">
        <v>1</v>
      </c>
      <c r="H61" s="183">
        <v>4</v>
      </c>
      <c r="I61" s="183">
        <v>2</v>
      </c>
      <c r="J61" s="183">
        <v>3</v>
      </c>
      <c r="K61" s="184"/>
      <c r="L61" s="183">
        <v>5</v>
      </c>
      <c r="M61" s="184"/>
      <c r="N61" s="183">
        <v>5</v>
      </c>
      <c r="O61" s="183">
        <v>5</v>
      </c>
      <c r="P61" s="184"/>
      <c r="Q61" s="183">
        <v>1</v>
      </c>
      <c r="R61" s="183">
        <v>1</v>
      </c>
      <c r="S61" s="183">
        <v>0</v>
      </c>
      <c r="T61" s="183">
        <v>4</v>
      </c>
      <c r="U61" s="184"/>
      <c r="V61" s="183">
        <v>4</v>
      </c>
      <c r="W61" s="184"/>
      <c r="X61" s="183">
        <v>4</v>
      </c>
      <c r="Y61" s="184"/>
      <c r="Z61" s="183">
        <v>5</v>
      </c>
      <c r="AA61" s="183">
        <v>5</v>
      </c>
      <c r="AB61" s="183">
        <v>3</v>
      </c>
      <c r="AC61" s="184"/>
      <c r="AD61" s="183">
        <v>5</v>
      </c>
      <c r="AE61" s="183">
        <v>3</v>
      </c>
      <c r="AF61" s="184"/>
      <c r="AG61" s="183">
        <v>3</v>
      </c>
    </row>
    <row r="62" spans="1:33" s="199" customFormat="1" ht="39" customHeight="1" x14ac:dyDescent="0.25">
      <c r="A62" s="198" t="s">
        <v>381</v>
      </c>
      <c r="B62" s="198" t="s">
        <v>17</v>
      </c>
      <c r="C62" s="153" t="s">
        <v>702</v>
      </c>
      <c r="D62" s="154" t="s">
        <v>32</v>
      </c>
      <c r="E62" s="184"/>
      <c r="F62" s="183">
        <v>1</v>
      </c>
      <c r="G62" s="183">
        <v>1</v>
      </c>
      <c r="H62" s="183">
        <v>3</v>
      </c>
      <c r="I62" s="183">
        <v>3</v>
      </c>
      <c r="J62" s="183">
        <v>2</v>
      </c>
      <c r="K62" s="184"/>
      <c r="L62" s="183">
        <v>4</v>
      </c>
      <c r="M62" s="184"/>
      <c r="N62" s="183">
        <v>3</v>
      </c>
      <c r="O62" s="183">
        <v>3</v>
      </c>
      <c r="P62" s="184"/>
      <c r="Q62" s="183">
        <v>2</v>
      </c>
      <c r="R62" s="183">
        <v>4</v>
      </c>
      <c r="S62" s="183">
        <v>0</v>
      </c>
      <c r="T62" s="183">
        <v>5</v>
      </c>
      <c r="U62" s="184"/>
      <c r="V62" s="183">
        <v>4</v>
      </c>
      <c r="W62" s="184"/>
      <c r="X62" s="183">
        <v>2</v>
      </c>
      <c r="Y62" s="184"/>
      <c r="Z62" s="183">
        <v>5</v>
      </c>
      <c r="AA62" s="183">
        <v>5</v>
      </c>
      <c r="AB62" s="183">
        <v>5</v>
      </c>
      <c r="AC62" s="184"/>
      <c r="AD62" s="183">
        <v>5</v>
      </c>
      <c r="AE62" s="183">
        <v>3</v>
      </c>
      <c r="AF62" s="184"/>
      <c r="AG62" s="183">
        <v>5</v>
      </c>
    </row>
    <row r="63" spans="1:33" s="167" customFormat="1" ht="39" customHeight="1" x14ac:dyDescent="0.25">
      <c r="A63" s="198" t="s">
        <v>382</v>
      </c>
      <c r="B63" s="198" t="s">
        <v>7</v>
      </c>
      <c r="C63" s="153" t="s">
        <v>689</v>
      </c>
      <c r="D63" s="154" t="s">
        <v>32</v>
      </c>
      <c r="E63" s="184"/>
      <c r="F63" s="183">
        <v>3</v>
      </c>
      <c r="G63" s="183">
        <v>5</v>
      </c>
      <c r="H63" s="183">
        <v>5</v>
      </c>
      <c r="I63" s="183">
        <v>5</v>
      </c>
      <c r="J63" s="183">
        <v>3</v>
      </c>
      <c r="K63" s="184"/>
      <c r="L63" s="183">
        <v>3</v>
      </c>
      <c r="M63" s="184"/>
      <c r="N63" s="183">
        <v>1</v>
      </c>
      <c r="O63" s="183">
        <v>1</v>
      </c>
      <c r="P63" s="184"/>
      <c r="Q63" s="183">
        <v>2</v>
      </c>
      <c r="R63" s="183" t="s">
        <v>311</v>
      </c>
      <c r="S63" s="183">
        <v>0</v>
      </c>
      <c r="T63" s="183">
        <v>2</v>
      </c>
      <c r="U63" s="184"/>
      <c r="V63" s="183">
        <v>5</v>
      </c>
      <c r="W63" s="184"/>
      <c r="X63" s="183">
        <v>2</v>
      </c>
      <c r="Y63" s="184"/>
      <c r="Z63" s="183">
        <v>2</v>
      </c>
      <c r="AA63" s="183">
        <v>2</v>
      </c>
      <c r="AB63" s="183">
        <v>3</v>
      </c>
      <c r="AC63" s="184"/>
      <c r="AD63" s="183">
        <v>2</v>
      </c>
      <c r="AE63" s="183">
        <v>2</v>
      </c>
      <c r="AF63" s="184"/>
      <c r="AG63" s="183">
        <v>4</v>
      </c>
    </row>
    <row r="64" spans="1:33" s="167" customFormat="1" ht="39" customHeight="1" x14ac:dyDescent="0.25">
      <c r="A64" s="198" t="s">
        <v>382</v>
      </c>
      <c r="B64" s="198" t="s">
        <v>376</v>
      </c>
      <c r="C64" s="153" t="s">
        <v>690</v>
      </c>
      <c r="D64" s="154" t="s">
        <v>32</v>
      </c>
      <c r="E64" s="184"/>
      <c r="F64" s="183">
        <v>3</v>
      </c>
      <c r="G64" s="183">
        <v>4</v>
      </c>
      <c r="H64" s="183">
        <v>3</v>
      </c>
      <c r="I64" s="183">
        <v>3</v>
      </c>
      <c r="J64" s="183">
        <v>3</v>
      </c>
      <c r="K64" s="184"/>
      <c r="L64" s="183">
        <v>3</v>
      </c>
      <c r="M64" s="184"/>
      <c r="N64" s="183">
        <v>5</v>
      </c>
      <c r="O64" s="183">
        <v>5</v>
      </c>
      <c r="P64" s="184"/>
      <c r="Q64" s="183">
        <v>2</v>
      </c>
      <c r="R64" s="183">
        <v>1</v>
      </c>
      <c r="S64" s="183">
        <v>0</v>
      </c>
      <c r="T64" s="183">
        <v>4</v>
      </c>
      <c r="U64" s="184"/>
      <c r="V64" s="183">
        <v>4</v>
      </c>
      <c r="W64" s="184"/>
      <c r="X64" s="183">
        <v>3</v>
      </c>
      <c r="Y64" s="184"/>
      <c r="Z64" s="183">
        <v>2</v>
      </c>
      <c r="AA64" s="183">
        <v>2</v>
      </c>
      <c r="AB64" s="183">
        <v>3</v>
      </c>
      <c r="AC64" s="184"/>
      <c r="AD64" s="183">
        <v>4</v>
      </c>
      <c r="AE64" s="183">
        <v>4</v>
      </c>
      <c r="AF64" s="184"/>
      <c r="AG64" s="183">
        <v>3</v>
      </c>
    </row>
    <row r="65" spans="1:33" s="204" customFormat="1" ht="40.5" customHeight="1" x14ac:dyDescent="0.25">
      <c r="A65" s="198" t="s">
        <v>382</v>
      </c>
      <c r="B65" s="198" t="s">
        <v>377</v>
      </c>
      <c r="C65" s="153" t="s">
        <v>691</v>
      </c>
      <c r="D65" s="154" t="s">
        <v>32</v>
      </c>
      <c r="E65" s="184"/>
      <c r="F65" s="183">
        <v>5</v>
      </c>
      <c r="G65" s="183">
        <v>4</v>
      </c>
      <c r="H65" s="183">
        <v>3</v>
      </c>
      <c r="I65" s="183">
        <v>3</v>
      </c>
      <c r="J65" s="183">
        <v>3</v>
      </c>
      <c r="K65" s="184"/>
      <c r="L65" s="183">
        <v>3</v>
      </c>
      <c r="M65" s="184"/>
      <c r="N65" s="183">
        <v>1</v>
      </c>
      <c r="O65" s="183">
        <v>1</v>
      </c>
      <c r="P65" s="184"/>
      <c r="Q65" s="183">
        <v>4</v>
      </c>
      <c r="R65" s="183" t="s">
        <v>311</v>
      </c>
      <c r="S65" s="183">
        <v>0</v>
      </c>
      <c r="T65" s="183">
        <v>1</v>
      </c>
      <c r="U65" s="184"/>
      <c r="V65" s="183">
        <v>1</v>
      </c>
      <c r="W65" s="184"/>
      <c r="X65" s="183">
        <v>2</v>
      </c>
      <c r="Y65" s="184"/>
      <c r="Z65" s="183">
        <v>3</v>
      </c>
      <c r="AA65" s="183">
        <v>3</v>
      </c>
      <c r="AB65" s="183">
        <v>3</v>
      </c>
      <c r="AC65" s="184"/>
      <c r="AD65" s="183">
        <v>3</v>
      </c>
      <c r="AE65" s="183">
        <v>3</v>
      </c>
      <c r="AF65" s="184"/>
      <c r="AG65" s="183">
        <v>2</v>
      </c>
    </row>
    <row r="66" spans="1:33" s="200" customFormat="1" ht="39" customHeight="1" x14ac:dyDescent="0.25">
      <c r="A66" s="198" t="s">
        <v>382</v>
      </c>
      <c r="B66" s="198" t="s">
        <v>8</v>
      </c>
      <c r="C66" s="153" t="s">
        <v>692</v>
      </c>
      <c r="D66" s="154" t="s">
        <v>32</v>
      </c>
      <c r="E66" s="184"/>
      <c r="F66" s="183">
        <v>5</v>
      </c>
      <c r="G66" s="183">
        <v>4</v>
      </c>
      <c r="H66" s="183">
        <v>3</v>
      </c>
      <c r="I66" s="183">
        <v>3</v>
      </c>
      <c r="J66" s="183">
        <v>3</v>
      </c>
      <c r="K66" s="184"/>
      <c r="L66" s="183">
        <v>4</v>
      </c>
      <c r="M66" s="184"/>
      <c r="N66" s="183">
        <v>3</v>
      </c>
      <c r="O66" s="183">
        <v>3</v>
      </c>
      <c r="P66" s="184"/>
      <c r="Q66" s="183">
        <v>2</v>
      </c>
      <c r="R66" s="183">
        <v>1</v>
      </c>
      <c r="S66" s="183">
        <v>0</v>
      </c>
      <c r="T66" s="183">
        <v>4</v>
      </c>
      <c r="U66" s="184"/>
      <c r="V66" s="183">
        <v>4</v>
      </c>
      <c r="W66" s="184"/>
      <c r="X66" s="183">
        <v>5</v>
      </c>
      <c r="Y66" s="184"/>
      <c r="Z66" s="183">
        <v>3</v>
      </c>
      <c r="AA66" s="183">
        <v>3</v>
      </c>
      <c r="AB66" s="183">
        <v>3</v>
      </c>
      <c r="AC66" s="184"/>
      <c r="AD66" s="183">
        <v>5</v>
      </c>
      <c r="AE66" s="183">
        <v>5</v>
      </c>
      <c r="AF66" s="184"/>
      <c r="AG66" s="183">
        <v>5</v>
      </c>
    </row>
    <row r="67" spans="1:33" s="200" customFormat="1" ht="39" customHeight="1" x14ac:dyDescent="0.25">
      <c r="A67" s="198" t="s">
        <v>382</v>
      </c>
      <c r="B67" s="198" t="s">
        <v>9</v>
      </c>
      <c r="C67" s="153" t="s">
        <v>693</v>
      </c>
      <c r="D67" s="154" t="s">
        <v>32</v>
      </c>
      <c r="E67" s="184"/>
      <c r="F67" s="183">
        <v>5</v>
      </c>
      <c r="G67" s="183">
        <v>4</v>
      </c>
      <c r="H67" s="183">
        <v>3</v>
      </c>
      <c r="I67" s="183">
        <v>3</v>
      </c>
      <c r="J67" s="183">
        <v>3</v>
      </c>
      <c r="K67" s="184"/>
      <c r="L67" s="183">
        <v>5</v>
      </c>
      <c r="M67" s="184"/>
      <c r="N67" s="183">
        <v>3</v>
      </c>
      <c r="O67" s="183">
        <v>3</v>
      </c>
      <c r="P67" s="184"/>
      <c r="Q67" s="183">
        <v>2</v>
      </c>
      <c r="R67" s="183">
        <v>3</v>
      </c>
      <c r="S67" s="183">
        <v>0</v>
      </c>
      <c r="T67" s="183">
        <v>1</v>
      </c>
      <c r="U67" s="184"/>
      <c r="V67" s="183">
        <v>4</v>
      </c>
      <c r="W67" s="184"/>
      <c r="X67" s="183">
        <v>2</v>
      </c>
      <c r="Y67" s="184"/>
      <c r="Z67" s="183">
        <v>3</v>
      </c>
      <c r="AA67" s="183">
        <v>3</v>
      </c>
      <c r="AB67" s="183">
        <v>3</v>
      </c>
      <c r="AC67" s="184"/>
      <c r="AD67" s="183">
        <v>3</v>
      </c>
      <c r="AE67" s="183">
        <v>3</v>
      </c>
      <c r="AF67" s="184"/>
      <c r="AG67" s="183">
        <v>2</v>
      </c>
    </row>
    <row r="68" spans="1:33" s="200" customFormat="1" ht="40.5" customHeight="1" x14ac:dyDescent="0.25">
      <c r="A68" s="198" t="s">
        <v>382</v>
      </c>
      <c r="B68" s="198" t="s">
        <v>10</v>
      </c>
      <c r="C68" s="153" t="s">
        <v>694</v>
      </c>
      <c r="D68" s="154" t="s">
        <v>32</v>
      </c>
      <c r="E68" s="184"/>
      <c r="F68" s="183">
        <v>1</v>
      </c>
      <c r="G68" s="183">
        <v>4</v>
      </c>
      <c r="H68" s="183">
        <v>3</v>
      </c>
      <c r="I68" s="183">
        <v>3</v>
      </c>
      <c r="J68" s="183">
        <v>3</v>
      </c>
      <c r="K68" s="184"/>
      <c r="L68" s="183">
        <v>3</v>
      </c>
      <c r="M68" s="184"/>
      <c r="N68" s="183">
        <v>1</v>
      </c>
      <c r="O68" s="183">
        <v>1</v>
      </c>
      <c r="P68" s="184"/>
      <c r="Q68" s="183">
        <v>5</v>
      </c>
      <c r="R68" s="183" t="s">
        <v>311</v>
      </c>
      <c r="S68" s="183">
        <v>0</v>
      </c>
      <c r="T68" s="183">
        <v>1</v>
      </c>
      <c r="U68" s="184"/>
      <c r="V68" s="183">
        <v>1</v>
      </c>
      <c r="W68" s="184"/>
      <c r="X68" s="183">
        <v>2</v>
      </c>
      <c r="Y68" s="184"/>
      <c r="Z68" s="183">
        <v>3</v>
      </c>
      <c r="AA68" s="183">
        <v>3</v>
      </c>
      <c r="AB68" s="183">
        <v>3</v>
      </c>
      <c r="AC68" s="184"/>
      <c r="AD68" s="183">
        <v>3</v>
      </c>
      <c r="AE68" s="183">
        <v>3</v>
      </c>
      <c r="AF68" s="184"/>
      <c r="AG68" s="183">
        <v>2</v>
      </c>
    </row>
    <row r="69" spans="1:33" s="200" customFormat="1" ht="40.5" customHeight="1" x14ac:dyDescent="0.25">
      <c r="A69" s="198" t="s">
        <v>382</v>
      </c>
      <c r="B69" s="198" t="s">
        <v>378</v>
      </c>
      <c r="C69" s="153" t="s">
        <v>695</v>
      </c>
      <c r="D69" s="154" t="s">
        <v>32</v>
      </c>
      <c r="E69" s="184"/>
      <c r="F69" s="183">
        <v>5</v>
      </c>
      <c r="G69" s="183">
        <v>4</v>
      </c>
      <c r="H69" s="183">
        <v>3</v>
      </c>
      <c r="I69" s="183">
        <v>3</v>
      </c>
      <c r="J69" s="183">
        <v>5</v>
      </c>
      <c r="K69" s="184"/>
      <c r="L69" s="183">
        <v>5</v>
      </c>
      <c r="M69" s="184"/>
      <c r="N69" s="183">
        <v>3</v>
      </c>
      <c r="O69" s="183">
        <v>3</v>
      </c>
      <c r="P69" s="184"/>
      <c r="Q69" s="183">
        <v>3</v>
      </c>
      <c r="R69" s="183">
        <v>3</v>
      </c>
      <c r="S69" s="183">
        <v>0</v>
      </c>
      <c r="T69" s="183">
        <v>1</v>
      </c>
      <c r="U69" s="184"/>
      <c r="V69" s="183">
        <v>4</v>
      </c>
      <c r="W69" s="184"/>
      <c r="X69" s="183">
        <v>4</v>
      </c>
      <c r="Y69" s="184"/>
      <c r="Z69" s="183">
        <v>3</v>
      </c>
      <c r="AA69" s="183">
        <v>3</v>
      </c>
      <c r="AB69" s="183">
        <v>3</v>
      </c>
      <c r="AC69" s="184"/>
      <c r="AD69" s="183">
        <v>5</v>
      </c>
      <c r="AE69" s="183">
        <v>5</v>
      </c>
      <c r="AF69" s="184"/>
      <c r="AG69" s="183">
        <v>4</v>
      </c>
    </row>
    <row r="70" spans="1:33" s="200" customFormat="1" ht="40.5" customHeight="1" x14ac:dyDescent="0.25">
      <c r="A70" s="198" t="s">
        <v>382</v>
      </c>
      <c r="B70" s="198" t="s">
        <v>11</v>
      </c>
      <c r="C70" s="153" t="s">
        <v>696</v>
      </c>
      <c r="D70" s="154" t="s">
        <v>32</v>
      </c>
      <c r="E70" s="184"/>
      <c r="F70" s="183">
        <v>5</v>
      </c>
      <c r="G70" s="183">
        <v>4</v>
      </c>
      <c r="H70" s="183">
        <v>3</v>
      </c>
      <c r="I70" s="183">
        <v>4</v>
      </c>
      <c r="J70" s="183">
        <v>3</v>
      </c>
      <c r="K70" s="184"/>
      <c r="L70" s="183">
        <v>5</v>
      </c>
      <c r="M70" s="184"/>
      <c r="N70" s="183">
        <v>3</v>
      </c>
      <c r="O70" s="183">
        <v>3</v>
      </c>
      <c r="P70" s="184"/>
      <c r="Q70" s="183">
        <v>3</v>
      </c>
      <c r="R70" s="183">
        <v>3</v>
      </c>
      <c r="S70" s="183">
        <v>0</v>
      </c>
      <c r="T70" s="183">
        <v>1</v>
      </c>
      <c r="U70" s="184"/>
      <c r="V70" s="183">
        <v>4</v>
      </c>
      <c r="W70" s="184"/>
      <c r="X70" s="183">
        <v>4</v>
      </c>
      <c r="Y70" s="184"/>
      <c r="Z70" s="183">
        <v>3</v>
      </c>
      <c r="AA70" s="183">
        <v>3</v>
      </c>
      <c r="AB70" s="183">
        <v>3</v>
      </c>
      <c r="AC70" s="184"/>
      <c r="AD70" s="183">
        <v>5</v>
      </c>
      <c r="AE70" s="183">
        <v>5</v>
      </c>
      <c r="AF70" s="184"/>
      <c r="AG70" s="183">
        <v>5</v>
      </c>
    </row>
    <row r="71" spans="1:33" s="200" customFormat="1" ht="40.5" customHeight="1" x14ac:dyDescent="0.25">
      <c r="A71" s="198" t="s">
        <v>382</v>
      </c>
      <c r="B71" s="198" t="s">
        <v>12</v>
      </c>
      <c r="C71" s="153" t="s">
        <v>697</v>
      </c>
      <c r="D71" s="154" t="s">
        <v>32</v>
      </c>
      <c r="E71" s="184"/>
      <c r="F71" s="183">
        <v>5</v>
      </c>
      <c r="G71" s="183">
        <v>4</v>
      </c>
      <c r="H71" s="183">
        <v>3</v>
      </c>
      <c r="I71" s="183">
        <v>4</v>
      </c>
      <c r="J71" s="183">
        <v>3</v>
      </c>
      <c r="K71" s="184"/>
      <c r="L71" s="183">
        <v>5</v>
      </c>
      <c r="M71" s="184"/>
      <c r="N71" s="183">
        <v>3</v>
      </c>
      <c r="O71" s="183">
        <v>3</v>
      </c>
      <c r="P71" s="184"/>
      <c r="Q71" s="183">
        <v>2</v>
      </c>
      <c r="R71" s="183">
        <v>3</v>
      </c>
      <c r="S71" s="183">
        <v>0</v>
      </c>
      <c r="T71" s="183">
        <v>2</v>
      </c>
      <c r="U71" s="184"/>
      <c r="V71" s="183">
        <v>4</v>
      </c>
      <c r="W71" s="184"/>
      <c r="X71" s="183">
        <v>5</v>
      </c>
      <c r="Y71" s="184"/>
      <c r="Z71" s="183">
        <v>5</v>
      </c>
      <c r="AA71" s="183">
        <v>3</v>
      </c>
      <c r="AB71" s="183">
        <v>3</v>
      </c>
      <c r="AC71" s="184"/>
      <c r="AD71" s="183">
        <v>5</v>
      </c>
      <c r="AE71" s="183">
        <v>5</v>
      </c>
      <c r="AF71" s="184"/>
      <c r="AG71" s="183">
        <v>5</v>
      </c>
    </row>
    <row r="72" spans="1:33" s="167" customFormat="1" ht="40.5" customHeight="1" x14ac:dyDescent="0.25">
      <c r="A72" s="198" t="s">
        <v>382</v>
      </c>
      <c r="B72" s="198" t="s">
        <v>13</v>
      </c>
      <c r="C72" s="153" t="s">
        <v>698</v>
      </c>
      <c r="D72" s="154" t="s">
        <v>32</v>
      </c>
      <c r="E72" s="185"/>
      <c r="F72" s="183">
        <v>5</v>
      </c>
      <c r="G72" s="183">
        <v>4</v>
      </c>
      <c r="H72" s="183">
        <v>3</v>
      </c>
      <c r="I72" s="183">
        <v>3</v>
      </c>
      <c r="J72" s="183">
        <v>3</v>
      </c>
      <c r="K72" s="185"/>
      <c r="L72" s="183">
        <v>5</v>
      </c>
      <c r="M72" s="185"/>
      <c r="N72" s="183">
        <v>1</v>
      </c>
      <c r="O72" s="183">
        <v>1</v>
      </c>
      <c r="P72" s="185"/>
      <c r="Q72" s="183">
        <v>4</v>
      </c>
      <c r="R72" s="183" t="s">
        <v>311</v>
      </c>
      <c r="S72" s="183">
        <v>0</v>
      </c>
      <c r="T72" s="183">
        <v>3</v>
      </c>
      <c r="U72" s="185"/>
      <c r="V72" s="183">
        <v>2</v>
      </c>
      <c r="W72" s="185"/>
      <c r="X72" s="183">
        <v>2</v>
      </c>
      <c r="Y72" s="185"/>
      <c r="Z72" s="183">
        <v>3</v>
      </c>
      <c r="AA72" s="183">
        <v>2</v>
      </c>
      <c r="AB72" s="183">
        <v>3</v>
      </c>
      <c r="AC72" s="185"/>
      <c r="AD72" s="183">
        <v>1</v>
      </c>
      <c r="AE72" s="183">
        <v>1</v>
      </c>
      <c r="AF72" s="185"/>
      <c r="AG72" s="183">
        <v>2</v>
      </c>
    </row>
    <row r="73" spans="1:33" s="167" customFormat="1" ht="40.5" customHeight="1" x14ac:dyDescent="0.25">
      <c r="A73" s="198" t="s">
        <v>382</v>
      </c>
      <c r="B73" s="198" t="s">
        <v>14</v>
      </c>
      <c r="C73" s="153" t="s">
        <v>699</v>
      </c>
      <c r="D73" s="154" t="s">
        <v>32</v>
      </c>
      <c r="E73" s="184"/>
      <c r="F73" s="183">
        <v>4</v>
      </c>
      <c r="G73" s="183">
        <v>4</v>
      </c>
      <c r="H73" s="183">
        <v>3</v>
      </c>
      <c r="I73" s="183">
        <v>4</v>
      </c>
      <c r="J73" s="183">
        <v>5</v>
      </c>
      <c r="K73" s="184"/>
      <c r="L73" s="183">
        <v>4</v>
      </c>
      <c r="M73" s="184"/>
      <c r="N73" s="183">
        <v>5</v>
      </c>
      <c r="O73" s="183">
        <v>5</v>
      </c>
      <c r="P73" s="184"/>
      <c r="Q73" s="183">
        <v>3</v>
      </c>
      <c r="R73" s="183">
        <v>1</v>
      </c>
      <c r="S73" s="183">
        <v>0</v>
      </c>
      <c r="T73" s="183">
        <v>5</v>
      </c>
      <c r="U73" s="184"/>
      <c r="V73" s="183">
        <v>4</v>
      </c>
      <c r="W73" s="184"/>
      <c r="X73" s="183">
        <v>5</v>
      </c>
      <c r="Y73" s="184"/>
      <c r="Z73" s="183">
        <v>5</v>
      </c>
      <c r="AA73" s="183">
        <v>5</v>
      </c>
      <c r="AB73" s="183">
        <v>5</v>
      </c>
      <c r="AC73" s="184"/>
      <c r="AD73" s="183">
        <v>5</v>
      </c>
      <c r="AE73" s="183">
        <v>5</v>
      </c>
      <c r="AF73" s="184"/>
      <c r="AG73" s="183">
        <v>5</v>
      </c>
    </row>
    <row r="74" spans="1:33" s="200" customFormat="1" ht="78.75" customHeight="1" x14ac:dyDescent="0.25">
      <c r="A74" s="198" t="s">
        <v>382</v>
      </c>
      <c r="B74" s="198" t="s">
        <v>15</v>
      </c>
      <c r="C74" s="153" t="s">
        <v>700</v>
      </c>
      <c r="D74" s="154" t="s">
        <v>32</v>
      </c>
      <c r="E74" s="185"/>
      <c r="F74" s="183">
        <v>5</v>
      </c>
      <c r="G74" s="183">
        <v>4</v>
      </c>
      <c r="H74" s="183">
        <v>3</v>
      </c>
      <c r="I74" s="183">
        <v>4</v>
      </c>
      <c r="J74" s="183">
        <v>5</v>
      </c>
      <c r="K74" s="185"/>
      <c r="L74" s="183">
        <v>5</v>
      </c>
      <c r="M74" s="185"/>
      <c r="N74" s="183">
        <v>3</v>
      </c>
      <c r="O74" s="183">
        <v>3</v>
      </c>
      <c r="P74" s="185"/>
      <c r="Q74" s="183">
        <v>2</v>
      </c>
      <c r="R74" s="183">
        <v>1</v>
      </c>
      <c r="S74" s="183">
        <v>0</v>
      </c>
      <c r="T74" s="183">
        <v>5</v>
      </c>
      <c r="U74" s="185"/>
      <c r="V74" s="183">
        <v>4</v>
      </c>
      <c r="W74" s="185"/>
      <c r="X74" s="183">
        <v>5</v>
      </c>
      <c r="Y74" s="185"/>
      <c r="Z74" s="183">
        <v>5</v>
      </c>
      <c r="AA74" s="183">
        <v>3</v>
      </c>
      <c r="AB74" s="183">
        <v>3</v>
      </c>
      <c r="AC74" s="185"/>
      <c r="AD74" s="183">
        <v>5</v>
      </c>
      <c r="AE74" s="183">
        <v>5</v>
      </c>
      <c r="AF74" s="185"/>
      <c r="AG74" s="183">
        <v>4</v>
      </c>
    </row>
    <row r="75" spans="1:33" s="167" customFormat="1" ht="40.5" customHeight="1" x14ac:dyDescent="0.25">
      <c r="A75" s="198" t="s">
        <v>382</v>
      </c>
      <c r="B75" s="198" t="s">
        <v>16</v>
      </c>
      <c r="C75" s="153" t="s">
        <v>701</v>
      </c>
      <c r="D75" s="154" t="s">
        <v>32</v>
      </c>
      <c r="E75" s="184"/>
      <c r="F75" s="183">
        <v>4</v>
      </c>
      <c r="G75" s="183">
        <v>4</v>
      </c>
      <c r="H75" s="183">
        <v>3</v>
      </c>
      <c r="I75" s="183">
        <v>3</v>
      </c>
      <c r="J75" s="183">
        <v>3</v>
      </c>
      <c r="K75" s="184"/>
      <c r="L75" s="183">
        <v>5</v>
      </c>
      <c r="M75" s="184"/>
      <c r="N75" s="183">
        <v>5</v>
      </c>
      <c r="O75" s="183">
        <v>5</v>
      </c>
      <c r="P75" s="184"/>
      <c r="Q75" s="183">
        <v>2</v>
      </c>
      <c r="R75" s="183">
        <v>1</v>
      </c>
      <c r="S75" s="183">
        <v>0</v>
      </c>
      <c r="T75" s="183">
        <v>5</v>
      </c>
      <c r="U75" s="184"/>
      <c r="V75" s="183">
        <v>4</v>
      </c>
      <c r="W75" s="184"/>
      <c r="X75" s="183">
        <v>5</v>
      </c>
      <c r="Y75" s="184"/>
      <c r="Z75" s="183">
        <v>5</v>
      </c>
      <c r="AA75" s="183">
        <v>5</v>
      </c>
      <c r="AB75" s="183">
        <v>3</v>
      </c>
      <c r="AC75" s="184"/>
      <c r="AD75" s="183">
        <v>5</v>
      </c>
      <c r="AE75" s="183">
        <v>5</v>
      </c>
      <c r="AF75" s="184"/>
      <c r="AG75" s="183">
        <v>5</v>
      </c>
    </row>
    <row r="76" spans="1:33" s="167" customFormat="1" ht="40.5" customHeight="1" x14ac:dyDescent="0.25">
      <c r="A76" s="198" t="s">
        <v>382</v>
      </c>
      <c r="B76" s="198" t="s">
        <v>17</v>
      </c>
      <c r="C76" s="153" t="s">
        <v>702</v>
      </c>
      <c r="D76" s="154" t="s">
        <v>32</v>
      </c>
      <c r="E76" s="184"/>
      <c r="F76" s="183">
        <v>4</v>
      </c>
      <c r="G76" s="183">
        <v>4</v>
      </c>
      <c r="H76" s="183">
        <v>3</v>
      </c>
      <c r="I76" s="183">
        <v>4</v>
      </c>
      <c r="J76" s="183">
        <v>5</v>
      </c>
      <c r="K76" s="184"/>
      <c r="L76" s="183">
        <v>5</v>
      </c>
      <c r="M76" s="184"/>
      <c r="N76" s="183">
        <v>5</v>
      </c>
      <c r="O76" s="183">
        <v>5</v>
      </c>
      <c r="P76" s="184"/>
      <c r="Q76" s="183">
        <v>3</v>
      </c>
      <c r="R76" s="183">
        <v>1</v>
      </c>
      <c r="S76" s="183">
        <v>0</v>
      </c>
      <c r="T76" s="183">
        <v>4</v>
      </c>
      <c r="U76" s="184"/>
      <c r="V76" s="183">
        <v>4</v>
      </c>
      <c r="W76" s="184"/>
      <c r="X76" s="183">
        <v>5</v>
      </c>
      <c r="Y76" s="184"/>
      <c r="Z76" s="183">
        <v>5</v>
      </c>
      <c r="AA76" s="183">
        <v>5</v>
      </c>
      <c r="AB76" s="183">
        <v>5</v>
      </c>
      <c r="AC76" s="184"/>
      <c r="AD76" s="183">
        <v>5</v>
      </c>
      <c r="AE76" s="183">
        <v>5</v>
      </c>
      <c r="AF76" s="184"/>
      <c r="AG76" s="183">
        <v>5</v>
      </c>
    </row>
    <row r="77" spans="1:33" s="167" customFormat="1" ht="40.5" customHeight="1" x14ac:dyDescent="0.25">
      <c r="A77" s="198" t="s">
        <v>383</v>
      </c>
      <c r="B77" s="198" t="s">
        <v>7</v>
      </c>
      <c r="C77" s="153" t="s">
        <v>689</v>
      </c>
      <c r="D77" s="154" t="s">
        <v>32</v>
      </c>
      <c r="E77" s="184"/>
      <c r="F77" s="183">
        <v>4</v>
      </c>
      <c r="G77" s="183">
        <v>4</v>
      </c>
      <c r="H77" s="183">
        <v>5</v>
      </c>
      <c r="I77" s="183">
        <v>4</v>
      </c>
      <c r="J77" s="183">
        <v>3</v>
      </c>
      <c r="K77" s="184"/>
      <c r="L77" s="183">
        <v>3</v>
      </c>
      <c r="M77" s="184"/>
      <c r="N77" s="183">
        <v>1</v>
      </c>
      <c r="O77" s="183">
        <v>3</v>
      </c>
      <c r="P77" s="184"/>
      <c r="Q77" s="183">
        <v>4</v>
      </c>
      <c r="R77" s="183">
        <v>4</v>
      </c>
      <c r="S77" s="183">
        <v>0</v>
      </c>
      <c r="T77" s="183">
        <v>1</v>
      </c>
      <c r="U77" s="184"/>
      <c r="V77" s="183">
        <v>4</v>
      </c>
      <c r="W77" s="184"/>
      <c r="X77" s="183">
        <v>2</v>
      </c>
      <c r="Y77" s="184"/>
      <c r="Z77" s="183">
        <v>3</v>
      </c>
      <c r="AA77" s="183">
        <v>5</v>
      </c>
      <c r="AB77" s="183">
        <v>3</v>
      </c>
      <c r="AC77" s="184"/>
      <c r="AD77" s="183">
        <v>3</v>
      </c>
      <c r="AE77" s="183">
        <v>3</v>
      </c>
      <c r="AF77" s="184"/>
      <c r="AG77" s="183">
        <v>3</v>
      </c>
    </row>
    <row r="78" spans="1:33" s="167" customFormat="1" ht="39" customHeight="1" x14ac:dyDescent="0.25">
      <c r="A78" s="198" t="s">
        <v>383</v>
      </c>
      <c r="B78" s="198" t="s">
        <v>376</v>
      </c>
      <c r="C78" s="153" t="s">
        <v>690</v>
      </c>
      <c r="D78" s="154" t="s">
        <v>32</v>
      </c>
      <c r="E78" s="184"/>
      <c r="F78" s="183">
        <v>1</v>
      </c>
      <c r="G78" s="183">
        <v>2</v>
      </c>
      <c r="H78" s="183">
        <v>3</v>
      </c>
      <c r="I78" s="183">
        <v>1</v>
      </c>
      <c r="J78" s="183">
        <v>2</v>
      </c>
      <c r="K78" s="184"/>
      <c r="L78" s="183">
        <v>4</v>
      </c>
      <c r="M78" s="184"/>
      <c r="N78" s="183">
        <v>5</v>
      </c>
      <c r="O78" s="183">
        <v>5</v>
      </c>
      <c r="P78" s="184"/>
      <c r="Q78" s="183">
        <v>3</v>
      </c>
      <c r="R78" s="183">
        <v>1</v>
      </c>
      <c r="S78" s="183">
        <v>0</v>
      </c>
      <c r="T78" s="183">
        <v>4</v>
      </c>
      <c r="U78" s="184"/>
      <c r="V78" s="183">
        <v>3</v>
      </c>
      <c r="W78" s="184"/>
      <c r="X78" s="183">
        <v>4</v>
      </c>
      <c r="Y78" s="184"/>
      <c r="Z78" s="183">
        <v>3</v>
      </c>
      <c r="AA78" s="183">
        <v>2</v>
      </c>
      <c r="AB78" s="183">
        <v>3</v>
      </c>
      <c r="AC78" s="184"/>
      <c r="AD78" s="183">
        <v>4</v>
      </c>
      <c r="AE78" s="183">
        <v>2</v>
      </c>
      <c r="AF78" s="184"/>
      <c r="AG78" s="183">
        <v>3</v>
      </c>
    </row>
    <row r="79" spans="1:33" s="167" customFormat="1" ht="39" customHeight="1" x14ac:dyDescent="0.25">
      <c r="A79" s="198" t="s">
        <v>383</v>
      </c>
      <c r="B79" s="198" t="s">
        <v>377</v>
      </c>
      <c r="C79" s="153" t="s">
        <v>691</v>
      </c>
      <c r="D79" s="154" t="s">
        <v>32</v>
      </c>
      <c r="E79" s="184"/>
      <c r="F79" s="183">
        <v>5</v>
      </c>
      <c r="G79" s="183">
        <v>2</v>
      </c>
      <c r="H79" s="183">
        <v>3</v>
      </c>
      <c r="I79" s="183">
        <v>3</v>
      </c>
      <c r="J79" s="183">
        <v>3</v>
      </c>
      <c r="K79" s="184"/>
      <c r="L79" s="183">
        <v>5</v>
      </c>
      <c r="M79" s="184"/>
      <c r="N79" s="183">
        <v>5</v>
      </c>
      <c r="O79" s="183">
        <v>5</v>
      </c>
      <c r="P79" s="184"/>
      <c r="Q79" s="183">
        <v>2</v>
      </c>
      <c r="R79" s="183">
        <v>1</v>
      </c>
      <c r="S79" s="183">
        <v>0</v>
      </c>
      <c r="T79" s="183">
        <v>2</v>
      </c>
      <c r="U79" s="184"/>
      <c r="V79" s="183">
        <v>3</v>
      </c>
      <c r="W79" s="184"/>
      <c r="X79" s="183">
        <v>3</v>
      </c>
      <c r="Y79" s="184"/>
      <c r="Z79" s="183">
        <v>3</v>
      </c>
      <c r="AA79" s="183">
        <v>4</v>
      </c>
      <c r="AB79" s="183">
        <v>3</v>
      </c>
      <c r="AC79" s="184"/>
      <c r="AD79" s="183">
        <v>3</v>
      </c>
      <c r="AE79" s="183">
        <v>3</v>
      </c>
      <c r="AF79" s="184"/>
      <c r="AG79" s="183">
        <v>3</v>
      </c>
    </row>
    <row r="80" spans="1:33" s="167" customFormat="1" ht="39" customHeight="1" x14ac:dyDescent="0.25">
      <c r="A80" s="198" t="s">
        <v>383</v>
      </c>
      <c r="B80" s="198" t="s">
        <v>8</v>
      </c>
      <c r="C80" s="153" t="s">
        <v>692</v>
      </c>
      <c r="D80" s="154" t="s">
        <v>32</v>
      </c>
      <c r="E80" s="184"/>
      <c r="F80" s="183">
        <v>5</v>
      </c>
      <c r="G80" s="183">
        <v>4</v>
      </c>
      <c r="H80" s="183">
        <v>4</v>
      </c>
      <c r="I80" s="183">
        <v>3</v>
      </c>
      <c r="J80" s="183">
        <v>3</v>
      </c>
      <c r="K80" s="184"/>
      <c r="L80" s="183">
        <v>5</v>
      </c>
      <c r="M80" s="184"/>
      <c r="N80" s="183">
        <v>3</v>
      </c>
      <c r="O80" s="183">
        <v>3</v>
      </c>
      <c r="P80" s="184"/>
      <c r="Q80" s="183">
        <v>1</v>
      </c>
      <c r="R80" s="183">
        <v>1</v>
      </c>
      <c r="S80" s="183">
        <v>0</v>
      </c>
      <c r="T80" s="183">
        <v>4</v>
      </c>
      <c r="U80" s="184"/>
      <c r="V80" s="183">
        <v>4</v>
      </c>
      <c r="W80" s="184"/>
      <c r="X80" s="183">
        <v>5</v>
      </c>
      <c r="Y80" s="184"/>
      <c r="Z80" s="183">
        <v>3</v>
      </c>
      <c r="AA80" s="183">
        <v>3</v>
      </c>
      <c r="AB80" s="183">
        <v>3</v>
      </c>
      <c r="AC80" s="184"/>
      <c r="AD80" s="183">
        <v>5</v>
      </c>
      <c r="AE80" s="183">
        <v>5</v>
      </c>
      <c r="AF80" s="184"/>
      <c r="AG80" s="183">
        <v>3</v>
      </c>
    </row>
    <row r="81" spans="1:33" s="167" customFormat="1" ht="40.5" customHeight="1" x14ac:dyDescent="0.25">
      <c r="A81" s="198" t="s">
        <v>383</v>
      </c>
      <c r="B81" s="198" t="s">
        <v>9</v>
      </c>
      <c r="C81" s="153" t="s">
        <v>693</v>
      </c>
      <c r="D81" s="154" t="s">
        <v>32</v>
      </c>
      <c r="E81" s="186"/>
      <c r="F81" s="183">
        <v>5</v>
      </c>
      <c r="G81" s="183">
        <v>2</v>
      </c>
      <c r="H81" s="183">
        <v>3</v>
      </c>
      <c r="I81" s="183">
        <v>3</v>
      </c>
      <c r="J81" s="183">
        <v>4</v>
      </c>
      <c r="K81" s="186"/>
      <c r="L81" s="183">
        <v>5</v>
      </c>
      <c r="M81" s="186"/>
      <c r="N81" s="183">
        <v>3</v>
      </c>
      <c r="O81" s="183">
        <v>3</v>
      </c>
      <c r="P81" s="186"/>
      <c r="Q81" s="183">
        <v>3</v>
      </c>
      <c r="R81" s="183" t="s">
        <v>311</v>
      </c>
      <c r="S81" s="183">
        <v>0</v>
      </c>
      <c r="T81" s="183">
        <v>2</v>
      </c>
      <c r="U81" s="186"/>
      <c r="V81" s="183">
        <v>2</v>
      </c>
      <c r="W81" s="186"/>
      <c r="X81" s="183">
        <v>2</v>
      </c>
      <c r="Y81" s="186"/>
      <c r="Z81" s="183">
        <v>3</v>
      </c>
      <c r="AA81" s="183">
        <v>3</v>
      </c>
      <c r="AB81" s="183">
        <v>3</v>
      </c>
      <c r="AC81" s="186"/>
      <c r="AD81" s="183">
        <v>3</v>
      </c>
      <c r="AE81" s="183">
        <v>3</v>
      </c>
      <c r="AF81" s="186"/>
      <c r="AG81" s="183">
        <v>3</v>
      </c>
    </row>
    <row r="82" spans="1:33" s="167" customFormat="1" ht="40.5" customHeight="1" x14ac:dyDescent="0.25">
      <c r="A82" s="198" t="s">
        <v>383</v>
      </c>
      <c r="B82" s="198" t="s">
        <v>10</v>
      </c>
      <c r="C82" s="153" t="s">
        <v>694</v>
      </c>
      <c r="D82" s="154" t="s">
        <v>32</v>
      </c>
      <c r="E82" s="186"/>
      <c r="F82" s="183">
        <v>5</v>
      </c>
      <c r="G82" s="183">
        <v>2</v>
      </c>
      <c r="H82" s="183">
        <v>3</v>
      </c>
      <c r="I82" s="183">
        <v>4</v>
      </c>
      <c r="J82" s="183">
        <v>3</v>
      </c>
      <c r="K82" s="186"/>
      <c r="L82" s="183">
        <v>5</v>
      </c>
      <c r="M82" s="186"/>
      <c r="N82" s="183">
        <v>3</v>
      </c>
      <c r="O82" s="183">
        <v>5</v>
      </c>
      <c r="P82" s="186"/>
      <c r="Q82" s="183">
        <v>3</v>
      </c>
      <c r="R82" s="183">
        <v>1</v>
      </c>
      <c r="S82" s="183">
        <v>0</v>
      </c>
      <c r="T82" s="183">
        <v>2</v>
      </c>
      <c r="U82" s="186"/>
      <c r="V82" s="183">
        <v>3</v>
      </c>
      <c r="W82" s="186"/>
      <c r="X82" s="183">
        <v>5</v>
      </c>
      <c r="Y82" s="186"/>
      <c r="Z82" s="183">
        <v>3</v>
      </c>
      <c r="AA82" s="183">
        <v>3</v>
      </c>
      <c r="AB82" s="183">
        <v>3</v>
      </c>
      <c r="AC82" s="186"/>
      <c r="AD82" s="183">
        <v>1</v>
      </c>
      <c r="AE82" s="183">
        <v>1</v>
      </c>
      <c r="AF82" s="186"/>
      <c r="AG82" s="183">
        <v>3</v>
      </c>
    </row>
    <row r="83" spans="1:33" s="167" customFormat="1" ht="40.5" customHeight="1" x14ac:dyDescent="0.25">
      <c r="A83" s="198" t="s">
        <v>383</v>
      </c>
      <c r="B83" s="198" t="s">
        <v>378</v>
      </c>
      <c r="C83" s="153" t="s">
        <v>695</v>
      </c>
      <c r="D83" s="154" t="s">
        <v>32</v>
      </c>
      <c r="E83" s="184"/>
      <c r="F83" s="183">
        <v>5</v>
      </c>
      <c r="G83" s="183">
        <v>5</v>
      </c>
      <c r="H83" s="183">
        <v>3</v>
      </c>
      <c r="I83" s="183">
        <v>3</v>
      </c>
      <c r="J83" s="183">
        <v>5</v>
      </c>
      <c r="K83" s="184"/>
      <c r="L83" s="183">
        <v>5</v>
      </c>
      <c r="M83" s="184"/>
      <c r="N83" s="183">
        <v>3</v>
      </c>
      <c r="O83" s="183">
        <v>3</v>
      </c>
      <c r="P83" s="184"/>
      <c r="Q83" s="183">
        <v>1</v>
      </c>
      <c r="R83" s="183">
        <v>4</v>
      </c>
      <c r="S83" s="183">
        <v>0</v>
      </c>
      <c r="T83" s="183">
        <v>5</v>
      </c>
      <c r="U83" s="184"/>
      <c r="V83" s="183">
        <v>4</v>
      </c>
      <c r="W83" s="184"/>
      <c r="X83" s="183">
        <v>5</v>
      </c>
      <c r="Y83" s="184"/>
      <c r="Z83" s="183">
        <v>3</v>
      </c>
      <c r="AA83" s="183">
        <v>5</v>
      </c>
      <c r="AB83" s="183">
        <v>3</v>
      </c>
      <c r="AC83" s="184"/>
      <c r="AD83" s="183">
        <v>4</v>
      </c>
      <c r="AE83" s="183">
        <v>4</v>
      </c>
      <c r="AF83" s="184"/>
      <c r="AG83" s="183">
        <v>3</v>
      </c>
    </row>
    <row r="84" spans="1:33" s="167" customFormat="1" ht="136.5" customHeight="1" x14ac:dyDescent="0.25">
      <c r="A84" s="198" t="s">
        <v>383</v>
      </c>
      <c r="B84" s="198" t="s">
        <v>11</v>
      </c>
      <c r="C84" s="153" t="s">
        <v>696</v>
      </c>
      <c r="D84" s="154" t="s">
        <v>32</v>
      </c>
      <c r="E84" s="186"/>
      <c r="F84" s="183">
        <v>5</v>
      </c>
      <c r="G84" s="183">
        <v>4</v>
      </c>
      <c r="H84" s="183">
        <v>3</v>
      </c>
      <c r="I84" s="183">
        <v>2</v>
      </c>
      <c r="J84" s="183">
        <v>5</v>
      </c>
      <c r="K84" s="186"/>
      <c r="L84" s="183">
        <v>5</v>
      </c>
      <c r="M84" s="186"/>
      <c r="N84" s="183">
        <v>1</v>
      </c>
      <c r="O84" s="183">
        <v>1</v>
      </c>
      <c r="P84" s="186"/>
      <c r="Q84" s="183">
        <v>2</v>
      </c>
      <c r="R84" s="183" t="s">
        <v>311</v>
      </c>
      <c r="S84" s="183">
        <v>0</v>
      </c>
      <c r="T84" s="183">
        <v>5</v>
      </c>
      <c r="U84" s="186"/>
      <c r="V84" s="183">
        <v>4</v>
      </c>
      <c r="W84" s="186"/>
      <c r="X84" s="183">
        <v>4</v>
      </c>
      <c r="Y84" s="186"/>
      <c r="Z84" s="183">
        <v>3</v>
      </c>
      <c r="AA84" s="183">
        <v>3</v>
      </c>
      <c r="AB84" s="183">
        <v>3</v>
      </c>
      <c r="AC84" s="186"/>
      <c r="AD84" s="183">
        <v>4</v>
      </c>
      <c r="AE84" s="183">
        <v>4</v>
      </c>
      <c r="AF84" s="186"/>
      <c r="AG84" s="183">
        <v>2</v>
      </c>
    </row>
    <row r="85" spans="1:33" s="167" customFormat="1" ht="39" customHeight="1" x14ac:dyDescent="0.25">
      <c r="A85" s="198" t="s">
        <v>383</v>
      </c>
      <c r="B85" s="198" t="s">
        <v>12</v>
      </c>
      <c r="C85" s="153" t="s">
        <v>697</v>
      </c>
      <c r="D85" s="154" t="s">
        <v>32</v>
      </c>
      <c r="E85" s="184"/>
      <c r="F85" s="183">
        <v>5</v>
      </c>
      <c r="G85" s="183">
        <v>3</v>
      </c>
      <c r="H85" s="183">
        <v>3</v>
      </c>
      <c r="I85" s="183">
        <v>3</v>
      </c>
      <c r="J85" s="183">
        <v>5</v>
      </c>
      <c r="K85" s="184"/>
      <c r="L85" s="183">
        <v>5</v>
      </c>
      <c r="M85" s="184"/>
      <c r="N85" s="183">
        <v>1</v>
      </c>
      <c r="O85" s="183">
        <v>1</v>
      </c>
      <c r="P85" s="184"/>
      <c r="Q85" s="183">
        <v>3</v>
      </c>
      <c r="R85" s="183" t="s">
        <v>311</v>
      </c>
      <c r="S85" s="183">
        <v>0</v>
      </c>
      <c r="T85" s="183">
        <v>5</v>
      </c>
      <c r="U85" s="184"/>
      <c r="V85" s="183">
        <v>5</v>
      </c>
      <c r="W85" s="184"/>
      <c r="X85" s="183">
        <v>4</v>
      </c>
      <c r="Y85" s="184"/>
      <c r="Z85" s="183">
        <v>3</v>
      </c>
      <c r="AA85" s="183">
        <v>3</v>
      </c>
      <c r="AB85" s="183">
        <v>3</v>
      </c>
      <c r="AC85" s="184"/>
      <c r="AD85" s="183">
        <v>4</v>
      </c>
      <c r="AE85" s="183">
        <v>4</v>
      </c>
      <c r="AF85" s="184"/>
      <c r="AG85" s="183">
        <v>3</v>
      </c>
    </row>
    <row r="86" spans="1:33" s="167" customFormat="1" ht="49.5" customHeight="1" x14ac:dyDescent="0.25">
      <c r="A86" s="198" t="s">
        <v>383</v>
      </c>
      <c r="B86" s="198" t="s">
        <v>13</v>
      </c>
      <c r="C86" s="153" t="s">
        <v>698</v>
      </c>
      <c r="D86" s="154" t="s">
        <v>32</v>
      </c>
      <c r="E86" s="186"/>
      <c r="F86" s="183">
        <v>5</v>
      </c>
      <c r="G86" s="183">
        <v>1</v>
      </c>
      <c r="H86" s="183">
        <v>1</v>
      </c>
      <c r="I86" s="183">
        <v>3</v>
      </c>
      <c r="J86" s="183">
        <v>5</v>
      </c>
      <c r="K86" s="186"/>
      <c r="L86" s="183">
        <v>5</v>
      </c>
      <c r="M86" s="186"/>
      <c r="N86" s="183">
        <v>1</v>
      </c>
      <c r="O86" s="183">
        <v>1</v>
      </c>
      <c r="P86" s="186"/>
      <c r="Q86" s="183">
        <v>5</v>
      </c>
      <c r="R86" s="183" t="s">
        <v>311</v>
      </c>
      <c r="S86" s="183">
        <v>0</v>
      </c>
      <c r="T86" s="183">
        <v>5</v>
      </c>
      <c r="U86" s="186"/>
      <c r="V86" s="183">
        <v>4</v>
      </c>
      <c r="W86" s="186"/>
      <c r="X86" s="183">
        <v>2</v>
      </c>
      <c r="Y86" s="186"/>
      <c r="Z86" s="183">
        <v>3</v>
      </c>
      <c r="AA86" s="183">
        <v>4</v>
      </c>
      <c r="AB86" s="183">
        <v>3</v>
      </c>
      <c r="AC86" s="186"/>
      <c r="AD86" s="183">
        <v>3</v>
      </c>
      <c r="AE86" s="183">
        <v>3</v>
      </c>
      <c r="AF86" s="186"/>
      <c r="AG86" s="183">
        <v>3</v>
      </c>
    </row>
    <row r="87" spans="1:33" s="167" customFormat="1" ht="40.5" customHeight="1" x14ac:dyDescent="0.25">
      <c r="A87" s="198" t="s">
        <v>383</v>
      </c>
      <c r="B87" s="198" t="s">
        <v>14</v>
      </c>
      <c r="C87" s="153" t="s">
        <v>699</v>
      </c>
      <c r="D87" s="154" t="s">
        <v>32</v>
      </c>
      <c r="E87" s="186"/>
      <c r="F87" s="183">
        <v>2</v>
      </c>
      <c r="G87" s="183">
        <v>5</v>
      </c>
      <c r="H87" s="183">
        <v>3</v>
      </c>
      <c r="I87" s="183">
        <v>3</v>
      </c>
      <c r="J87" s="183">
        <v>5</v>
      </c>
      <c r="K87" s="186"/>
      <c r="L87" s="183">
        <v>5</v>
      </c>
      <c r="M87" s="186"/>
      <c r="N87" s="183">
        <v>5</v>
      </c>
      <c r="O87" s="183">
        <v>5</v>
      </c>
      <c r="P87" s="186"/>
      <c r="Q87" s="183">
        <v>2</v>
      </c>
      <c r="R87" s="183">
        <v>1</v>
      </c>
      <c r="S87" s="183">
        <v>0</v>
      </c>
      <c r="T87" s="183">
        <v>5</v>
      </c>
      <c r="U87" s="186"/>
      <c r="V87" s="183">
        <v>4</v>
      </c>
      <c r="W87" s="186"/>
      <c r="X87" s="183">
        <v>5</v>
      </c>
      <c r="Y87" s="186"/>
      <c r="Z87" s="183">
        <v>3</v>
      </c>
      <c r="AA87" s="183">
        <v>5</v>
      </c>
      <c r="AB87" s="183">
        <v>3</v>
      </c>
      <c r="AC87" s="186"/>
      <c r="AD87" s="183">
        <v>5</v>
      </c>
      <c r="AE87" s="183">
        <v>5</v>
      </c>
      <c r="AF87" s="186"/>
      <c r="AG87" s="183">
        <v>3</v>
      </c>
    </row>
    <row r="88" spans="1:33" s="199" customFormat="1" ht="63" customHeight="1" x14ac:dyDescent="0.25">
      <c r="A88" s="198" t="s">
        <v>383</v>
      </c>
      <c r="B88" s="198" t="s">
        <v>15</v>
      </c>
      <c r="C88" s="153" t="s">
        <v>700</v>
      </c>
      <c r="D88" s="154" t="s">
        <v>32</v>
      </c>
      <c r="E88" s="205"/>
      <c r="F88" s="183">
        <v>5</v>
      </c>
      <c r="G88" s="183">
        <v>3</v>
      </c>
      <c r="H88" s="183">
        <v>3</v>
      </c>
      <c r="I88" s="183">
        <v>3</v>
      </c>
      <c r="J88" s="183">
        <v>5</v>
      </c>
      <c r="K88" s="205"/>
      <c r="L88" s="183">
        <v>5</v>
      </c>
      <c r="M88" s="205"/>
      <c r="N88" s="183">
        <v>1</v>
      </c>
      <c r="O88" s="183">
        <v>1</v>
      </c>
      <c r="P88" s="205"/>
      <c r="Q88" s="183">
        <v>4</v>
      </c>
      <c r="R88" s="183" t="s">
        <v>311</v>
      </c>
      <c r="S88" s="183">
        <v>0</v>
      </c>
      <c r="T88" s="183">
        <v>4</v>
      </c>
      <c r="U88" s="205"/>
      <c r="V88" s="183">
        <v>4</v>
      </c>
      <c r="W88" s="205"/>
      <c r="X88" s="183">
        <v>2</v>
      </c>
      <c r="Y88" s="205"/>
      <c r="Z88" s="183">
        <v>3</v>
      </c>
      <c r="AA88" s="183">
        <v>3</v>
      </c>
      <c r="AB88" s="183">
        <v>3</v>
      </c>
      <c r="AC88" s="205"/>
      <c r="AD88" s="183">
        <v>5</v>
      </c>
      <c r="AE88" s="183">
        <v>5</v>
      </c>
      <c r="AF88" s="205"/>
      <c r="AG88" s="183">
        <v>3</v>
      </c>
    </row>
    <row r="89" spans="1:33" s="167" customFormat="1" ht="40.5" customHeight="1" x14ac:dyDescent="0.25">
      <c r="A89" s="198" t="s">
        <v>383</v>
      </c>
      <c r="B89" s="198" t="s">
        <v>16</v>
      </c>
      <c r="C89" s="153" t="s">
        <v>701</v>
      </c>
      <c r="D89" s="154" t="s">
        <v>32</v>
      </c>
      <c r="E89" s="184"/>
      <c r="F89" s="183">
        <v>4</v>
      </c>
      <c r="G89" s="183">
        <v>2</v>
      </c>
      <c r="H89" s="183">
        <v>3</v>
      </c>
      <c r="I89" s="183">
        <v>3</v>
      </c>
      <c r="J89" s="183">
        <v>5</v>
      </c>
      <c r="K89" s="184"/>
      <c r="L89" s="183">
        <v>5</v>
      </c>
      <c r="M89" s="184"/>
      <c r="N89" s="183">
        <v>5</v>
      </c>
      <c r="O89" s="183">
        <v>5</v>
      </c>
      <c r="P89" s="184"/>
      <c r="Q89" s="183">
        <v>2</v>
      </c>
      <c r="R89" s="183">
        <v>1</v>
      </c>
      <c r="S89" s="183">
        <v>0</v>
      </c>
      <c r="T89" s="183">
        <v>5</v>
      </c>
      <c r="U89" s="184"/>
      <c r="V89" s="183">
        <v>4</v>
      </c>
      <c r="W89" s="184"/>
      <c r="X89" s="183">
        <v>5</v>
      </c>
      <c r="Y89" s="184"/>
      <c r="Z89" s="183">
        <v>3</v>
      </c>
      <c r="AA89" s="183">
        <v>3</v>
      </c>
      <c r="AB89" s="183">
        <v>3</v>
      </c>
      <c r="AC89" s="184"/>
      <c r="AD89" s="183">
        <v>4</v>
      </c>
      <c r="AE89" s="183">
        <v>4</v>
      </c>
      <c r="AF89" s="184"/>
      <c r="AG89" s="183">
        <v>3</v>
      </c>
    </row>
    <row r="90" spans="1:33" s="199" customFormat="1" ht="40.5" customHeight="1" x14ac:dyDescent="0.25">
      <c r="A90" s="198" t="s">
        <v>383</v>
      </c>
      <c r="B90" s="198" t="s">
        <v>17</v>
      </c>
      <c r="C90" s="153" t="s">
        <v>702</v>
      </c>
      <c r="D90" s="154" t="s">
        <v>32</v>
      </c>
      <c r="E90" s="184"/>
      <c r="F90" s="183">
        <v>5</v>
      </c>
      <c r="G90" s="183">
        <v>2</v>
      </c>
      <c r="H90" s="183">
        <v>3</v>
      </c>
      <c r="I90" s="183">
        <v>3</v>
      </c>
      <c r="J90" s="183">
        <v>5</v>
      </c>
      <c r="K90" s="184"/>
      <c r="L90" s="183">
        <v>5</v>
      </c>
      <c r="M90" s="184"/>
      <c r="N90" s="183">
        <v>3</v>
      </c>
      <c r="O90" s="183">
        <v>5</v>
      </c>
      <c r="P90" s="184"/>
      <c r="Q90" s="183">
        <v>3</v>
      </c>
      <c r="R90" s="183">
        <v>1</v>
      </c>
      <c r="S90" s="183">
        <v>0</v>
      </c>
      <c r="T90" s="183">
        <v>5</v>
      </c>
      <c r="U90" s="184"/>
      <c r="V90" s="183">
        <v>5</v>
      </c>
      <c r="W90" s="184"/>
      <c r="X90" s="183">
        <v>2</v>
      </c>
      <c r="Y90" s="184"/>
      <c r="Z90" s="183">
        <v>5</v>
      </c>
      <c r="AA90" s="183">
        <v>5</v>
      </c>
      <c r="AB90" s="183">
        <v>5</v>
      </c>
      <c r="AC90" s="184"/>
      <c r="AD90" s="183">
        <v>1</v>
      </c>
      <c r="AE90" s="183">
        <v>1</v>
      </c>
      <c r="AF90" s="184"/>
      <c r="AG90" s="183">
        <v>4</v>
      </c>
    </row>
    <row r="91" spans="1:33" s="167" customFormat="1" ht="40.5" customHeight="1" x14ac:dyDescent="0.25">
      <c r="A91" s="198" t="s">
        <v>384</v>
      </c>
      <c r="B91" s="198" t="s">
        <v>7</v>
      </c>
      <c r="C91" s="153" t="s">
        <v>689</v>
      </c>
      <c r="D91" s="154" t="s">
        <v>32</v>
      </c>
      <c r="E91" s="184"/>
      <c r="F91" s="183">
        <v>4</v>
      </c>
      <c r="G91" s="183">
        <v>5</v>
      </c>
      <c r="H91" s="183">
        <v>5</v>
      </c>
      <c r="I91" s="183">
        <v>4</v>
      </c>
      <c r="J91" s="183">
        <v>5</v>
      </c>
      <c r="K91" s="184"/>
      <c r="L91" s="183">
        <v>3</v>
      </c>
      <c r="M91" s="184"/>
      <c r="N91" s="183">
        <v>3</v>
      </c>
      <c r="O91" s="183">
        <v>3</v>
      </c>
      <c r="P91" s="184"/>
      <c r="Q91" s="183">
        <v>3</v>
      </c>
      <c r="R91" s="183">
        <v>4</v>
      </c>
      <c r="S91" s="183">
        <v>0</v>
      </c>
      <c r="T91" s="183">
        <v>3</v>
      </c>
      <c r="U91" s="184"/>
      <c r="V91" s="183">
        <v>4</v>
      </c>
      <c r="W91" s="184"/>
      <c r="X91" s="183">
        <v>5</v>
      </c>
      <c r="Y91" s="184"/>
      <c r="Z91" s="183">
        <v>3</v>
      </c>
      <c r="AA91" s="183">
        <v>5</v>
      </c>
      <c r="AB91" s="183">
        <v>3</v>
      </c>
      <c r="AC91" s="184"/>
      <c r="AD91" s="183">
        <v>4</v>
      </c>
      <c r="AE91" s="183">
        <v>4</v>
      </c>
      <c r="AF91" s="184"/>
      <c r="AG91" s="183">
        <v>4</v>
      </c>
    </row>
    <row r="92" spans="1:33" s="167" customFormat="1" ht="40.5" customHeight="1" x14ac:dyDescent="0.25">
      <c r="A92" s="198" t="s">
        <v>384</v>
      </c>
      <c r="B92" s="198" t="s">
        <v>376</v>
      </c>
      <c r="C92" s="153" t="s">
        <v>690</v>
      </c>
      <c r="D92" s="154" t="s">
        <v>32</v>
      </c>
      <c r="E92" s="186"/>
      <c r="F92" s="183">
        <v>4</v>
      </c>
      <c r="G92" s="183">
        <v>3</v>
      </c>
      <c r="H92" s="183">
        <v>3</v>
      </c>
      <c r="I92" s="183">
        <v>3</v>
      </c>
      <c r="J92" s="183">
        <v>5</v>
      </c>
      <c r="K92" s="186"/>
      <c r="L92" s="183">
        <v>5</v>
      </c>
      <c r="M92" s="186"/>
      <c r="N92" s="183">
        <v>5</v>
      </c>
      <c r="O92" s="183">
        <v>5</v>
      </c>
      <c r="P92" s="186"/>
      <c r="Q92" s="183">
        <v>2</v>
      </c>
      <c r="R92" s="183">
        <v>1</v>
      </c>
      <c r="S92" s="183">
        <v>0</v>
      </c>
      <c r="T92" s="183">
        <v>4</v>
      </c>
      <c r="U92" s="186"/>
      <c r="V92" s="183">
        <v>2</v>
      </c>
      <c r="W92" s="186"/>
      <c r="X92" s="183">
        <v>5</v>
      </c>
      <c r="Y92" s="186"/>
      <c r="Z92" s="183">
        <v>4</v>
      </c>
      <c r="AA92" s="183">
        <v>3</v>
      </c>
      <c r="AB92" s="183">
        <v>3</v>
      </c>
      <c r="AC92" s="186"/>
      <c r="AD92" s="183">
        <v>4</v>
      </c>
      <c r="AE92" s="183">
        <v>4</v>
      </c>
      <c r="AF92" s="186"/>
      <c r="AG92" s="183">
        <v>4</v>
      </c>
    </row>
    <row r="93" spans="1:33" s="167" customFormat="1" ht="40.5" customHeight="1" x14ac:dyDescent="0.25">
      <c r="A93" s="198" t="s">
        <v>384</v>
      </c>
      <c r="B93" s="198" t="s">
        <v>377</v>
      </c>
      <c r="C93" s="153" t="s">
        <v>691</v>
      </c>
      <c r="D93" s="154" t="s">
        <v>32</v>
      </c>
      <c r="E93" s="184"/>
      <c r="F93" s="183">
        <v>1</v>
      </c>
      <c r="G93" s="183">
        <v>3</v>
      </c>
      <c r="H93" s="183">
        <v>3</v>
      </c>
      <c r="I93" s="183">
        <v>3</v>
      </c>
      <c r="J93" s="183">
        <v>3</v>
      </c>
      <c r="K93" s="184"/>
      <c r="L93" s="183">
        <v>2</v>
      </c>
      <c r="M93" s="184"/>
      <c r="N93" s="183">
        <v>5</v>
      </c>
      <c r="O93" s="183">
        <v>3</v>
      </c>
      <c r="P93" s="184"/>
      <c r="Q93" s="183">
        <v>4</v>
      </c>
      <c r="R93" s="183">
        <v>4</v>
      </c>
      <c r="S93" s="183">
        <v>0</v>
      </c>
      <c r="T93" s="183">
        <v>1</v>
      </c>
      <c r="U93" s="184"/>
      <c r="V93" s="183">
        <v>1</v>
      </c>
      <c r="W93" s="184"/>
      <c r="X93" s="183">
        <v>1</v>
      </c>
      <c r="Y93" s="184"/>
      <c r="Z93" s="183">
        <v>3</v>
      </c>
      <c r="AA93" s="183">
        <v>3</v>
      </c>
      <c r="AB93" s="183">
        <v>3</v>
      </c>
      <c r="AC93" s="184"/>
      <c r="AD93" s="183">
        <v>3</v>
      </c>
      <c r="AE93" s="183">
        <v>3</v>
      </c>
      <c r="AF93" s="184"/>
      <c r="AG93" s="183">
        <v>2</v>
      </c>
    </row>
    <row r="94" spans="1:33" s="167" customFormat="1" ht="39" customHeight="1" x14ac:dyDescent="0.25">
      <c r="A94" s="198" t="s">
        <v>384</v>
      </c>
      <c r="B94" s="198" t="s">
        <v>8</v>
      </c>
      <c r="C94" s="153" t="s">
        <v>692</v>
      </c>
      <c r="D94" s="154" t="s">
        <v>32</v>
      </c>
      <c r="E94" s="184"/>
      <c r="F94" s="183">
        <v>5</v>
      </c>
      <c r="G94" s="183">
        <v>3</v>
      </c>
      <c r="H94" s="183">
        <v>3</v>
      </c>
      <c r="I94" s="183">
        <v>2</v>
      </c>
      <c r="J94" s="183">
        <v>5</v>
      </c>
      <c r="K94" s="184"/>
      <c r="L94" s="183">
        <v>4</v>
      </c>
      <c r="M94" s="184"/>
      <c r="N94" s="183">
        <v>5</v>
      </c>
      <c r="O94" s="183">
        <v>5</v>
      </c>
      <c r="P94" s="184"/>
      <c r="Q94" s="183">
        <v>2</v>
      </c>
      <c r="R94" s="183">
        <v>1</v>
      </c>
      <c r="S94" s="183">
        <v>0</v>
      </c>
      <c r="T94" s="183">
        <v>5</v>
      </c>
      <c r="U94" s="184"/>
      <c r="V94" s="183">
        <v>4</v>
      </c>
      <c r="W94" s="184"/>
      <c r="X94" s="183">
        <v>2</v>
      </c>
      <c r="Y94" s="184"/>
      <c r="Z94" s="183">
        <v>3</v>
      </c>
      <c r="AA94" s="183">
        <v>4</v>
      </c>
      <c r="AB94" s="183">
        <v>3</v>
      </c>
      <c r="AC94" s="184"/>
      <c r="AD94" s="183">
        <v>1</v>
      </c>
      <c r="AE94" s="183">
        <v>1</v>
      </c>
      <c r="AF94" s="184"/>
      <c r="AG94" s="183">
        <v>4</v>
      </c>
    </row>
    <row r="95" spans="1:33" s="199" customFormat="1" ht="40.5" customHeight="1" x14ac:dyDescent="0.25">
      <c r="A95" s="198" t="s">
        <v>384</v>
      </c>
      <c r="B95" s="198" t="s">
        <v>9</v>
      </c>
      <c r="C95" s="153" t="s">
        <v>693</v>
      </c>
      <c r="D95" s="154" t="s">
        <v>32</v>
      </c>
      <c r="E95" s="184"/>
      <c r="F95" s="183">
        <v>3</v>
      </c>
      <c r="G95" s="183">
        <v>3</v>
      </c>
      <c r="H95" s="183">
        <v>3</v>
      </c>
      <c r="I95" s="183">
        <v>3</v>
      </c>
      <c r="J95" s="183">
        <v>3</v>
      </c>
      <c r="K95" s="184"/>
      <c r="L95" s="183">
        <v>5</v>
      </c>
      <c r="M95" s="184"/>
      <c r="N95" s="183">
        <v>3</v>
      </c>
      <c r="O95" s="183">
        <v>3</v>
      </c>
      <c r="P95" s="184"/>
      <c r="Q95" s="183">
        <v>2</v>
      </c>
      <c r="R95" s="183">
        <v>4</v>
      </c>
      <c r="S95" s="183">
        <v>0</v>
      </c>
      <c r="T95" s="183">
        <v>3</v>
      </c>
      <c r="U95" s="184"/>
      <c r="V95" s="183">
        <v>2</v>
      </c>
      <c r="W95" s="184"/>
      <c r="X95" s="183">
        <v>4</v>
      </c>
      <c r="Y95" s="184"/>
      <c r="Z95" s="183">
        <v>2</v>
      </c>
      <c r="AA95" s="183">
        <v>3</v>
      </c>
      <c r="AB95" s="183">
        <v>1</v>
      </c>
      <c r="AC95" s="184"/>
      <c r="AD95" s="183">
        <v>2</v>
      </c>
      <c r="AE95" s="183">
        <v>2</v>
      </c>
      <c r="AF95" s="184"/>
      <c r="AG95" s="183">
        <v>2</v>
      </c>
    </row>
    <row r="96" spans="1:33" s="199" customFormat="1" ht="39" customHeight="1" x14ac:dyDescent="0.25">
      <c r="A96" s="198" t="s">
        <v>384</v>
      </c>
      <c r="B96" s="198" t="s">
        <v>10</v>
      </c>
      <c r="C96" s="153" t="s">
        <v>694</v>
      </c>
      <c r="D96" s="154" t="s">
        <v>32</v>
      </c>
      <c r="E96" s="184"/>
      <c r="F96" s="183">
        <v>1</v>
      </c>
      <c r="G96" s="183">
        <v>3</v>
      </c>
      <c r="H96" s="183">
        <v>3</v>
      </c>
      <c r="I96" s="183">
        <v>3</v>
      </c>
      <c r="J96" s="183">
        <v>3</v>
      </c>
      <c r="K96" s="184"/>
      <c r="L96" s="183">
        <v>2</v>
      </c>
      <c r="M96" s="184"/>
      <c r="N96" s="183">
        <v>3</v>
      </c>
      <c r="O96" s="183">
        <v>1</v>
      </c>
      <c r="P96" s="184"/>
      <c r="Q96" s="183">
        <v>4</v>
      </c>
      <c r="R96" s="183">
        <v>4</v>
      </c>
      <c r="S96" s="183">
        <v>0</v>
      </c>
      <c r="T96" s="183">
        <v>1</v>
      </c>
      <c r="U96" s="184"/>
      <c r="V96" s="183">
        <v>1</v>
      </c>
      <c r="W96" s="184"/>
      <c r="X96" s="183">
        <v>1</v>
      </c>
      <c r="Y96" s="184"/>
      <c r="Z96" s="183">
        <v>3</v>
      </c>
      <c r="AA96" s="183">
        <v>3</v>
      </c>
      <c r="AB96" s="183">
        <v>3</v>
      </c>
      <c r="AC96" s="184"/>
      <c r="AD96" s="183">
        <v>3</v>
      </c>
      <c r="AE96" s="183">
        <v>3</v>
      </c>
      <c r="AF96" s="184"/>
      <c r="AG96" s="183">
        <v>1</v>
      </c>
    </row>
    <row r="97" spans="1:33" s="199" customFormat="1" ht="39" customHeight="1" x14ac:dyDescent="0.25">
      <c r="A97" s="198" t="s">
        <v>384</v>
      </c>
      <c r="B97" s="198" t="s">
        <v>378</v>
      </c>
      <c r="C97" s="153" t="s">
        <v>695</v>
      </c>
      <c r="D97" s="154" t="s">
        <v>32</v>
      </c>
      <c r="E97" s="184"/>
      <c r="F97" s="183">
        <v>5</v>
      </c>
      <c r="G97" s="183">
        <v>3</v>
      </c>
      <c r="H97" s="183">
        <v>3</v>
      </c>
      <c r="I97" s="183">
        <v>3</v>
      </c>
      <c r="J97" s="183">
        <v>5</v>
      </c>
      <c r="K97" s="184"/>
      <c r="L97" s="183">
        <v>5</v>
      </c>
      <c r="M97" s="184"/>
      <c r="N97" s="183">
        <v>3</v>
      </c>
      <c r="O97" s="183">
        <v>5</v>
      </c>
      <c r="P97" s="184"/>
      <c r="Q97" s="183">
        <v>3</v>
      </c>
      <c r="R97" s="183">
        <v>4</v>
      </c>
      <c r="S97" s="183">
        <v>0</v>
      </c>
      <c r="T97" s="183">
        <v>4</v>
      </c>
      <c r="U97" s="184"/>
      <c r="V97" s="183">
        <v>4</v>
      </c>
      <c r="W97" s="184"/>
      <c r="X97" s="183">
        <v>4</v>
      </c>
      <c r="Y97" s="184"/>
      <c r="Z97" s="183">
        <v>4</v>
      </c>
      <c r="AA97" s="183">
        <v>4</v>
      </c>
      <c r="AB97" s="183">
        <v>5</v>
      </c>
      <c r="AC97" s="184"/>
      <c r="AD97" s="183">
        <v>5</v>
      </c>
      <c r="AE97" s="183">
        <v>5</v>
      </c>
      <c r="AF97" s="184"/>
      <c r="AG97" s="183">
        <v>4</v>
      </c>
    </row>
    <row r="98" spans="1:33" s="167" customFormat="1" ht="40.5" customHeight="1" x14ac:dyDescent="0.25">
      <c r="A98" s="198" t="s">
        <v>384</v>
      </c>
      <c r="B98" s="198" t="s">
        <v>11</v>
      </c>
      <c r="C98" s="153" t="s">
        <v>696</v>
      </c>
      <c r="D98" s="154" t="s">
        <v>32</v>
      </c>
      <c r="E98" s="184"/>
      <c r="F98" s="183">
        <v>5</v>
      </c>
      <c r="G98" s="183">
        <v>3</v>
      </c>
      <c r="H98" s="183">
        <v>3</v>
      </c>
      <c r="I98" s="183">
        <v>3</v>
      </c>
      <c r="J98" s="183">
        <v>5</v>
      </c>
      <c r="K98" s="184"/>
      <c r="L98" s="183">
        <v>5</v>
      </c>
      <c r="M98" s="184"/>
      <c r="N98" s="183">
        <v>3</v>
      </c>
      <c r="O98" s="183">
        <v>5</v>
      </c>
      <c r="P98" s="184"/>
      <c r="Q98" s="183">
        <v>3</v>
      </c>
      <c r="R98" s="183">
        <v>4</v>
      </c>
      <c r="S98" s="183">
        <v>0</v>
      </c>
      <c r="T98" s="183">
        <v>5</v>
      </c>
      <c r="U98" s="184"/>
      <c r="V98" s="183">
        <v>5</v>
      </c>
      <c r="W98" s="184"/>
      <c r="X98" s="183">
        <v>2</v>
      </c>
      <c r="Y98" s="184"/>
      <c r="Z98" s="183">
        <v>4</v>
      </c>
      <c r="AA98" s="183">
        <v>4</v>
      </c>
      <c r="AB98" s="183">
        <v>3</v>
      </c>
      <c r="AC98" s="184"/>
      <c r="AD98" s="183">
        <v>4</v>
      </c>
      <c r="AE98" s="183">
        <v>5</v>
      </c>
      <c r="AF98" s="184"/>
      <c r="AG98" s="183">
        <v>5</v>
      </c>
    </row>
    <row r="99" spans="1:33" s="167" customFormat="1" ht="54.75" customHeight="1" x14ac:dyDescent="0.25">
      <c r="A99" s="198" t="s">
        <v>384</v>
      </c>
      <c r="B99" s="198" t="s">
        <v>12</v>
      </c>
      <c r="C99" s="153" t="s">
        <v>697</v>
      </c>
      <c r="D99" s="154" t="s">
        <v>32</v>
      </c>
      <c r="E99" s="184"/>
      <c r="F99" s="183">
        <v>5</v>
      </c>
      <c r="G99" s="183">
        <v>3</v>
      </c>
      <c r="H99" s="183">
        <v>3</v>
      </c>
      <c r="I99" s="183">
        <v>3</v>
      </c>
      <c r="J99" s="183">
        <v>5</v>
      </c>
      <c r="K99" s="184"/>
      <c r="L99" s="183">
        <v>5</v>
      </c>
      <c r="M99" s="184"/>
      <c r="N99" s="183">
        <v>3</v>
      </c>
      <c r="O99" s="183">
        <v>5</v>
      </c>
      <c r="P99" s="184"/>
      <c r="Q99" s="183">
        <v>3</v>
      </c>
      <c r="R99" s="183">
        <v>4</v>
      </c>
      <c r="S99" s="183">
        <v>0</v>
      </c>
      <c r="T99" s="183">
        <v>4</v>
      </c>
      <c r="U99" s="184"/>
      <c r="V99" s="183">
        <v>2</v>
      </c>
      <c r="W99" s="184"/>
      <c r="X99" s="183">
        <v>4</v>
      </c>
      <c r="Y99" s="184"/>
      <c r="Z99" s="183">
        <v>5</v>
      </c>
      <c r="AA99" s="183">
        <v>5</v>
      </c>
      <c r="AB99" s="183">
        <v>5</v>
      </c>
      <c r="AC99" s="184"/>
      <c r="AD99" s="183">
        <v>4</v>
      </c>
      <c r="AE99" s="183">
        <v>4</v>
      </c>
      <c r="AF99" s="184"/>
      <c r="AG99" s="183">
        <v>4</v>
      </c>
    </row>
    <row r="100" spans="1:33" s="199" customFormat="1" ht="40.5" customHeight="1" x14ac:dyDescent="0.25">
      <c r="A100" s="198" t="s">
        <v>384</v>
      </c>
      <c r="B100" s="198" t="s">
        <v>13</v>
      </c>
      <c r="C100" s="153" t="s">
        <v>698</v>
      </c>
      <c r="D100" s="154" t="s">
        <v>32</v>
      </c>
      <c r="E100" s="184"/>
      <c r="F100" s="183">
        <v>5</v>
      </c>
      <c r="G100" s="183">
        <v>3</v>
      </c>
      <c r="H100" s="183">
        <v>3</v>
      </c>
      <c r="I100" s="183">
        <v>3</v>
      </c>
      <c r="J100" s="183">
        <v>3</v>
      </c>
      <c r="K100" s="184"/>
      <c r="L100" s="183">
        <v>5</v>
      </c>
      <c r="M100" s="184"/>
      <c r="N100" s="183">
        <v>1</v>
      </c>
      <c r="O100" s="183">
        <v>1</v>
      </c>
      <c r="P100" s="184"/>
      <c r="Q100" s="183">
        <v>4</v>
      </c>
      <c r="R100" s="183" t="s">
        <v>311</v>
      </c>
      <c r="S100" s="183">
        <v>0</v>
      </c>
      <c r="T100" s="183">
        <v>2</v>
      </c>
      <c r="U100" s="184"/>
      <c r="V100" s="183">
        <v>1</v>
      </c>
      <c r="W100" s="184"/>
      <c r="X100" s="183">
        <v>1</v>
      </c>
      <c r="Y100" s="184"/>
      <c r="Z100" s="183">
        <v>3</v>
      </c>
      <c r="AA100" s="183">
        <v>1</v>
      </c>
      <c r="AB100" s="183">
        <v>1</v>
      </c>
      <c r="AC100" s="184"/>
      <c r="AD100" s="183">
        <v>3</v>
      </c>
      <c r="AE100" s="183">
        <v>1</v>
      </c>
      <c r="AF100" s="184"/>
      <c r="AG100" s="183">
        <v>1</v>
      </c>
    </row>
    <row r="101" spans="1:33" s="199" customFormat="1" ht="40.5" customHeight="1" x14ac:dyDescent="0.25">
      <c r="A101" s="198" t="s">
        <v>384</v>
      </c>
      <c r="B101" s="198" t="s">
        <v>14</v>
      </c>
      <c r="C101" s="153" t="s">
        <v>699</v>
      </c>
      <c r="D101" s="154" t="s">
        <v>32</v>
      </c>
      <c r="E101" s="184"/>
      <c r="F101" s="183">
        <v>3</v>
      </c>
      <c r="G101" s="183">
        <v>3</v>
      </c>
      <c r="H101" s="183">
        <v>3</v>
      </c>
      <c r="I101" s="183">
        <v>3</v>
      </c>
      <c r="J101" s="183">
        <v>3</v>
      </c>
      <c r="K101" s="184"/>
      <c r="L101" s="183">
        <v>3</v>
      </c>
      <c r="M101" s="184"/>
      <c r="N101" s="183">
        <v>3</v>
      </c>
      <c r="O101" s="183">
        <v>5</v>
      </c>
      <c r="P101" s="184"/>
      <c r="Q101" s="183">
        <v>2</v>
      </c>
      <c r="R101" s="183">
        <v>1</v>
      </c>
      <c r="S101" s="183">
        <v>0</v>
      </c>
      <c r="T101" s="183">
        <v>4</v>
      </c>
      <c r="U101" s="184"/>
      <c r="V101" s="183">
        <v>4</v>
      </c>
      <c r="W101" s="184"/>
      <c r="X101" s="183">
        <v>4</v>
      </c>
      <c r="Y101" s="184"/>
      <c r="Z101" s="183">
        <v>5</v>
      </c>
      <c r="AA101" s="183">
        <v>5</v>
      </c>
      <c r="AB101" s="183" t="s">
        <v>311</v>
      </c>
      <c r="AC101" s="184"/>
      <c r="AD101" s="183">
        <v>5</v>
      </c>
      <c r="AE101" s="183">
        <v>5</v>
      </c>
      <c r="AF101" s="184"/>
      <c r="AG101" s="183">
        <v>4</v>
      </c>
    </row>
    <row r="102" spans="1:33" s="199" customFormat="1" ht="105.75" customHeight="1" x14ac:dyDescent="0.25">
      <c r="A102" s="198" t="s">
        <v>384</v>
      </c>
      <c r="B102" s="198" t="s">
        <v>15</v>
      </c>
      <c r="C102" s="153" t="s">
        <v>700</v>
      </c>
      <c r="D102" s="154" t="s">
        <v>32</v>
      </c>
      <c r="E102" s="184"/>
      <c r="F102" s="183">
        <v>5</v>
      </c>
      <c r="G102" s="183">
        <v>3</v>
      </c>
      <c r="H102" s="183">
        <v>3</v>
      </c>
      <c r="I102" s="183">
        <v>3</v>
      </c>
      <c r="J102" s="183">
        <v>5</v>
      </c>
      <c r="K102" s="184"/>
      <c r="L102" s="183">
        <v>5</v>
      </c>
      <c r="M102" s="184"/>
      <c r="N102" s="183">
        <v>3</v>
      </c>
      <c r="O102" s="183">
        <v>3</v>
      </c>
      <c r="P102" s="184"/>
      <c r="Q102" s="183">
        <v>4</v>
      </c>
      <c r="R102" s="183">
        <v>4</v>
      </c>
      <c r="S102" s="183">
        <v>0</v>
      </c>
      <c r="T102" s="183">
        <v>5</v>
      </c>
      <c r="U102" s="184"/>
      <c r="V102" s="183">
        <v>2</v>
      </c>
      <c r="W102" s="184"/>
      <c r="X102" s="183">
        <v>2</v>
      </c>
      <c r="Y102" s="184"/>
      <c r="Z102" s="183">
        <v>3</v>
      </c>
      <c r="AA102" s="183">
        <v>4</v>
      </c>
      <c r="AB102" s="183">
        <v>4</v>
      </c>
      <c r="AC102" s="184"/>
      <c r="AD102" s="183">
        <v>5</v>
      </c>
      <c r="AE102" s="183">
        <v>5</v>
      </c>
      <c r="AF102" s="184"/>
      <c r="AG102" s="183">
        <v>4</v>
      </c>
    </row>
    <row r="103" spans="1:33" s="167" customFormat="1" ht="40.5" customHeight="1" x14ac:dyDescent="0.25">
      <c r="A103" s="198" t="s">
        <v>384</v>
      </c>
      <c r="B103" s="198" t="s">
        <v>16</v>
      </c>
      <c r="C103" s="153" t="s">
        <v>701</v>
      </c>
      <c r="D103" s="154" t="s">
        <v>32</v>
      </c>
      <c r="E103" s="185"/>
      <c r="F103" s="183">
        <v>4</v>
      </c>
      <c r="G103" s="183">
        <v>3</v>
      </c>
      <c r="H103" s="183">
        <v>3</v>
      </c>
      <c r="I103" s="183">
        <v>3</v>
      </c>
      <c r="J103" s="183">
        <v>5</v>
      </c>
      <c r="K103" s="185"/>
      <c r="L103" s="183">
        <v>5</v>
      </c>
      <c r="M103" s="185"/>
      <c r="N103" s="183">
        <v>3</v>
      </c>
      <c r="O103" s="183">
        <v>3</v>
      </c>
      <c r="P103" s="185"/>
      <c r="Q103" s="183">
        <v>1</v>
      </c>
      <c r="R103" s="183">
        <v>1</v>
      </c>
      <c r="S103" s="183">
        <v>0</v>
      </c>
      <c r="T103" s="183">
        <v>5</v>
      </c>
      <c r="U103" s="185"/>
      <c r="V103" s="183">
        <v>4</v>
      </c>
      <c r="W103" s="185"/>
      <c r="X103" s="183">
        <v>4</v>
      </c>
      <c r="Y103" s="185"/>
      <c r="Z103" s="183">
        <v>4</v>
      </c>
      <c r="AA103" s="183">
        <v>5</v>
      </c>
      <c r="AB103" s="183">
        <v>4</v>
      </c>
      <c r="AC103" s="185"/>
      <c r="AD103" s="183">
        <v>5</v>
      </c>
      <c r="AE103" s="183">
        <v>5</v>
      </c>
      <c r="AF103" s="185"/>
      <c r="AG103" s="183">
        <v>4</v>
      </c>
    </row>
    <row r="104" spans="1:33" s="200" customFormat="1" ht="84.75" customHeight="1" x14ac:dyDescent="0.25">
      <c r="A104" s="198" t="s">
        <v>384</v>
      </c>
      <c r="B104" s="198" t="s">
        <v>17</v>
      </c>
      <c r="C104" s="153" t="s">
        <v>702</v>
      </c>
      <c r="D104" s="154" t="s">
        <v>32</v>
      </c>
      <c r="E104" s="184"/>
      <c r="F104" s="183">
        <v>3</v>
      </c>
      <c r="G104" s="183">
        <v>3</v>
      </c>
      <c r="H104" s="183">
        <v>3</v>
      </c>
      <c r="I104" s="183">
        <v>3</v>
      </c>
      <c r="J104" s="183">
        <v>5</v>
      </c>
      <c r="K104" s="184"/>
      <c r="L104" s="183">
        <v>4</v>
      </c>
      <c r="M104" s="184"/>
      <c r="N104" s="183">
        <v>3</v>
      </c>
      <c r="O104" s="183">
        <v>3</v>
      </c>
      <c r="P104" s="184"/>
      <c r="Q104" s="183">
        <v>3</v>
      </c>
      <c r="R104" s="183">
        <v>1</v>
      </c>
      <c r="S104" s="183">
        <v>0</v>
      </c>
      <c r="T104" s="183">
        <v>5</v>
      </c>
      <c r="U104" s="184"/>
      <c r="V104" s="183">
        <v>4</v>
      </c>
      <c r="W104" s="184"/>
      <c r="X104" s="183">
        <v>5</v>
      </c>
      <c r="Y104" s="184"/>
      <c r="Z104" s="183">
        <v>5</v>
      </c>
      <c r="AA104" s="183">
        <v>5</v>
      </c>
      <c r="AB104" s="183">
        <v>5</v>
      </c>
      <c r="AC104" s="184"/>
      <c r="AD104" s="183">
        <v>5</v>
      </c>
      <c r="AE104" s="183">
        <v>5</v>
      </c>
      <c r="AF104" s="184"/>
      <c r="AG104" s="183">
        <v>5</v>
      </c>
    </row>
    <row r="105" spans="1:33" s="200" customFormat="1" ht="212.25" customHeight="1" x14ac:dyDescent="0.25">
      <c r="A105" s="198" t="s">
        <v>385</v>
      </c>
      <c r="B105" s="198" t="s">
        <v>7</v>
      </c>
      <c r="C105" s="153" t="s">
        <v>689</v>
      </c>
      <c r="D105" s="154" t="s">
        <v>32</v>
      </c>
      <c r="E105" s="184"/>
      <c r="F105" s="183">
        <v>5</v>
      </c>
      <c r="G105" s="183">
        <v>5</v>
      </c>
      <c r="H105" s="183">
        <v>4</v>
      </c>
      <c r="I105" s="183">
        <v>5</v>
      </c>
      <c r="J105" s="183">
        <v>5</v>
      </c>
      <c r="K105" s="184"/>
      <c r="L105" s="183">
        <v>4</v>
      </c>
      <c r="M105" s="184"/>
      <c r="N105" s="183">
        <v>1</v>
      </c>
      <c r="O105" s="183">
        <v>3</v>
      </c>
      <c r="P105" s="184"/>
      <c r="Q105" s="183">
        <v>1</v>
      </c>
      <c r="R105" s="183" t="s">
        <v>311</v>
      </c>
      <c r="S105" s="183" t="s">
        <v>311</v>
      </c>
      <c r="T105" s="183" t="s">
        <v>311</v>
      </c>
      <c r="U105" s="184"/>
      <c r="V105" s="183">
        <v>5</v>
      </c>
      <c r="W105" s="184"/>
      <c r="X105" s="183">
        <v>5</v>
      </c>
      <c r="Y105" s="184"/>
      <c r="Z105" s="183" t="s">
        <v>311</v>
      </c>
      <c r="AA105" s="183" t="s">
        <v>311</v>
      </c>
      <c r="AB105" s="183" t="s">
        <v>311</v>
      </c>
      <c r="AC105" s="184"/>
      <c r="AD105" s="183" t="s">
        <v>311</v>
      </c>
      <c r="AE105" s="183" t="s">
        <v>311</v>
      </c>
      <c r="AF105" s="184"/>
      <c r="AG105" s="183">
        <v>2</v>
      </c>
    </row>
    <row r="106" spans="1:33" s="167" customFormat="1" ht="140.25" x14ac:dyDescent="0.25">
      <c r="A106" s="198" t="s">
        <v>385</v>
      </c>
      <c r="B106" s="198" t="s">
        <v>376</v>
      </c>
      <c r="C106" s="153" t="s">
        <v>690</v>
      </c>
      <c r="D106" s="154" t="s">
        <v>32</v>
      </c>
      <c r="E106" s="184"/>
      <c r="F106" s="183">
        <v>4</v>
      </c>
      <c r="G106" s="183">
        <v>5</v>
      </c>
      <c r="H106" s="183">
        <v>2</v>
      </c>
      <c r="I106" s="183">
        <v>2</v>
      </c>
      <c r="J106" s="183">
        <v>3</v>
      </c>
      <c r="K106" s="184"/>
      <c r="L106" s="183">
        <v>4</v>
      </c>
      <c r="M106" s="184"/>
      <c r="N106" s="183">
        <v>3</v>
      </c>
      <c r="O106" s="183">
        <v>3</v>
      </c>
      <c r="P106" s="184"/>
      <c r="Q106" s="183">
        <v>2</v>
      </c>
      <c r="R106" s="183" t="s">
        <v>311</v>
      </c>
      <c r="S106" s="183" t="s">
        <v>311</v>
      </c>
      <c r="T106" s="183" t="s">
        <v>311</v>
      </c>
      <c r="U106" s="184"/>
      <c r="V106" s="183" t="s">
        <v>311</v>
      </c>
      <c r="W106" s="184"/>
      <c r="X106" s="183" t="s">
        <v>311</v>
      </c>
      <c r="Y106" s="184"/>
      <c r="Z106" s="183" t="s">
        <v>311</v>
      </c>
      <c r="AA106" s="183" t="s">
        <v>311</v>
      </c>
      <c r="AB106" s="183" t="s">
        <v>311</v>
      </c>
      <c r="AC106" s="184"/>
      <c r="AD106" s="183" t="s">
        <v>311</v>
      </c>
      <c r="AE106" s="183" t="s">
        <v>311</v>
      </c>
      <c r="AF106" s="184"/>
      <c r="AG106" s="183">
        <v>4</v>
      </c>
    </row>
    <row r="107" spans="1:33" s="167" customFormat="1" ht="39" customHeight="1" x14ac:dyDescent="0.25">
      <c r="A107" s="198" t="s">
        <v>385</v>
      </c>
      <c r="B107" s="198" t="s">
        <v>377</v>
      </c>
      <c r="C107" s="153" t="s">
        <v>691</v>
      </c>
      <c r="D107" s="154" t="s">
        <v>32</v>
      </c>
      <c r="E107" s="184"/>
      <c r="F107" s="183">
        <v>5</v>
      </c>
      <c r="G107" s="183">
        <v>5</v>
      </c>
      <c r="H107" s="183">
        <v>3</v>
      </c>
      <c r="I107" s="183">
        <v>4</v>
      </c>
      <c r="J107" s="183">
        <v>5</v>
      </c>
      <c r="K107" s="184"/>
      <c r="L107" s="183">
        <v>3</v>
      </c>
      <c r="M107" s="184"/>
      <c r="N107" s="183">
        <v>1</v>
      </c>
      <c r="O107" s="183">
        <v>5</v>
      </c>
      <c r="P107" s="184"/>
      <c r="Q107" s="183">
        <v>5</v>
      </c>
      <c r="R107" s="183" t="s">
        <v>311</v>
      </c>
      <c r="S107" s="183" t="s">
        <v>311</v>
      </c>
      <c r="T107" s="183" t="s">
        <v>311</v>
      </c>
      <c r="U107" s="184"/>
      <c r="V107" s="183" t="s">
        <v>311</v>
      </c>
      <c r="W107" s="184"/>
      <c r="X107" s="183" t="s">
        <v>311</v>
      </c>
      <c r="Y107" s="184"/>
      <c r="Z107" s="183" t="s">
        <v>311</v>
      </c>
      <c r="AA107" s="183" t="s">
        <v>311</v>
      </c>
      <c r="AB107" s="183" t="s">
        <v>311</v>
      </c>
      <c r="AC107" s="184"/>
      <c r="AD107" s="183" t="s">
        <v>311</v>
      </c>
      <c r="AE107" s="183" t="s">
        <v>311</v>
      </c>
      <c r="AF107" s="184"/>
      <c r="AG107" s="183">
        <v>2</v>
      </c>
    </row>
    <row r="108" spans="1:33" s="203" customFormat="1" ht="39" customHeight="1" x14ac:dyDescent="0.25">
      <c r="A108" s="198" t="s">
        <v>385</v>
      </c>
      <c r="B108" s="198" t="s">
        <v>8</v>
      </c>
      <c r="C108" s="153" t="s">
        <v>692</v>
      </c>
      <c r="D108" s="154" t="s">
        <v>32</v>
      </c>
      <c r="E108" s="184"/>
      <c r="F108" s="183">
        <v>5</v>
      </c>
      <c r="G108" s="183">
        <v>5</v>
      </c>
      <c r="H108" s="183">
        <v>3</v>
      </c>
      <c r="I108" s="183">
        <v>3</v>
      </c>
      <c r="J108" s="183">
        <v>3</v>
      </c>
      <c r="K108" s="184"/>
      <c r="L108" s="183">
        <v>4</v>
      </c>
      <c r="M108" s="184"/>
      <c r="N108" s="183">
        <v>5</v>
      </c>
      <c r="O108" s="183">
        <v>3</v>
      </c>
      <c r="P108" s="184"/>
      <c r="Q108" s="183">
        <v>4</v>
      </c>
      <c r="R108" s="183" t="s">
        <v>311</v>
      </c>
      <c r="S108" s="183" t="s">
        <v>311</v>
      </c>
      <c r="T108" s="183" t="s">
        <v>311</v>
      </c>
      <c r="U108" s="184"/>
      <c r="V108" s="183" t="s">
        <v>311</v>
      </c>
      <c r="W108" s="184"/>
      <c r="X108" s="183" t="s">
        <v>311</v>
      </c>
      <c r="Y108" s="184"/>
      <c r="Z108" s="183" t="s">
        <v>311</v>
      </c>
      <c r="AA108" s="183" t="s">
        <v>311</v>
      </c>
      <c r="AB108" s="183" t="s">
        <v>311</v>
      </c>
      <c r="AC108" s="184"/>
      <c r="AD108" s="183" t="s">
        <v>311</v>
      </c>
      <c r="AE108" s="183" t="s">
        <v>311</v>
      </c>
      <c r="AF108" s="184"/>
      <c r="AG108" s="183">
        <v>3</v>
      </c>
    </row>
    <row r="109" spans="1:33" s="199" customFormat="1" ht="39" customHeight="1" x14ac:dyDescent="0.25">
      <c r="A109" s="198" t="s">
        <v>385</v>
      </c>
      <c r="B109" s="198" t="s">
        <v>9</v>
      </c>
      <c r="C109" s="153" t="s">
        <v>693</v>
      </c>
      <c r="D109" s="154" t="s">
        <v>32</v>
      </c>
      <c r="E109" s="184"/>
      <c r="F109" s="183">
        <v>5</v>
      </c>
      <c r="G109" s="183">
        <v>5</v>
      </c>
      <c r="H109" s="183">
        <v>3</v>
      </c>
      <c r="I109" s="183">
        <v>4</v>
      </c>
      <c r="J109" s="183">
        <v>4</v>
      </c>
      <c r="K109" s="184"/>
      <c r="L109" s="183">
        <v>5</v>
      </c>
      <c r="M109" s="184"/>
      <c r="N109" s="183">
        <v>3</v>
      </c>
      <c r="O109" s="183">
        <v>3</v>
      </c>
      <c r="P109" s="184"/>
      <c r="Q109" s="183">
        <v>2</v>
      </c>
      <c r="R109" s="183" t="s">
        <v>311</v>
      </c>
      <c r="S109" s="183" t="s">
        <v>311</v>
      </c>
      <c r="T109" s="183" t="s">
        <v>311</v>
      </c>
      <c r="U109" s="184"/>
      <c r="V109" s="183" t="s">
        <v>311</v>
      </c>
      <c r="W109" s="184"/>
      <c r="X109" s="183" t="s">
        <v>311</v>
      </c>
      <c r="Y109" s="184"/>
      <c r="Z109" s="183" t="s">
        <v>311</v>
      </c>
      <c r="AA109" s="183" t="s">
        <v>311</v>
      </c>
      <c r="AB109" s="183" t="s">
        <v>311</v>
      </c>
      <c r="AC109" s="184"/>
      <c r="AD109" s="183" t="s">
        <v>311</v>
      </c>
      <c r="AE109" s="183" t="s">
        <v>311</v>
      </c>
      <c r="AF109" s="184"/>
      <c r="AG109" s="183">
        <v>4</v>
      </c>
    </row>
    <row r="110" spans="1:33" s="199" customFormat="1" ht="39" customHeight="1" x14ac:dyDescent="0.25">
      <c r="A110" s="198" t="s">
        <v>385</v>
      </c>
      <c r="B110" s="198" t="s">
        <v>10</v>
      </c>
      <c r="C110" s="153" t="s">
        <v>694</v>
      </c>
      <c r="D110" s="154" t="s">
        <v>32</v>
      </c>
      <c r="E110" s="184"/>
      <c r="F110" s="183">
        <v>5</v>
      </c>
      <c r="G110" s="183">
        <v>5</v>
      </c>
      <c r="H110" s="183">
        <v>3</v>
      </c>
      <c r="I110" s="183">
        <v>4</v>
      </c>
      <c r="J110" s="183">
        <v>4</v>
      </c>
      <c r="K110" s="184"/>
      <c r="L110" s="183">
        <v>3</v>
      </c>
      <c r="M110" s="184"/>
      <c r="N110" s="183">
        <v>1</v>
      </c>
      <c r="O110" s="183">
        <v>5</v>
      </c>
      <c r="P110" s="184"/>
      <c r="Q110" s="183">
        <v>5</v>
      </c>
      <c r="R110" s="183" t="s">
        <v>311</v>
      </c>
      <c r="S110" s="183" t="s">
        <v>311</v>
      </c>
      <c r="T110" s="183" t="s">
        <v>311</v>
      </c>
      <c r="U110" s="184"/>
      <c r="V110" s="183" t="s">
        <v>311</v>
      </c>
      <c r="W110" s="184"/>
      <c r="X110" s="183" t="s">
        <v>311</v>
      </c>
      <c r="Y110" s="184"/>
      <c r="Z110" s="183" t="s">
        <v>311</v>
      </c>
      <c r="AA110" s="183" t="s">
        <v>311</v>
      </c>
      <c r="AB110" s="183" t="s">
        <v>311</v>
      </c>
      <c r="AC110" s="184"/>
      <c r="AD110" s="183" t="s">
        <v>311</v>
      </c>
      <c r="AE110" s="183" t="s">
        <v>311</v>
      </c>
      <c r="AF110" s="184"/>
      <c r="AG110" s="183">
        <v>1</v>
      </c>
    </row>
    <row r="111" spans="1:33" s="199" customFormat="1" ht="40.5" customHeight="1" x14ac:dyDescent="0.25">
      <c r="A111" s="198" t="s">
        <v>385</v>
      </c>
      <c r="B111" s="198" t="s">
        <v>378</v>
      </c>
      <c r="C111" s="153" t="s">
        <v>695</v>
      </c>
      <c r="D111" s="154" t="s">
        <v>32</v>
      </c>
      <c r="E111" s="184"/>
      <c r="F111" s="183">
        <v>5</v>
      </c>
      <c r="G111" s="183">
        <v>5</v>
      </c>
      <c r="H111" s="183">
        <v>3</v>
      </c>
      <c r="I111" s="183">
        <v>4</v>
      </c>
      <c r="J111" s="183">
        <v>5</v>
      </c>
      <c r="K111" s="184"/>
      <c r="L111" s="183">
        <v>5</v>
      </c>
      <c r="M111" s="184"/>
      <c r="N111" s="183">
        <v>5</v>
      </c>
      <c r="O111" s="183">
        <v>3</v>
      </c>
      <c r="P111" s="184"/>
      <c r="Q111" s="183">
        <v>2</v>
      </c>
      <c r="R111" s="183" t="s">
        <v>311</v>
      </c>
      <c r="S111" s="183" t="s">
        <v>311</v>
      </c>
      <c r="T111" s="183" t="s">
        <v>311</v>
      </c>
      <c r="U111" s="184"/>
      <c r="V111" s="183" t="s">
        <v>311</v>
      </c>
      <c r="W111" s="184"/>
      <c r="X111" s="183" t="s">
        <v>311</v>
      </c>
      <c r="Y111" s="184"/>
      <c r="Z111" s="183" t="s">
        <v>311</v>
      </c>
      <c r="AA111" s="183" t="s">
        <v>311</v>
      </c>
      <c r="AB111" s="183" t="s">
        <v>311</v>
      </c>
      <c r="AC111" s="184"/>
      <c r="AD111" s="183" t="s">
        <v>311</v>
      </c>
      <c r="AE111" s="183" t="s">
        <v>311</v>
      </c>
      <c r="AF111" s="184"/>
      <c r="AG111" s="183">
        <v>3</v>
      </c>
    </row>
    <row r="112" spans="1:33" s="199" customFormat="1" ht="54.75" customHeight="1" x14ac:dyDescent="0.25">
      <c r="A112" s="198" t="s">
        <v>385</v>
      </c>
      <c r="B112" s="198" t="s">
        <v>11</v>
      </c>
      <c r="C112" s="153" t="s">
        <v>696</v>
      </c>
      <c r="D112" s="154" t="s">
        <v>32</v>
      </c>
      <c r="E112" s="184"/>
      <c r="F112" s="183">
        <v>5</v>
      </c>
      <c r="G112" s="183">
        <v>5</v>
      </c>
      <c r="H112" s="183">
        <v>3</v>
      </c>
      <c r="I112" s="183">
        <v>4</v>
      </c>
      <c r="J112" s="183">
        <v>5</v>
      </c>
      <c r="K112" s="184"/>
      <c r="L112" s="183">
        <v>5</v>
      </c>
      <c r="M112" s="184"/>
      <c r="N112" s="183">
        <v>1</v>
      </c>
      <c r="O112" s="183">
        <v>1</v>
      </c>
      <c r="P112" s="184"/>
      <c r="Q112" s="183">
        <v>5</v>
      </c>
      <c r="R112" s="183" t="s">
        <v>311</v>
      </c>
      <c r="S112" s="183" t="s">
        <v>311</v>
      </c>
      <c r="T112" s="183" t="s">
        <v>311</v>
      </c>
      <c r="U112" s="184"/>
      <c r="V112" s="183" t="s">
        <v>311</v>
      </c>
      <c r="W112" s="184"/>
      <c r="X112" s="183" t="s">
        <v>311</v>
      </c>
      <c r="Y112" s="184"/>
      <c r="Z112" s="183" t="s">
        <v>311</v>
      </c>
      <c r="AA112" s="183" t="s">
        <v>311</v>
      </c>
      <c r="AB112" s="183" t="s">
        <v>311</v>
      </c>
      <c r="AC112" s="184"/>
      <c r="AD112" s="183" t="s">
        <v>311</v>
      </c>
      <c r="AE112" s="183" t="s">
        <v>311</v>
      </c>
      <c r="AF112" s="184"/>
      <c r="AG112" s="183">
        <v>4</v>
      </c>
    </row>
    <row r="113" spans="1:33" s="199" customFormat="1" ht="63.75" x14ac:dyDescent="0.25">
      <c r="A113" s="198" t="s">
        <v>385</v>
      </c>
      <c r="B113" s="198" t="s">
        <v>12</v>
      </c>
      <c r="C113" s="153" t="s">
        <v>697</v>
      </c>
      <c r="D113" s="154" t="s">
        <v>32</v>
      </c>
      <c r="E113" s="184"/>
      <c r="F113" s="183">
        <v>5</v>
      </c>
      <c r="G113" s="183">
        <v>5</v>
      </c>
      <c r="H113" s="183">
        <v>4</v>
      </c>
      <c r="I113" s="183">
        <v>4</v>
      </c>
      <c r="J113" s="183">
        <v>2</v>
      </c>
      <c r="K113" s="184"/>
      <c r="L113" s="183">
        <v>5</v>
      </c>
      <c r="M113" s="184"/>
      <c r="N113" s="183">
        <v>1</v>
      </c>
      <c r="O113" s="183">
        <v>1</v>
      </c>
      <c r="P113" s="184"/>
      <c r="Q113" s="183">
        <v>5</v>
      </c>
      <c r="R113" s="183" t="s">
        <v>311</v>
      </c>
      <c r="S113" s="183" t="s">
        <v>311</v>
      </c>
      <c r="T113" s="183" t="s">
        <v>311</v>
      </c>
      <c r="U113" s="184"/>
      <c r="V113" s="183" t="s">
        <v>311</v>
      </c>
      <c r="W113" s="184"/>
      <c r="X113" s="183" t="s">
        <v>311</v>
      </c>
      <c r="Y113" s="184"/>
      <c r="Z113" s="183" t="s">
        <v>311</v>
      </c>
      <c r="AA113" s="183" t="s">
        <v>311</v>
      </c>
      <c r="AB113" s="183" t="s">
        <v>311</v>
      </c>
      <c r="AC113" s="184"/>
      <c r="AD113" s="183" t="s">
        <v>311</v>
      </c>
      <c r="AE113" s="183" t="s">
        <v>311</v>
      </c>
      <c r="AF113" s="184"/>
      <c r="AG113" s="183">
        <v>4</v>
      </c>
    </row>
    <row r="114" spans="1:33" s="199" customFormat="1" ht="47.25" customHeight="1" x14ac:dyDescent="0.25">
      <c r="A114" s="198" t="s">
        <v>385</v>
      </c>
      <c r="B114" s="198" t="s">
        <v>13</v>
      </c>
      <c r="C114" s="153" t="s">
        <v>698</v>
      </c>
      <c r="D114" s="154" t="s">
        <v>32</v>
      </c>
      <c r="E114" s="184"/>
      <c r="F114" s="183">
        <v>5</v>
      </c>
      <c r="G114" s="183">
        <v>5</v>
      </c>
      <c r="H114" s="183">
        <v>3</v>
      </c>
      <c r="I114" s="183">
        <v>4</v>
      </c>
      <c r="J114" s="183">
        <v>5</v>
      </c>
      <c r="K114" s="184"/>
      <c r="L114" s="183">
        <v>5</v>
      </c>
      <c r="M114" s="184"/>
      <c r="N114" s="183">
        <v>1</v>
      </c>
      <c r="O114" s="183">
        <v>1</v>
      </c>
      <c r="P114" s="184"/>
      <c r="Q114" s="183">
        <v>5</v>
      </c>
      <c r="R114" s="183" t="s">
        <v>311</v>
      </c>
      <c r="S114" s="183" t="s">
        <v>311</v>
      </c>
      <c r="T114" s="183" t="s">
        <v>311</v>
      </c>
      <c r="U114" s="184"/>
      <c r="V114" s="183" t="s">
        <v>311</v>
      </c>
      <c r="W114" s="184"/>
      <c r="X114" s="183" t="s">
        <v>311</v>
      </c>
      <c r="Y114" s="184"/>
      <c r="Z114" s="183" t="s">
        <v>311</v>
      </c>
      <c r="AA114" s="183" t="s">
        <v>311</v>
      </c>
      <c r="AB114" s="183" t="s">
        <v>311</v>
      </c>
      <c r="AC114" s="184"/>
      <c r="AD114" s="183" t="s">
        <v>311</v>
      </c>
      <c r="AE114" s="183" t="s">
        <v>311</v>
      </c>
      <c r="AF114" s="184"/>
      <c r="AG114" s="183">
        <v>1</v>
      </c>
    </row>
    <row r="115" spans="1:33" s="199" customFormat="1" ht="39" customHeight="1" x14ac:dyDescent="0.25">
      <c r="A115" s="198" t="s">
        <v>385</v>
      </c>
      <c r="B115" s="198" t="s">
        <v>14</v>
      </c>
      <c r="C115" s="153" t="s">
        <v>699</v>
      </c>
      <c r="D115" s="154" t="s">
        <v>32</v>
      </c>
      <c r="E115" s="184"/>
      <c r="F115" s="183">
        <v>4</v>
      </c>
      <c r="G115" s="183">
        <v>4</v>
      </c>
      <c r="H115" s="183">
        <v>3</v>
      </c>
      <c r="I115" s="183">
        <v>3</v>
      </c>
      <c r="J115" s="183">
        <v>3</v>
      </c>
      <c r="K115" s="184"/>
      <c r="L115" s="183">
        <v>3</v>
      </c>
      <c r="M115" s="184"/>
      <c r="N115" s="183">
        <v>3</v>
      </c>
      <c r="O115" s="183">
        <v>5</v>
      </c>
      <c r="P115" s="184"/>
      <c r="Q115" s="183">
        <v>3</v>
      </c>
      <c r="R115" s="183" t="s">
        <v>311</v>
      </c>
      <c r="S115" s="183" t="s">
        <v>311</v>
      </c>
      <c r="T115" s="183" t="s">
        <v>311</v>
      </c>
      <c r="U115" s="184"/>
      <c r="V115" s="183" t="s">
        <v>311</v>
      </c>
      <c r="W115" s="184"/>
      <c r="X115" s="183" t="s">
        <v>311</v>
      </c>
      <c r="Y115" s="184"/>
      <c r="Z115" s="183" t="s">
        <v>311</v>
      </c>
      <c r="AA115" s="183" t="s">
        <v>311</v>
      </c>
      <c r="AB115" s="183" t="s">
        <v>311</v>
      </c>
      <c r="AC115" s="184"/>
      <c r="AD115" s="183" t="s">
        <v>311</v>
      </c>
      <c r="AE115" s="183" t="s">
        <v>311</v>
      </c>
      <c r="AF115" s="184"/>
      <c r="AG115" s="183">
        <v>3</v>
      </c>
    </row>
    <row r="116" spans="1:33" s="167" customFormat="1" ht="64.5" customHeight="1" x14ac:dyDescent="0.25">
      <c r="A116" s="198" t="s">
        <v>385</v>
      </c>
      <c r="B116" s="198" t="s">
        <v>15</v>
      </c>
      <c r="C116" s="153" t="s">
        <v>700</v>
      </c>
      <c r="D116" s="154" t="s">
        <v>32</v>
      </c>
      <c r="E116" s="186"/>
      <c r="F116" s="183">
        <v>5</v>
      </c>
      <c r="G116" s="183">
        <v>5</v>
      </c>
      <c r="H116" s="183">
        <v>3</v>
      </c>
      <c r="I116" s="183">
        <v>4</v>
      </c>
      <c r="J116" s="183">
        <v>4</v>
      </c>
      <c r="K116" s="186"/>
      <c r="L116" s="183">
        <v>4</v>
      </c>
      <c r="M116" s="186"/>
      <c r="N116" s="183">
        <v>1</v>
      </c>
      <c r="O116" s="183">
        <v>1</v>
      </c>
      <c r="P116" s="186"/>
      <c r="Q116" s="183">
        <v>5</v>
      </c>
      <c r="R116" s="183" t="s">
        <v>311</v>
      </c>
      <c r="S116" s="183" t="s">
        <v>311</v>
      </c>
      <c r="T116" s="183" t="s">
        <v>311</v>
      </c>
      <c r="U116" s="186"/>
      <c r="V116" s="183" t="s">
        <v>311</v>
      </c>
      <c r="W116" s="186"/>
      <c r="X116" s="183" t="s">
        <v>311</v>
      </c>
      <c r="Y116" s="186"/>
      <c r="Z116" s="183" t="s">
        <v>311</v>
      </c>
      <c r="AA116" s="183" t="s">
        <v>311</v>
      </c>
      <c r="AB116" s="183" t="s">
        <v>311</v>
      </c>
      <c r="AC116" s="186"/>
      <c r="AD116" s="183" t="s">
        <v>311</v>
      </c>
      <c r="AE116" s="183" t="s">
        <v>311</v>
      </c>
      <c r="AF116" s="186"/>
      <c r="AG116" s="183">
        <v>2</v>
      </c>
    </row>
    <row r="117" spans="1:33" s="167" customFormat="1" ht="39" customHeight="1" x14ac:dyDescent="0.25">
      <c r="A117" s="198" t="s">
        <v>385</v>
      </c>
      <c r="B117" s="198" t="s">
        <v>16</v>
      </c>
      <c r="C117" s="153" t="s">
        <v>701</v>
      </c>
      <c r="D117" s="154" t="s">
        <v>32</v>
      </c>
      <c r="E117" s="184"/>
      <c r="F117" s="183">
        <v>4</v>
      </c>
      <c r="G117" s="183">
        <v>5</v>
      </c>
      <c r="H117" s="183">
        <v>4</v>
      </c>
      <c r="I117" s="183">
        <v>2</v>
      </c>
      <c r="J117" s="183">
        <v>4</v>
      </c>
      <c r="K117" s="184"/>
      <c r="L117" s="183">
        <v>5</v>
      </c>
      <c r="M117" s="184"/>
      <c r="N117" s="183">
        <v>5</v>
      </c>
      <c r="O117" s="183">
        <v>5</v>
      </c>
      <c r="P117" s="184"/>
      <c r="Q117" s="183">
        <v>5</v>
      </c>
      <c r="R117" s="183" t="s">
        <v>311</v>
      </c>
      <c r="S117" s="183" t="s">
        <v>311</v>
      </c>
      <c r="T117" s="183" t="s">
        <v>311</v>
      </c>
      <c r="U117" s="184"/>
      <c r="V117" s="183" t="s">
        <v>311</v>
      </c>
      <c r="W117" s="184"/>
      <c r="X117" s="183" t="s">
        <v>311</v>
      </c>
      <c r="Y117" s="184"/>
      <c r="Z117" s="183" t="s">
        <v>311</v>
      </c>
      <c r="AA117" s="183" t="s">
        <v>311</v>
      </c>
      <c r="AB117" s="183" t="s">
        <v>311</v>
      </c>
      <c r="AC117" s="184"/>
      <c r="AD117" s="183" t="s">
        <v>311</v>
      </c>
      <c r="AE117" s="183" t="s">
        <v>311</v>
      </c>
      <c r="AF117" s="184"/>
      <c r="AG117" s="183">
        <v>4</v>
      </c>
    </row>
    <row r="118" spans="1:33" s="167" customFormat="1" ht="255" x14ac:dyDescent="0.25">
      <c r="A118" s="198" t="s">
        <v>385</v>
      </c>
      <c r="B118" s="198" t="s">
        <v>17</v>
      </c>
      <c r="C118" s="153" t="s">
        <v>702</v>
      </c>
      <c r="D118" s="154" t="s">
        <v>32</v>
      </c>
      <c r="E118" s="184"/>
      <c r="F118" s="183">
        <v>4</v>
      </c>
      <c r="G118" s="183">
        <v>5</v>
      </c>
      <c r="H118" s="183">
        <v>3</v>
      </c>
      <c r="I118" s="183">
        <v>3</v>
      </c>
      <c r="J118" s="183">
        <v>5</v>
      </c>
      <c r="K118" s="184"/>
      <c r="L118" s="183">
        <v>5</v>
      </c>
      <c r="M118" s="184"/>
      <c r="N118" s="183">
        <v>5</v>
      </c>
      <c r="O118" s="183">
        <v>5</v>
      </c>
      <c r="P118" s="184"/>
      <c r="Q118" s="183">
        <v>4</v>
      </c>
      <c r="R118" s="183" t="s">
        <v>311</v>
      </c>
      <c r="S118" s="183" t="s">
        <v>311</v>
      </c>
      <c r="T118" s="183" t="s">
        <v>311</v>
      </c>
      <c r="U118" s="184"/>
      <c r="V118" s="183" t="s">
        <v>311</v>
      </c>
      <c r="W118" s="184"/>
      <c r="X118" s="183" t="s">
        <v>311</v>
      </c>
      <c r="Y118" s="184"/>
      <c r="Z118" s="183" t="s">
        <v>311</v>
      </c>
      <c r="AA118" s="183" t="s">
        <v>311</v>
      </c>
      <c r="AB118" s="183" t="s">
        <v>311</v>
      </c>
      <c r="AC118" s="184"/>
      <c r="AD118" s="183" t="s">
        <v>311</v>
      </c>
      <c r="AE118" s="183" t="s">
        <v>311</v>
      </c>
      <c r="AF118" s="184"/>
      <c r="AG118" s="183">
        <v>5</v>
      </c>
    </row>
    <row r="119" spans="1:33" s="203" customFormat="1" ht="153" x14ac:dyDescent="0.25">
      <c r="A119" s="198" t="s">
        <v>386</v>
      </c>
      <c r="B119" s="198" t="s">
        <v>7</v>
      </c>
      <c r="C119" s="153" t="s">
        <v>689</v>
      </c>
      <c r="D119" s="154" t="s">
        <v>32</v>
      </c>
      <c r="E119" s="184"/>
      <c r="F119" s="183">
        <v>4</v>
      </c>
      <c r="G119" s="183">
        <v>5</v>
      </c>
      <c r="H119" s="183">
        <v>5</v>
      </c>
      <c r="I119" s="183">
        <v>3</v>
      </c>
      <c r="J119" s="183">
        <v>5</v>
      </c>
      <c r="K119" s="184"/>
      <c r="L119" s="183">
        <v>5</v>
      </c>
      <c r="M119" s="184"/>
      <c r="N119" s="183">
        <v>1</v>
      </c>
      <c r="O119" s="183">
        <v>1</v>
      </c>
      <c r="P119" s="184"/>
      <c r="Q119" s="183">
        <v>5</v>
      </c>
      <c r="R119" s="183">
        <v>4</v>
      </c>
      <c r="S119" s="183">
        <v>0</v>
      </c>
      <c r="T119" s="183">
        <v>3</v>
      </c>
      <c r="U119" s="184"/>
      <c r="V119" s="183">
        <v>4</v>
      </c>
      <c r="W119" s="184"/>
      <c r="X119" s="183">
        <v>2</v>
      </c>
      <c r="Y119" s="184"/>
      <c r="Z119" s="183">
        <v>5</v>
      </c>
      <c r="AA119" s="183">
        <v>4</v>
      </c>
      <c r="AB119" s="183">
        <v>4</v>
      </c>
      <c r="AC119" s="184"/>
      <c r="AD119" s="183">
        <v>5</v>
      </c>
      <c r="AE119" s="183">
        <v>5</v>
      </c>
      <c r="AF119" s="184"/>
      <c r="AG119" s="183">
        <v>4</v>
      </c>
    </row>
    <row r="120" spans="1:33" s="167" customFormat="1" ht="140.25" x14ac:dyDescent="0.25">
      <c r="A120" s="198" t="s">
        <v>386</v>
      </c>
      <c r="B120" s="198" t="s">
        <v>376</v>
      </c>
      <c r="C120" s="153" t="s">
        <v>690</v>
      </c>
      <c r="D120" s="154" t="s">
        <v>32</v>
      </c>
      <c r="E120" s="184"/>
      <c r="F120" s="183">
        <v>3</v>
      </c>
      <c r="G120" s="183">
        <v>3</v>
      </c>
      <c r="H120" s="183">
        <v>3</v>
      </c>
      <c r="I120" s="183">
        <v>2</v>
      </c>
      <c r="J120" s="183">
        <v>3</v>
      </c>
      <c r="K120" s="184"/>
      <c r="L120" s="183">
        <v>5</v>
      </c>
      <c r="M120" s="184"/>
      <c r="N120" s="183">
        <v>5</v>
      </c>
      <c r="O120" s="183">
        <v>5</v>
      </c>
      <c r="P120" s="184"/>
      <c r="Q120" s="183">
        <v>4</v>
      </c>
      <c r="R120" s="183">
        <v>1</v>
      </c>
      <c r="S120" s="183">
        <v>0</v>
      </c>
      <c r="T120" s="183">
        <v>4</v>
      </c>
      <c r="U120" s="184"/>
      <c r="V120" s="183">
        <v>4</v>
      </c>
      <c r="W120" s="184"/>
      <c r="X120" s="183">
        <v>4</v>
      </c>
      <c r="Y120" s="184"/>
      <c r="Z120" s="183">
        <v>2</v>
      </c>
      <c r="AA120" s="183">
        <v>3</v>
      </c>
      <c r="AB120" s="183">
        <v>3</v>
      </c>
      <c r="AC120" s="184"/>
      <c r="AD120" s="183">
        <v>5</v>
      </c>
      <c r="AE120" s="183">
        <v>5</v>
      </c>
      <c r="AF120" s="184"/>
      <c r="AG120" s="183">
        <v>3</v>
      </c>
    </row>
    <row r="121" spans="1:33" s="167" customFormat="1" ht="39" customHeight="1" x14ac:dyDescent="0.25">
      <c r="A121" s="198" t="s">
        <v>386</v>
      </c>
      <c r="B121" s="198" t="s">
        <v>377</v>
      </c>
      <c r="C121" s="153" t="s">
        <v>691</v>
      </c>
      <c r="D121" s="154" t="s">
        <v>32</v>
      </c>
      <c r="E121" s="186"/>
      <c r="F121" s="183">
        <v>1</v>
      </c>
      <c r="G121" s="183">
        <v>2</v>
      </c>
      <c r="H121" s="183">
        <v>3</v>
      </c>
      <c r="I121" s="183">
        <v>4</v>
      </c>
      <c r="J121" s="183">
        <v>3</v>
      </c>
      <c r="K121" s="186"/>
      <c r="L121" s="183">
        <v>1</v>
      </c>
      <c r="M121" s="186"/>
      <c r="N121" s="183">
        <v>3</v>
      </c>
      <c r="O121" s="183">
        <v>3</v>
      </c>
      <c r="P121" s="186"/>
      <c r="Q121" s="183">
        <v>3</v>
      </c>
      <c r="R121" s="183">
        <v>3</v>
      </c>
      <c r="S121" s="183">
        <v>0</v>
      </c>
      <c r="T121" s="183">
        <v>1</v>
      </c>
      <c r="U121" s="186"/>
      <c r="V121" s="183">
        <v>3</v>
      </c>
      <c r="W121" s="186"/>
      <c r="X121" s="183">
        <v>4</v>
      </c>
      <c r="Y121" s="186"/>
      <c r="Z121" s="183">
        <v>3</v>
      </c>
      <c r="AA121" s="183">
        <v>1</v>
      </c>
      <c r="AB121" s="183">
        <v>3</v>
      </c>
      <c r="AC121" s="186"/>
      <c r="AD121" s="183">
        <v>3</v>
      </c>
      <c r="AE121" s="183">
        <v>3</v>
      </c>
      <c r="AF121" s="186"/>
      <c r="AG121" s="183">
        <v>2</v>
      </c>
    </row>
    <row r="122" spans="1:33" s="167" customFormat="1" ht="39" customHeight="1" x14ac:dyDescent="0.25">
      <c r="A122" s="198" t="s">
        <v>386</v>
      </c>
      <c r="B122" s="198" t="s">
        <v>8</v>
      </c>
      <c r="C122" s="153" t="s">
        <v>692</v>
      </c>
      <c r="D122" s="154" t="s">
        <v>32</v>
      </c>
      <c r="E122" s="184"/>
      <c r="F122" s="183">
        <v>5</v>
      </c>
      <c r="G122" s="183">
        <v>2</v>
      </c>
      <c r="H122" s="183">
        <v>4</v>
      </c>
      <c r="I122" s="183">
        <v>3</v>
      </c>
      <c r="J122" s="183">
        <v>3</v>
      </c>
      <c r="K122" s="184"/>
      <c r="L122" s="183">
        <v>5</v>
      </c>
      <c r="M122" s="184"/>
      <c r="N122" s="183">
        <v>3</v>
      </c>
      <c r="O122" s="183">
        <v>5</v>
      </c>
      <c r="P122" s="184"/>
      <c r="Q122" s="183">
        <v>3</v>
      </c>
      <c r="R122" s="183">
        <v>4</v>
      </c>
      <c r="S122" s="183">
        <v>0</v>
      </c>
      <c r="T122" s="183">
        <v>5</v>
      </c>
      <c r="U122" s="184"/>
      <c r="V122" s="183">
        <v>4</v>
      </c>
      <c r="W122" s="184"/>
      <c r="X122" s="183">
        <v>2</v>
      </c>
      <c r="Y122" s="184"/>
      <c r="Z122" s="183">
        <v>4</v>
      </c>
      <c r="AA122" s="183">
        <v>3</v>
      </c>
      <c r="AB122" s="183">
        <v>3</v>
      </c>
      <c r="AC122" s="184"/>
      <c r="AD122" s="183">
        <v>2</v>
      </c>
      <c r="AE122" s="183">
        <v>2</v>
      </c>
      <c r="AF122" s="184"/>
      <c r="AG122" s="183">
        <v>3</v>
      </c>
    </row>
    <row r="123" spans="1:33" s="167" customFormat="1" ht="60" customHeight="1" x14ac:dyDescent="0.25">
      <c r="A123" s="198" t="s">
        <v>386</v>
      </c>
      <c r="B123" s="198" t="s">
        <v>9</v>
      </c>
      <c r="C123" s="153" t="s">
        <v>693</v>
      </c>
      <c r="D123" s="154" t="s">
        <v>32</v>
      </c>
      <c r="E123" s="184"/>
      <c r="F123" s="183">
        <v>5</v>
      </c>
      <c r="G123" s="183">
        <v>2</v>
      </c>
      <c r="H123" s="183">
        <v>3</v>
      </c>
      <c r="I123" s="183">
        <v>4</v>
      </c>
      <c r="J123" s="183">
        <v>3</v>
      </c>
      <c r="K123" s="184"/>
      <c r="L123" s="183">
        <v>5</v>
      </c>
      <c r="M123" s="184"/>
      <c r="N123" s="183">
        <v>1</v>
      </c>
      <c r="O123" s="183">
        <v>1</v>
      </c>
      <c r="P123" s="184"/>
      <c r="Q123" s="183">
        <v>4</v>
      </c>
      <c r="R123" s="183">
        <v>3</v>
      </c>
      <c r="S123" s="183">
        <v>0</v>
      </c>
      <c r="T123" s="183">
        <v>3</v>
      </c>
      <c r="U123" s="184"/>
      <c r="V123" s="183">
        <v>4</v>
      </c>
      <c r="W123" s="184"/>
      <c r="X123" s="183">
        <v>3</v>
      </c>
      <c r="Y123" s="184"/>
      <c r="Z123" s="183">
        <v>3</v>
      </c>
      <c r="AA123" s="183">
        <v>1</v>
      </c>
      <c r="AB123" s="183">
        <v>3</v>
      </c>
      <c r="AC123" s="184"/>
      <c r="AD123" s="183">
        <v>3</v>
      </c>
      <c r="AE123" s="183">
        <v>3</v>
      </c>
      <c r="AF123" s="184"/>
      <c r="AG123" s="183">
        <v>3</v>
      </c>
    </row>
    <row r="124" spans="1:33" s="167" customFormat="1" ht="40.5" customHeight="1" x14ac:dyDescent="0.25">
      <c r="A124" s="198" t="s">
        <v>386</v>
      </c>
      <c r="B124" s="198" t="s">
        <v>10</v>
      </c>
      <c r="C124" s="153" t="s">
        <v>694</v>
      </c>
      <c r="D124" s="154" t="s">
        <v>32</v>
      </c>
      <c r="E124" s="184"/>
      <c r="F124" s="183">
        <v>1</v>
      </c>
      <c r="G124" s="183">
        <v>1</v>
      </c>
      <c r="H124" s="183">
        <v>2</v>
      </c>
      <c r="I124" s="183">
        <v>4</v>
      </c>
      <c r="J124" s="183">
        <v>3</v>
      </c>
      <c r="K124" s="184"/>
      <c r="L124" s="183">
        <v>1</v>
      </c>
      <c r="M124" s="184"/>
      <c r="N124" s="183">
        <v>3</v>
      </c>
      <c r="O124" s="183">
        <v>3</v>
      </c>
      <c r="P124" s="184"/>
      <c r="Q124" s="183">
        <v>3</v>
      </c>
      <c r="R124" s="183">
        <v>3</v>
      </c>
      <c r="S124" s="183">
        <v>0</v>
      </c>
      <c r="T124" s="183">
        <v>1</v>
      </c>
      <c r="U124" s="184"/>
      <c r="V124" s="183">
        <v>3</v>
      </c>
      <c r="W124" s="184"/>
      <c r="X124" s="183">
        <v>4</v>
      </c>
      <c r="Y124" s="184"/>
      <c r="Z124" s="183">
        <v>3</v>
      </c>
      <c r="AA124" s="183">
        <v>1</v>
      </c>
      <c r="AB124" s="183">
        <v>3</v>
      </c>
      <c r="AC124" s="184"/>
      <c r="AD124" s="183">
        <v>3</v>
      </c>
      <c r="AE124" s="183">
        <v>3</v>
      </c>
      <c r="AF124" s="184"/>
      <c r="AG124" s="183">
        <v>2</v>
      </c>
    </row>
    <row r="125" spans="1:33" s="199" customFormat="1" ht="91.5" customHeight="1" x14ac:dyDescent="0.25">
      <c r="A125" s="198" t="s">
        <v>386</v>
      </c>
      <c r="B125" s="198" t="s">
        <v>378</v>
      </c>
      <c r="C125" s="153" t="s">
        <v>695</v>
      </c>
      <c r="D125" s="154" t="s">
        <v>32</v>
      </c>
      <c r="E125" s="184"/>
      <c r="F125" s="183">
        <v>5</v>
      </c>
      <c r="G125" s="183">
        <v>3</v>
      </c>
      <c r="H125" s="183">
        <v>3</v>
      </c>
      <c r="I125" s="183">
        <v>4</v>
      </c>
      <c r="J125" s="183">
        <v>5</v>
      </c>
      <c r="K125" s="184"/>
      <c r="L125" s="183">
        <v>5</v>
      </c>
      <c r="M125" s="184"/>
      <c r="N125" s="183">
        <v>1</v>
      </c>
      <c r="O125" s="183">
        <v>3</v>
      </c>
      <c r="P125" s="184"/>
      <c r="Q125" s="183">
        <v>2</v>
      </c>
      <c r="R125" s="183">
        <v>4</v>
      </c>
      <c r="S125" s="183">
        <v>0</v>
      </c>
      <c r="T125" s="183">
        <v>5</v>
      </c>
      <c r="U125" s="184"/>
      <c r="V125" s="183">
        <v>4</v>
      </c>
      <c r="W125" s="184"/>
      <c r="X125" s="183">
        <v>4</v>
      </c>
      <c r="Y125" s="184"/>
      <c r="Z125" s="183">
        <v>3</v>
      </c>
      <c r="AA125" s="183">
        <v>4</v>
      </c>
      <c r="AB125" s="183">
        <v>5</v>
      </c>
      <c r="AC125" s="184"/>
      <c r="AD125" s="183">
        <v>1</v>
      </c>
      <c r="AE125" s="183">
        <v>4</v>
      </c>
      <c r="AF125" s="184"/>
      <c r="AG125" s="183">
        <v>5</v>
      </c>
    </row>
    <row r="126" spans="1:33" s="199" customFormat="1" ht="39" customHeight="1" x14ac:dyDescent="0.25">
      <c r="A126" s="198" t="s">
        <v>386</v>
      </c>
      <c r="B126" s="198" t="s">
        <v>11</v>
      </c>
      <c r="C126" s="153" t="s">
        <v>696</v>
      </c>
      <c r="D126" s="154" t="s">
        <v>32</v>
      </c>
      <c r="E126" s="184"/>
      <c r="F126" s="183">
        <v>5</v>
      </c>
      <c r="G126" s="183">
        <v>3</v>
      </c>
      <c r="H126" s="183">
        <v>3</v>
      </c>
      <c r="I126" s="183">
        <v>2</v>
      </c>
      <c r="J126" s="183">
        <v>5</v>
      </c>
      <c r="K126" s="184"/>
      <c r="L126" s="183">
        <v>5</v>
      </c>
      <c r="M126" s="184"/>
      <c r="N126" s="183">
        <v>1</v>
      </c>
      <c r="O126" s="183">
        <v>1</v>
      </c>
      <c r="P126" s="184"/>
      <c r="Q126" s="183">
        <v>5</v>
      </c>
      <c r="R126" s="183">
        <v>4</v>
      </c>
      <c r="S126" s="183">
        <v>0</v>
      </c>
      <c r="T126" s="183">
        <v>5</v>
      </c>
      <c r="U126" s="184"/>
      <c r="V126" s="183">
        <v>4</v>
      </c>
      <c r="W126" s="184"/>
      <c r="X126" s="183">
        <v>2</v>
      </c>
      <c r="Y126" s="184"/>
      <c r="Z126" s="183">
        <v>3</v>
      </c>
      <c r="AA126" s="183">
        <v>4</v>
      </c>
      <c r="AB126" s="183">
        <v>3</v>
      </c>
      <c r="AC126" s="184"/>
      <c r="AD126" s="183">
        <v>1</v>
      </c>
      <c r="AE126" s="183">
        <v>5</v>
      </c>
      <c r="AF126" s="184"/>
      <c r="AG126" s="183">
        <v>5</v>
      </c>
    </row>
    <row r="127" spans="1:33" ht="40.5" customHeight="1" x14ac:dyDescent="0.25">
      <c r="A127" s="198" t="s">
        <v>386</v>
      </c>
      <c r="B127" s="198" t="s">
        <v>12</v>
      </c>
      <c r="C127" s="153" t="s">
        <v>697</v>
      </c>
      <c r="D127" s="154" t="s">
        <v>32</v>
      </c>
      <c r="E127" s="206"/>
      <c r="F127" s="183">
        <v>5</v>
      </c>
      <c r="G127" s="183">
        <v>3</v>
      </c>
      <c r="H127" s="183">
        <v>5</v>
      </c>
      <c r="I127" s="183">
        <v>3</v>
      </c>
      <c r="J127" s="183">
        <v>3</v>
      </c>
      <c r="K127" s="206"/>
      <c r="L127" s="183">
        <v>5</v>
      </c>
      <c r="M127" s="206"/>
      <c r="N127" s="183">
        <v>1</v>
      </c>
      <c r="O127" s="183">
        <v>1</v>
      </c>
      <c r="P127" s="206"/>
      <c r="Q127" s="183">
        <v>4</v>
      </c>
      <c r="R127" s="183">
        <v>4</v>
      </c>
      <c r="S127" s="183">
        <v>0</v>
      </c>
      <c r="T127" s="183">
        <v>5</v>
      </c>
      <c r="U127" s="206"/>
      <c r="V127" s="183">
        <v>4</v>
      </c>
      <c r="W127" s="206"/>
      <c r="X127" s="183">
        <v>2</v>
      </c>
      <c r="Y127" s="206"/>
      <c r="Z127" s="183">
        <v>5</v>
      </c>
      <c r="AA127" s="183">
        <v>4</v>
      </c>
      <c r="AB127" s="183">
        <v>3</v>
      </c>
      <c r="AC127" s="206"/>
      <c r="AD127" s="183">
        <v>2</v>
      </c>
      <c r="AE127" s="183">
        <v>2</v>
      </c>
      <c r="AF127" s="206"/>
      <c r="AG127" s="183">
        <v>5</v>
      </c>
    </row>
    <row r="128" spans="1:33" ht="40.5" customHeight="1" x14ac:dyDescent="0.25">
      <c r="A128" s="198" t="s">
        <v>386</v>
      </c>
      <c r="B128" s="198" t="s">
        <v>13</v>
      </c>
      <c r="C128" s="153" t="s">
        <v>698</v>
      </c>
      <c r="D128" s="154" t="s">
        <v>32</v>
      </c>
      <c r="E128" s="206"/>
      <c r="F128" s="183">
        <v>5</v>
      </c>
      <c r="G128" s="183">
        <v>3</v>
      </c>
      <c r="H128" s="183">
        <v>3</v>
      </c>
      <c r="I128" s="183">
        <v>4</v>
      </c>
      <c r="J128" s="183">
        <v>3</v>
      </c>
      <c r="K128" s="206"/>
      <c r="L128" s="183">
        <v>5</v>
      </c>
      <c r="M128" s="206"/>
      <c r="N128" s="183">
        <v>1</v>
      </c>
      <c r="O128" s="183">
        <v>1</v>
      </c>
      <c r="P128" s="206"/>
      <c r="Q128" s="183">
        <v>5</v>
      </c>
      <c r="R128" s="183">
        <v>4</v>
      </c>
      <c r="S128" s="183">
        <v>0</v>
      </c>
      <c r="T128" s="183">
        <v>4</v>
      </c>
      <c r="U128" s="206"/>
      <c r="V128" s="183">
        <v>2</v>
      </c>
      <c r="W128" s="206"/>
      <c r="X128" s="183">
        <v>2</v>
      </c>
      <c r="Y128" s="206"/>
      <c r="Z128" s="183">
        <v>3</v>
      </c>
      <c r="AA128" s="183">
        <v>2</v>
      </c>
      <c r="AB128" s="183">
        <v>1</v>
      </c>
      <c r="AC128" s="206"/>
      <c r="AD128" s="183">
        <v>1</v>
      </c>
      <c r="AE128" s="183">
        <v>1</v>
      </c>
      <c r="AF128" s="206"/>
      <c r="AG128" s="183">
        <v>2</v>
      </c>
    </row>
    <row r="129" spans="1:33" ht="40.5" customHeight="1" x14ac:dyDescent="0.25">
      <c r="A129" s="198" t="s">
        <v>386</v>
      </c>
      <c r="B129" s="198" t="s">
        <v>14</v>
      </c>
      <c r="C129" s="153" t="s">
        <v>699</v>
      </c>
      <c r="D129" s="154" t="s">
        <v>32</v>
      </c>
      <c r="E129" s="206"/>
      <c r="F129" s="183">
        <v>2</v>
      </c>
      <c r="G129" s="183">
        <v>2</v>
      </c>
      <c r="H129" s="183">
        <v>5</v>
      </c>
      <c r="I129" s="183">
        <v>3</v>
      </c>
      <c r="J129" s="183">
        <v>5</v>
      </c>
      <c r="K129" s="206"/>
      <c r="L129" s="183">
        <v>3</v>
      </c>
      <c r="M129" s="206"/>
      <c r="N129" s="183">
        <v>3</v>
      </c>
      <c r="O129" s="183">
        <v>3</v>
      </c>
      <c r="P129" s="206"/>
      <c r="Q129" s="183">
        <v>2</v>
      </c>
      <c r="R129" s="183">
        <v>4</v>
      </c>
      <c r="S129" s="183">
        <v>0</v>
      </c>
      <c r="T129" s="183">
        <v>4</v>
      </c>
      <c r="U129" s="206"/>
      <c r="V129" s="183">
        <v>4</v>
      </c>
      <c r="W129" s="206"/>
      <c r="X129" s="183">
        <v>4</v>
      </c>
      <c r="Y129" s="206"/>
      <c r="Z129" s="183">
        <v>4</v>
      </c>
      <c r="AA129" s="183">
        <v>5</v>
      </c>
      <c r="AB129" s="183">
        <v>5</v>
      </c>
      <c r="AC129" s="206"/>
      <c r="AD129" s="183">
        <v>5</v>
      </c>
      <c r="AE129" s="183">
        <v>5</v>
      </c>
      <c r="AF129" s="206"/>
      <c r="AG129" s="183">
        <v>4</v>
      </c>
    </row>
    <row r="130" spans="1:33" ht="40.5" customHeight="1" x14ac:dyDescent="0.25">
      <c r="A130" s="198" t="s">
        <v>386</v>
      </c>
      <c r="B130" s="198" t="s">
        <v>15</v>
      </c>
      <c r="C130" s="153" t="s">
        <v>700</v>
      </c>
      <c r="D130" s="154" t="s">
        <v>32</v>
      </c>
      <c r="E130" s="206"/>
      <c r="F130" s="183">
        <v>5</v>
      </c>
      <c r="G130" s="183">
        <v>2</v>
      </c>
      <c r="H130" s="183">
        <v>4</v>
      </c>
      <c r="I130" s="183">
        <v>4</v>
      </c>
      <c r="J130" s="183">
        <v>5</v>
      </c>
      <c r="K130" s="206"/>
      <c r="L130" s="183">
        <v>4</v>
      </c>
      <c r="M130" s="206"/>
      <c r="N130" s="183">
        <v>3</v>
      </c>
      <c r="O130" s="183">
        <v>3</v>
      </c>
      <c r="P130" s="206"/>
      <c r="Q130" s="183">
        <v>2</v>
      </c>
      <c r="R130" s="183">
        <v>4</v>
      </c>
      <c r="S130" s="183">
        <v>0</v>
      </c>
      <c r="T130" s="183">
        <v>4</v>
      </c>
      <c r="U130" s="206"/>
      <c r="V130" s="183">
        <v>4</v>
      </c>
      <c r="W130" s="206"/>
      <c r="X130" s="183">
        <v>4</v>
      </c>
      <c r="Y130" s="206"/>
      <c r="Z130" s="183">
        <v>4</v>
      </c>
      <c r="AA130" s="183">
        <v>4</v>
      </c>
      <c r="AB130" s="183">
        <v>3</v>
      </c>
      <c r="AC130" s="206"/>
      <c r="AD130" s="183">
        <v>5</v>
      </c>
      <c r="AE130" s="183">
        <v>5</v>
      </c>
      <c r="AF130" s="206"/>
      <c r="AG130" s="183">
        <v>3</v>
      </c>
    </row>
    <row r="131" spans="1:33" ht="40.5" customHeight="1" x14ac:dyDescent="0.25">
      <c r="A131" s="198" t="s">
        <v>386</v>
      </c>
      <c r="B131" s="198" t="s">
        <v>16</v>
      </c>
      <c r="C131" s="153" t="s">
        <v>701</v>
      </c>
      <c r="D131" s="154" t="s">
        <v>32</v>
      </c>
      <c r="E131" s="206"/>
      <c r="F131" s="183">
        <v>4</v>
      </c>
      <c r="G131" s="183">
        <v>4</v>
      </c>
      <c r="H131" s="183">
        <v>4</v>
      </c>
      <c r="I131" s="183">
        <v>2</v>
      </c>
      <c r="J131" s="183">
        <v>3</v>
      </c>
      <c r="K131" s="206"/>
      <c r="L131" s="183">
        <v>5</v>
      </c>
      <c r="M131" s="206"/>
      <c r="N131" s="183">
        <v>5</v>
      </c>
      <c r="O131" s="183">
        <v>5</v>
      </c>
      <c r="P131" s="206"/>
      <c r="Q131" s="183">
        <v>2</v>
      </c>
      <c r="R131" s="183">
        <v>1</v>
      </c>
      <c r="S131" s="183">
        <v>0</v>
      </c>
      <c r="T131" s="183">
        <v>5</v>
      </c>
      <c r="U131" s="206"/>
      <c r="V131" s="183">
        <v>4</v>
      </c>
      <c r="W131" s="206"/>
      <c r="X131" s="183">
        <v>4</v>
      </c>
      <c r="Y131" s="206"/>
      <c r="Z131" s="183">
        <v>4</v>
      </c>
      <c r="AA131" s="183">
        <v>4</v>
      </c>
      <c r="AB131" s="183">
        <v>3</v>
      </c>
      <c r="AC131" s="206"/>
      <c r="AD131" s="183">
        <v>5</v>
      </c>
      <c r="AE131" s="183">
        <v>5</v>
      </c>
      <c r="AF131" s="206"/>
      <c r="AG131" s="183" t="s">
        <v>311</v>
      </c>
    </row>
    <row r="132" spans="1:33" ht="40.5" customHeight="1" x14ac:dyDescent="0.25">
      <c r="A132" s="198" t="s">
        <v>386</v>
      </c>
      <c r="B132" s="198" t="s">
        <v>17</v>
      </c>
      <c r="C132" s="153" t="s">
        <v>702</v>
      </c>
      <c r="D132" s="154" t="s">
        <v>32</v>
      </c>
      <c r="E132" s="206"/>
      <c r="F132" s="183">
        <v>2</v>
      </c>
      <c r="G132" s="183">
        <v>2</v>
      </c>
      <c r="H132" s="183">
        <v>3</v>
      </c>
      <c r="I132" s="183">
        <v>3</v>
      </c>
      <c r="J132" s="183">
        <v>5</v>
      </c>
      <c r="K132" s="206"/>
      <c r="L132" s="183">
        <v>3</v>
      </c>
      <c r="M132" s="206"/>
      <c r="N132" s="183">
        <v>3</v>
      </c>
      <c r="O132" s="183">
        <v>5</v>
      </c>
      <c r="P132" s="206"/>
      <c r="Q132" s="183">
        <v>2</v>
      </c>
      <c r="R132" s="183">
        <v>4</v>
      </c>
      <c r="S132" s="183">
        <v>0</v>
      </c>
      <c r="T132" s="183">
        <v>5</v>
      </c>
      <c r="U132" s="206"/>
      <c r="V132" s="183">
        <v>4</v>
      </c>
      <c r="W132" s="206"/>
      <c r="X132" s="183">
        <v>5</v>
      </c>
      <c r="Y132" s="206"/>
      <c r="Z132" s="183">
        <v>5</v>
      </c>
      <c r="AA132" s="183">
        <v>5</v>
      </c>
      <c r="AB132" s="183">
        <v>5</v>
      </c>
      <c r="AC132" s="206"/>
      <c r="AD132" s="183">
        <v>5</v>
      </c>
      <c r="AE132" s="183">
        <v>5</v>
      </c>
      <c r="AF132" s="206"/>
      <c r="AG132" s="183">
        <v>5</v>
      </c>
    </row>
    <row r="133" spans="1:33" ht="40.5" customHeight="1" x14ac:dyDescent="0.25">
      <c r="A133" s="207" t="s">
        <v>387</v>
      </c>
      <c r="B133" s="198" t="s">
        <v>7</v>
      </c>
      <c r="C133" s="153" t="s">
        <v>689</v>
      </c>
      <c r="D133" s="154" t="s">
        <v>32</v>
      </c>
      <c r="E133" s="206"/>
      <c r="F133" s="183">
        <v>4</v>
      </c>
      <c r="G133" s="183">
        <v>5</v>
      </c>
      <c r="H133" s="183">
        <v>5</v>
      </c>
      <c r="I133" s="183">
        <v>4</v>
      </c>
      <c r="J133" s="183">
        <v>5</v>
      </c>
      <c r="K133" s="206"/>
      <c r="L133" s="183">
        <v>5</v>
      </c>
      <c r="M133" s="206"/>
      <c r="N133" s="183">
        <v>1</v>
      </c>
      <c r="O133" s="183">
        <v>5</v>
      </c>
      <c r="P133" s="206"/>
      <c r="Q133" s="183">
        <v>3</v>
      </c>
      <c r="R133" s="183" t="s">
        <v>311</v>
      </c>
      <c r="S133" s="183">
        <v>0</v>
      </c>
      <c r="T133" s="183">
        <v>4</v>
      </c>
      <c r="U133" s="206"/>
      <c r="V133" s="183">
        <v>4</v>
      </c>
      <c r="W133" s="206"/>
      <c r="X133" s="183">
        <v>2</v>
      </c>
      <c r="Y133" s="206"/>
      <c r="Z133" s="183">
        <v>3</v>
      </c>
      <c r="AA133" s="183">
        <v>5</v>
      </c>
      <c r="AB133" s="183">
        <v>3</v>
      </c>
      <c r="AC133" s="206"/>
      <c r="AD133" s="183">
        <v>3</v>
      </c>
      <c r="AE133" s="183">
        <v>3</v>
      </c>
      <c r="AF133" s="206"/>
      <c r="AG133" s="183">
        <v>4</v>
      </c>
    </row>
    <row r="134" spans="1:33" ht="12.75" customHeight="1" x14ac:dyDescent="0.25">
      <c r="A134" s="207" t="s">
        <v>387</v>
      </c>
      <c r="B134" s="198" t="s">
        <v>376</v>
      </c>
      <c r="C134" s="153" t="s">
        <v>690</v>
      </c>
      <c r="D134" s="154" t="s">
        <v>32</v>
      </c>
      <c r="E134" s="206"/>
      <c r="F134" s="183">
        <v>3</v>
      </c>
      <c r="G134" s="183">
        <v>5</v>
      </c>
      <c r="H134" s="183">
        <v>3</v>
      </c>
      <c r="I134" s="183">
        <v>2</v>
      </c>
      <c r="J134" s="183">
        <v>4</v>
      </c>
      <c r="K134" s="206"/>
      <c r="L134" s="183">
        <v>5</v>
      </c>
      <c r="M134" s="206"/>
      <c r="N134" s="183">
        <v>5</v>
      </c>
      <c r="O134" s="183">
        <v>5</v>
      </c>
      <c r="P134" s="206"/>
      <c r="Q134" s="183">
        <v>2</v>
      </c>
      <c r="R134" s="183">
        <v>1</v>
      </c>
      <c r="S134" s="183">
        <v>0</v>
      </c>
      <c r="T134" s="183">
        <v>5</v>
      </c>
      <c r="U134" s="206"/>
      <c r="V134" s="183">
        <v>4</v>
      </c>
      <c r="W134" s="206"/>
      <c r="X134" s="183">
        <v>2</v>
      </c>
      <c r="Y134" s="206"/>
      <c r="Z134" s="183">
        <v>2</v>
      </c>
      <c r="AA134" s="183">
        <v>2</v>
      </c>
      <c r="AB134" s="183">
        <v>2</v>
      </c>
      <c r="AC134" s="206"/>
      <c r="AD134" s="183">
        <v>3</v>
      </c>
      <c r="AE134" s="183">
        <v>3</v>
      </c>
      <c r="AF134" s="206"/>
      <c r="AG134" s="183">
        <v>4</v>
      </c>
    </row>
    <row r="135" spans="1:33" ht="12.75" customHeight="1" x14ac:dyDescent="0.25">
      <c r="A135" s="207" t="s">
        <v>387</v>
      </c>
      <c r="B135" s="198" t="s">
        <v>377</v>
      </c>
      <c r="C135" s="153" t="s">
        <v>691</v>
      </c>
      <c r="D135" s="154" t="s">
        <v>32</v>
      </c>
      <c r="E135" s="206"/>
      <c r="F135" s="183">
        <v>5</v>
      </c>
      <c r="G135" s="183">
        <v>3</v>
      </c>
      <c r="H135" s="183">
        <v>3</v>
      </c>
      <c r="I135" s="183">
        <v>4</v>
      </c>
      <c r="J135" s="183">
        <v>5</v>
      </c>
      <c r="K135" s="206"/>
      <c r="L135" s="183">
        <v>5</v>
      </c>
      <c r="M135" s="206"/>
      <c r="N135" s="183">
        <v>3</v>
      </c>
      <c r="O135" s="183">
        <v>5</v>
      </c>
      <c r="P135" s="206"/>
      <c r="Q135" s="183">
        <v>3</v>
      </c>
      <c r="R135" s="183">
        <v>3</v>
      </c>
      <c r="S135" s="183">
        <v>0</v>
      </c>
      <c r="T135" s="183">
        <v>4</v>
      </c>
      <c r="U135" s="206"/>
      <c r="V135" s="183">
        <v>4</v>
      </c>
      <c r="W135" s="206"/>
      <c r="X135" s="183">
        <v>2</v>
      </c>
      <c r="Y135" s="206"/>
      <c r="Z135" s="183">
        <v>4</v>
      </c>
      <c r="AA135" s="183">
        <v>5</v>
      </c>
      <c r="AB135" s="183">
        <v>5</v>
      </c>
      <c r="AC135" s="206"/>
      <c r="AD135" s="183">
        <v>3</v>
      </c>
      <c r="AE135" s="183">
        <v>3</v>
      </c>
      <c r="AF135" s="206"/>
      <c r="AG135" s="183">
        <v>3</v>
      </c>
    </row>
    <row r="136" spans="1:33" ht="12.75" customHeight="1" x14ac:dyDescent="0.25">
      <c r="A136" s="207" t="s">
        <v>387</v>
      </c>
      <c r="B136" s="198" t="s">
        <v>8</v>
      </c>
      <c r="C136" s="153" t="s">
        <v>692</v>
      </c>
      <c r="D136" s="154" t="s">
        <v>32</v>
      </c>
      <c r="E136" s="206"/>
      <c r="F136" s="183">
        <v>5</v>
      </c>
      <c r="G136" s="183">
        <v>3</v>
      </c>
      <c r="H136" s="183">
        <v>3</v>
      </c>
      <c r="I136" s="183">
        <v>2</v>
      </c>
      <c r="J136" s="183">
        <v>4</v>
      </c>
      <c r="K136" s="206"/>
      <c r="L136" s="183">
        <v>4</v>
      </c>
      <c r="M136" s="206"/>
      <c r="N136" s="183">
        <v>1</v>
      </c>
      <c r="O136" s="183">
        <v>5</v>
      </c>
      <c r="P136" s="206"/>
      <c r="Q136" s="183">
        <v>4</v>
      </c>
      <c r="R136" s="183">
        <v>1</v>
      </c>
      <c r="S136" s="183">
        <v>0</v>
      </c>
      <c r="T136" s="183">
        <v>3</v>
      </c>
      <c r="U136" s="206"/>
      <c r="V136" s="183">
        <v>2</v>
      </c>
      <c r="W136" s="206"/>
      <c r="X136" s="183">
        <v>2</v>
      </c>
      <c r="Y136" s="206"/>
      <c r="Z136" s="183">
        <v>4</v>
      </c>
      <c r="AA136" s="183">
        <v>4</v>
      </c>
      <c r="AB136" s="183">
        <v>3</v>
      </c>
      <c r="AC136" s="206"/>
      <c r="AD136" s="183">
        <v>4</v>
      </c>
      <c r="AE136" s="183">
        <v>4</v>
      </c>
      <c r="AF136" s="206"/>
      <c r="AG136" s="183">
        <v>4</v>
      </c>
    </row>
    <row r="137" spans="1:33" ht="12.75" customHeight="1" x14ac:dyDescent="0.25">
      <c r="A137" s="207" t="s">
        <v>387</v>
      </c>
      <c r="B137" s="198" t="s">
        <v>9</v>
      </c>
      <c r="C137" s="153" t="s">
        <v>693</v>
      </c>
      <c r="D137" s="154" t="s">
        <v>32</v>
      </c>
      <c r="E137" s="206"/>
      <c r="F137" s="183">
        <v>5</v>
      </c>
      <c r="G137" s="183">
        <v>5</v>
      </c>
      <c r="H137" s="183">
        <v>3</v>
      </c>
      <c r="I137" s="183">
        <v>4</v>
      </c>
      <c r="J137" s="183">
        <v>5</v>
      </c>
      <c r="K137" s="206"/>
      <c r="L137" s="183">
        <v>5</v>
      </c>
      <c r="M137" s="206"/>
      <c r="N137" s="183">
        <v>3</v>
      </c>
      <c r="O137" s="183">
        <v>3</v>
      </c>
      <c r="P137" s="206"/>
      <c r="Q137" s="183">
        <v>4</v>
      </c>
      <c r="R137" s="183">
        <v>4</v>
      </c>
      <c r="S137" s="183">
        <v>0</v>
      </c>
      <c r="T137" s="183">
        <v>5</v>
      </c>
      <c r="U137" s="206"/>
      <c r="V137" s="183">
        <v>3</v>
      </c>
      <c r="W137" s="206"/>
      <c r="X137" s="183">
        <v>2</v>
      </c>
      <c r="Y137" s="206"/>
      <c r="Z137" s="183">
        <v>4</v>
      </c>
      <c r="AA137" s="183">
        <v>5</v>
      </c>
      <c r="AB137" s="183">
        <v>3</v>
      </c>
      <c r="AC137" s="206"/>
      <c r="AD137" s="183">
        <v>4</v>
      </c>
      <c r="AE137" s="183">
        <v>4</v>
      </c>
      <c r="AF137" s="206"/>
      <c r="AG137" s="183">
        <v>4</v>
      </c>
    </row>
    <row r="138" spans="1:33" ht="12.75" customHeight="1" x14ac:dyDescent="0.25">
      <c r="A138" s="207" t="s">
        <v>387</v>
      </c>
      <c r="B138" s="198" t="s">
        <v>10</v>
      </c>
      <c r="C138" s="153" t="s">
        <v>694</v>
      </c>
      <c r="D138" s="154" t="s">
        <v>32</v>
      </c>
      <c r="E138" s="206"/>
      <c r="F138" s="183">
        <v>5</v>
      </c>
      <c r="G138" s="183">
        <v>4</v>
      </c>
      <c r="H138" s="183">
        <v>3</v>
      </c>
      <c r="I138" s="183">
        <v>4</v>
      </c>
      <c r="J138" s="183">
        <v>5</v>
      </c>
      <c r="K138" s="206"/>
      <c r="L138" s="183">
        <v>3</v>
      </c>
      <c r="M138" s="206"/>
      <c r="N138" s="183">
        <v>3</v>
      </c>
      <c r="O138" s="183">
        <v>1</v>
      </c>
      <c r="P138" s="206"/>
      <c r="Q138" s="183">
        <v>2</v>
      </c>
      <c r="R138" s="183" t="s">
        <v>311</v>
      </c>
      <c r="S138" s="183">
        <v>0</v>
      </c>
      <c r="T138" s="183">
        <v>5</v>
      </c>
      <c r="U138" s="206"/>
      <c r="V138" s="183">
        <v>4</v>
      </c>
      <c r="W138" s="206"/>
      <c r="X138" s="183">
        <v>2</v>
      </c>
      <c r="Y138" s="206"/>
      <c r="Z138" s="183">
        <v>4</v>
      </c>
      <c r="AA138" s="183">
        <v>5</v>
      </c>
      <c r="AB138" s="183">
        <v>3</v>
      </c>
      <c r="AC138" s="206"/>
      <c r="AD138" s="183">
        <v>3</v>
      </c>
      <c r="AE138" s="183">
        <v>3</v>
      </c>
      <c r="AF138" s="206"/>
      <c r="AG138" s="183">
        <v>3</v>
      </c>
    </row>
    <row r="139" spans="1:33" ht="12.75" customHeight="1" x14ac:dyDescent="0.25">
      <c r="A139" s="207" t="s">
        <v>387</v>
      </c>
      <c r="B139" s="198" t="s">
        <v>378</v>
      </c>
      <c r="C139" s="153" t="s">
        <v>695</v>
      </c>
      <c r="D139" s="154" t="s">
        <v>32</v>
      </c>
      <c r="E139" s="206"/>
      <c r="F139" s="183">
        <v>5</v>
      </c>
      <c r="G139" s="183">
        <v>5</v>
      </c>
      <c r="H139" s="183">
        <v>3</v>
      </c>
      <c r="I139" s="183">
        <v>4</v>
      </c>
      <c r="J139" s="183">
        <v>5</v>
      </c>
      <c r="K139" s="206"/>
      <c r="L139" s="183">
        <v>5</v>
      </c>
      <c r="M139" s="206"/>
      <c r="N139" s="183">
        <v>1</v>
      </c>
      <c r="O139" s="183">
        <v>5</v>
      </c>
      <c r="P139" s="206"/>
      <c r="Q139" s="183">
        <v>3</v>
      </c>
      <c r="R139" s="183">
        <v>4</v>
      </c>
      <c r="S139" s="183">
        <v>0</v>
      </c>
      <c r="T139" s="183">
        <v>5</v>
      </c>
      <c r="U139" s="206"/>
      <c r="V139" s="183">
        <v>2</v>
      </c>
      <c r="W139" s="206"/>
      <c r="X139" s="183">
        <v>2</v>
      </c>
      <c r="Y139" s="206"/>
      <c r="Z139" s="183">
        <v>4</v>
      </c>
      <c r="AA139" s="183">
        <v>5</v>
      </c>
      <c r="AB139" s="183">
        <v>5</v>
      </c>
      <c r="AC139" s="206"/>
      <c r="AD139" s="183">
        <v>5</v>
      </c>
      <c r="AE139" s="183">
        <v>5</v>
      </c>
      <c r="AF139" s="206"/>
      <c r="AG139" s="183">
        <v>4</v>
      </c>
    </row>
    <row r="140" spans="1:33" ht="12.75" customHeight="1" x14ac:dyDescent="0.25">
      <c r="A140" s="207" t="s">
        <v>387</v>
      </c>
      <c r="B140" s="198" t="s">
        <v>11</v>
      </c>
      <c r="C140" s="153" t="s">
        <v>696</v>
      </c>
      <c r="D140" s="154" t="s">
        <v>32</v>
      </c>
      <c r="E140" s="206"/>
      <c r="F140" s="183">
        <v>5</v>
      </c>
      <c r="G140" s="183">
        <v>5</v>
      </c>
      <c r="H140" s="183">
        <v>3</v>
      </c>
      <c r="I140" s="183">
        <v>4</v>
      </c>
      <c r="J140" s="183">
        <v>5</v>
      </c>
      <c r="K140" s="206"/>
      <c r="L140" s="183">
        <v>5</v>
      </c>
      <c r="M140" s="206"/>
      <c r="N140" s="183">
        <v>1</v>
      </c>
      <c r="O140" s="183">
        <v>1</v>
      </c>
      <c r="P140" s="206"/>
      <c r="Q140" s="183">
        <v>5</v>
      </c>
      <c r="R140" s="183" t="s">
        <v>311</v>
      </c>
      <c r="S140" s="183">
        <v>0</v>
      </c>
      <c r="T140" s="183">
        <v>5</v>
      </c>
      <c r="U140" s="206"/>
      <c r="V140" s="183">
        <v>5</v>
      </c>
      <c r="W140" s="206"/>
      <c r="X140" s="183">
        <v>1</v>
      </c>
      <c r="Y140" s="206"/>
      <c r="Z140" s="183">
        <v>4</v>
      </c>
      <c r="AA140" s="183">
        <v>5</v>
      </c>
      <c r="AB140" s="183">
        <v>3</v>
      </c>
      <c r="AC140" s="206"/>
      <c r="AD140" s="183">
        <v>3</v>
      </c>
      <c r="AE140" s="183">
        <v>5</v>
      </c>
      <c r="AF140" s="206"/>
      <c r="AG140" s="183">
        <v>4</v>
      </c>
    </row>
    <row r="141" spans="1:33" ht="12.75" customHeight="1" x14ac:dyDescent="0.25">
      <c r="A141" s="207" t="s">
        <v>387</v>
      </c>
      <c r="B141" s="198" t="s">
        <v>12</v>
      </c>
      <c r="C141" s="153" t="s">
        <v>697</v>
      </c>
      <c r="D141" s="154" t="s">
        <v>32</v>
      </c>
      <c r="E141" s="206"/>
      <c r="F141" s="183">
        <v>5</v>
      </c>
      <c r="G141" s="183">
        <v>5</v>
      </c>
      <c r="H141" s="183">
        <v>3</v>
      </c>
      <c r="I141" s="183">
        <v>4</v>
      </c>
      <c r="J141" s="183">
        <v>5</v>
      </c>
      <c r="K141" s="206"/>
      <c r="L141" s="183">
        <v>5</v>
      </c>
      <c r="M141" s="206"/>
      <c r="N141" s="183">
        <v>3</v>
      </c>
      <c r="O141" s="183">
        <v>3</v>
      </c>
      <c r="P141" s="206"/>
      <c r="Q141" s="183">
        <v>3</v>
      </c>
      <c r="R141" s="183" t="s">
        <v>311</v>
      </c>
      <c r="S141" s="183">
        <v>0</v>
      </c>
      <c r="T141" s="183">
        <v>5</v>
      </c>
      <c r="U141" s="206"/>
      <c r="V141" s="183">
        <v>4</v>
      </c>
      <c r="W141" s="206"/>
      <c r="X141" s="183">
        <v>4</v>
      </c>
      <c r="Y141" s="206"/>
      <c r="Z141" s="183">
        <v>5</v>
      </c>
      <c r="AA141" s="183">
        <v>5</v>
      </c>
      <c r="AB141" s="183">
        <v>5</v>
      </c>
      <c r="AC141" s="206"/>
      <c r="AD141" s="183">
        <v>5</v>
      </c>
      <c r="AE141" s="183">
        <v>5</v>
      </c>
      <c r="AF141" s="206"/>
      <c r="AG141" s="183">
        <v>5</v>
      </c>
    </row>
    <row r="142" spans="1:33" ht="12.75" customHeight="1" x14ac:dyDescent="0.25">
      <c r="A142" s="207" t="s">
        <v>387</v>
      </c>
      <c r="B142" s="198" t="s">
        <v>13</v>
      </c>
      <c r="C142" s="153" t="s">
        <v>698</v>
      </c>
      <c r="D142" s="154" t="s">
        <v>32</v>
      </c>
      <c r="E142" s="206"/>
      <c r="F142" s="183">
        <v>5</v>
      </c>
      <c r="G142" s="183">
        <v>5</v>
      </c>
      <c r="H142" s="183">
        <v>3</v>
      </c>
      <c r="I142" s="183">
        <v>4</v>
      </c>
      <c r="J142" s="183">
        <v>5</v>
      </c>
      <c r="K142" s="206"/>
      <c r="L142" s="183">
        <v>5</v>
      </c>
      <c r="M142" s="206"/>
      <c r="N142" s="183">
        <v>1</v>
      </c>
      <c r="O142" s="183">
        <v>1</v>
      </c>
      <c r="P142" s="206"/>
      <c r="Q142" s="183">
        <v>5</v>
      </c>
      <c r="R142" s="183" t="s">
        <v>311</v>
      </c>
      <c r="S142" s="183">
        <v>0</v>
      </c>
      <c r="T142" s="183">
        <v>5</v>
      </c>
      <c r="U142" s="206"/>
      <c r="V142" s="183">
        <v>1</v>
      </c>
      <c r="W142" s="206"/>
      <c r="X142" s="183">
        <v>1</v>
      </c>
      <c r="Y142" s="206"/>
      <c r="Z142" s="183">
        <v>4</v>
      </c>
      <c r="AA142" s="183">
        <v>5</v>
      </c>
      <c r="AB142" s="183">
        <v>3</v>
      </c>
      <c r="AC142" s="206"/>
      <c r="AD142" s="183">
        <v>3</v>
      </c>
      <c r="AE142" s="183">
        <v>3</v>
      </c>
      <c r="AF142" s="206"/>
      <c r="AG142" s="183">
        <v>3</v>
      </c>
    </row>
    <row r="143" spans="1:33" ht="12.75" customHeight="1" x14ac:dyDescent="0.25">
      <c r="A143" s="207" t="s">
        <v>387</v>
      </c>
      <c r="B143" s="198" t="s">
        <v>14</v>
      </c>
      <c r="C143" s="153" t="s">
        <v>699</v>
      </c>
      <c r="D143" s="154" t="s">
        <v>32</v>
      </c>
      <c r="E143" s="206"/>
      <c r="F143" s="183">
        <v>4</v>
      </c>
      <c r="G143" s="183">
        <v>3</v>
      </c>
      <c r="H143" s="183">
        <v>3</v>
      </c>
      <c r="I143" s="183">
        <v>3</v>
      </c>
      <c r="J143" s="183">
        <v>5</v>
      </c>
      <c r="K143" s="206"/>
      <c r="L143" s="183">
        <v>4</v>
      </c>
      <c r="M143" s="206"/>
      <c r="N143" s="183">
        <v>3</v>
      </c>
      <c r="O143" s="183">
        <v>3</v>
      </c>
      <c r="P143" s="206"/>
      <c r="Q143" s="183">
        <v>2</v>
      </c>
      <c r="R143" s="183">
        <v>1</v>
      </c>
      <c r="S143" s="183">
        <v>0</v>
      </c>
      <c r="T143" s="183">
        <v>5</v>
      </c>
      <c r="U143" s="206"/>
      <c r="V143" s="183">
        <v>4</v>
      </c>
      <c r="W143" s="206"/>
      <c r="X143" s="183">
        <v>4</v>
      </c>
      <c r="Y143" s="206"/>
      <c r="Z143" s="183">
        <v>4</v>
      </c>
      <c r="AA143" s="183">
        <v>5</v>
      </c>
      <c r="AB143" s="183">
        <v>4</v>
      </c>
      <c r="AC143" s="206"/>
      <c r="AD143" s="183">
        <v>5</v>
      </c>
      <c r="AE143" s="183">
        <v>5</v>
      </c>
      <c r="AF143" s="206"/>
      <c r="AG143" s="183">
        <v>4</v>
      </c>
    </row>
    <row r="144" spans="1:33" ht="12.75" customHeight="1" x14ac:dyDescent="0.25">
      <c r="A144" s="207" t="s">
        <v>387</v>
      </c>
      <c r="B144" s="198" t="s">
        <v>15</v>
      </c>
      <c r="C144" s="153" t="s">
        <v>700</v>
      </c>
      <c r="D144" s="154" t="s">
        <v>32</v>
      </c>
      <c r="E144" s="206"/>
      <c r="F144" s="183">
        <v>5</v>
      </c>
      <c r="G144" s="183">
        <v>5</v>
      </c>
      <c r="H144" s="183">
        <v>3</v>
      </c>
      <c r="I144" s="183">
        <v>4</v>
      </c>
      <c r="J144" s="183">
        <v>5</v>
      </c>
      <c r="K144" s="206"/>
      <c r="L144" s="183">
        <v>5</v>
      </c>
      <c r="M144" s="206"/>
      <c r="N144" s="183">
        <v>3</v>
      </c>
      <c r="O144" s="183">
        <v>3</v>
      </c>
      <c r="P144" s="206"/>
      <c r="Q144" s="183">
        <v>3</v>
      </c>
      <c r="R144" s="183">
        <v>1</v>
      </c>
      <c r="S144" s="183">
        <v>0</v>
      </c>
      <c r="T144" s="183">
        <v>5</v>
      </c>
      <c r="U144" s="206"/>
      <c r="V144" s="183">
        <v>4</v>
      </c>
      <c r="W144" s="206"/>
      <c r="X144" s="183">
        <v>2</v>
      </c>
      <c r="Y144" s="206"/>
      <c r="Z144" s="183">
        <v>2</v>
      </c>
      <c r="AA144" s="183">
        <v>5</v>
      </c>
      <c r="AB144" s="183">
        <v>4</v>
      </c>
      <c r="AC144" s="206"/>
      <c r="AD144" s="183">
        <v>5</v>
      </c>
      <c r="AE144" s="183">
        <v>5</v>
      </c>
      <c r="AF144" s="206"/>
      <c r="AG144" s="183">
        <v>4</v>
      </c>
    </row>
    <row r="145" spans="1:33" ht="12.75" customHeight="1" x14ac:dyDescent="0.25">
      <c r="A145" s="207" t="s">
        <v>387</v>
      </c>
      <c r="B145" s="198" t="s">
        <v>16</v>
      </c>
      <c r="C145" s="153" t="s">
        <v>701</v>
      </c>
      <c r="D145" s="154" t="s">
        <v>32</v>
      </c>
      <c r="E145" s="206"/>
      <c r="F145" s="183">
        <v>5</v>
      </c>
      <c r="G145" s="183">
        <v>3</v>
      </c>
      <c r="H145" s="183">
        <v>4</v>
      </c>
      <c r="I145" s="183">
        <v>2</v>
      </c>
      <c r="J145" s="183">
        <v>5</v>
      </c>
      <c r="K145" s="206"/>
      <c r="L145" s="183">
        <v>4</v>
      </c>
      <c r="M145" s="206"/>
      <c r="N145" s="183">
        <v>3</v>
      </c>
      <c r="O145" s="183">
        <v>5</v>
      </c>
      <c r="P145" s="206"/>
      <c r="Q145" s="183">
        <v>3</v>
      </c>
      <c r="R145" s="183">
        <v>4</v>
      </c>
      <c r="S145" s="183">
        <v>0</v>
      </c>
      <c r="T145" s="183">
        <v>5</v>
      </c>
      <c r="U145" s="206"/>
      <c r="V145" s="183">
        <v>4</v>
      </c>
      <c r="W145" s="206"/>
      <c r="X145" s="183">
        <v>2</v>
      </c>
      <c r="Y145" s="206"/>
      <c r="Z145" s="183">
        <v>3</v>
      </c>
      <c r="AA145" s="183">
        <v>5</v>
      </c>
      <c r="AB145" s="183">
        <v>3</v>
      </c>
      <c r="AC145" s="206"/>
      <c r="AD145" s="183">
        <v>5</v>
      </c>
      <c r="AE145" s="183">
        <v>5</v>
      </c>
      <c r="AF145" s="206"/>
      <c r="AG145" s="183">
        <v>4</v>
      </c>
    </row>
    <row r="146" spans="1:33" ht="12.75" customHeight="1" x14ac:dyDescent="0.25">
      <c r="A146" s="207" t="s">
        <v>387</v>
      </c>
      <c r="B146" s="198" t="s">
        <v>17</v>
      </c>
      <c r="C146" s="153" t="s">
        <v>702</v>
      </c>
      <c r="D146" s="154" t="s">
        <v>32</v>
      </c>
      <c r="E146" s="206"/>
      <c r="F146" s="183">
        <v>4</v>
      </c>
      <c r="G146" s="183">
        <v>3</v>
      </c>
      <c r="H146" s="183">
        <v>3</v>
      </c>
      <c r="I146" s="183">
        <v>3</v>
      </c>
      <c r="J146" s="183">
        <v>5</v>
      </c>
      <c r="K146" s="206"/>
      <c r="L146" s="183">
        <v>4</v>
      </c>
      <c r="M146" s="206"/>
      <c r="N146" s="183">
        <v>3</v>
      </c>
      <c r="O146" s="183">
        <v>3</v>
      </c>
      <c r="P146" s="206"/>
      <c r="Q146" s="183">
        <v>4</v>
      </c>
      <c r="R146" s="183">
        <v>1</v>
      </c>
      <c r="S146" s="183">
        <v>0</v>
      </c>
      <c r="T146" s="183">
        <v>5</v>
      </c>
      <c r="U146" s="206"/>
      <c r="V146" s="183">
        <v>4</v>
      </c>
      <c r="W146" s="206"/>
      <c r="X146" s="183">
        <v>2</v>
      </c>
      <c r="Y146" s="206"/>
      <c r="Z146" s="183">
        <v>5</v>
      </c>
      <c r="AA146" s="183">
        <v>5</v>
      </c>
      <c r="AB146" s="183">
        <v>5</v>
      </c>
      <c r="AC146" s="206"/>
      <c r="AD146" s="183">
        <v>5</v>
      </c>
      <c r="AE146" s="183">
        <v>5</v>
      </c>
      <c r="AF146" s="206"/>
      <c r="AG146" s="183">
        <v>4</v>
      </c>
    </row>
    <row r="147" spans="1:33" ht="12.75" customHeight="1" x14ac:dyDescent="0.25">
      <c r="A147" s="207" t="s">
        <v>388</v>
      </c>
      <c r="B147" s="198" t="s">
        <v>7</v>
      </c>
      <c r="C147" s="153" t="s">
        <v>689</v>
      </c>
      <c r="D147" s="154" t="s">
        <v>32</v>
      </c>
      <c r="E147" s="206"/>
      <c r="F147" s="183">
        <v>4</v>
      </c>
      <c r="G147" s="183">
        <v>5</v>
      </c>
      <c r="H147" s="183">
        <v>4</v>
      </c>
      <c r="I147" s="183">
        <v>3</v>
      </c>
      <c r="J147" s="183">
        <v>3</v>
      </c>
      <c r="K147" s="206"/>
      <c r="L147" s="183">
        <v>3</v>
      </c>
      <c r="M147" s="206"/>
      <c r="N147" s="183">
        <v>1</v>
      </c>
      <c r="O147" s="183">
        <v>3</v>
      </c>
      <c r="P147" s="206"/>
      <c r="Q147" s="183">
        <v>2</v>
      </c>
      <c r="R147" s="183">
        <v>1</v>
      </c>
      <c r="S147" s="183">
        <v>0</v>
      </c>
      <c r="T147" s="183">
        <v>3</v>
      </c>
      <c r="U147" s="206"/>
      <c r="V147" s="183">
        <v>2</v>
      </c>
      <c r="W147" s="206"/>
      <c r="X147" s="183">
        <v>3</v>
      </c>
      <c r="Y147" s="206"/>
      <c r="Z147" s="183">
        <v>3</v>
      </c>
      <c r="AA147" s="183">
        <v>3</v>
      </c>
      <c r="AB147" s="183">
        <v>3</v>
      </c>
      <c r="AC147" s="206"/>
      <c r="AD147" s="183">
        <v>3</v>
      </c>
      <c r="AE147" s="183">
        <v>5</v>
      </c>
      <c r="AF147" s="206"/>
      <c r="AG147" s="183">
        <v>3</v>
      </c>
    </row>
    <row r="148" spans="1:33" ht="12.75" customHeight="1" x14ac:dyDescent="0.25">
      <c r="A148" s="207" t="s">
        <v>388</v>
      </c>
      <c r="B148" s="198" t="s">
        <v>376</v>
      </c>
      <c r="C148" s="153" t="s">
        <v>690</v>
      </c>
      <c r="D148" s="154" t="s">
        <v>32</v>
      </c>
      <c r="E148" s="206"/>
      <c r="F148" s="183">
        <v>3</v>
      </c>
      <c r="G148" s="183">
        <v>3</v>
      </c>
      <c r="H148" s="183">
        <v>3</v>
      </c>
      <c r="I148" s="183">
        <v>3</v>
      </c>
      <c r="J148" s="183" t="s">
        <v>311</v>
      </c>
      <c r="K148" s="206"/>
      <c r="L148" s="183">
        <v>3</v>
      </c>
      <c r="M148" s="206"/>
      <c r="N148" s="183">
        <v>5</v>
      </c>
      <c r="O148" s="183">
        <v>3</v>
      </c>
      <c r="P148" s="206"/>
      <c r="Q148" s="183">
        <v>3</v>
      </c>
      <c r="R148" s="183">
        <v>3</v>
      </c>
      <c r="S148" s="183">
        <v>0</v>
      </c>
      <c r="T148" s="183">
        <v>5</v>
      </c>
      <c r="U148" s="206"/>
      <c r="V148" s="183">
        <v>1</v>
      </c>
      <c r="W148" s="206"/>
      <c r="X148" s="183">
        <v>2</v>
      </c>
      <c r="Y148" s="206"/>
      <c r="Z148" s="183">
        <v>3</v>
      </c>
      <c r="AA148" s="183">
        <v>1</v>
      </c>
      <c r="AB148" s="183">
        <v>2</v>
      </c>
      <c r="AC148" s="206"/>
      <c r="AD148" s="183">
        <v>3</v>
      </c>
      <c r="AE148" s="183">
        <v>3</v>
      </c>
      <c r="AF148" s="206"/>
      <c r="AG148" s="183">
        <v>4</v>
      </c>
    </row>
    <row r="149" spans="1:33" ht="12.75" customHeight="1" x14ac:dyDescent="0.25">
      <c r="A149" s="207" t="s">
        <v>388</v>
      </c>
      <c r="B149" s="198" t="s">
        <v>377</v>
      </c>
      <c r="C149" s="153" t="s">
        <v>691</v>
      </c>
      <c r="D149" s="154" t="s">
        <v>32</v>
      </c>
      <c r="E149" s="206"/>
      <c r="F149" s="183">
        <v>3</v>
      </c>
      <c r="G149" s="183">
        <v>2</v>
      </c>
      <c r="H149" s="183">
        <v>3</v>
      </c>
      <c r="I149" s="183">
        <v>3</v>
      </c>
      <c r="J149" s="183">
        <v>3</v>
      </c>
      <c r="K149" s="206"/>
      <c r="L149" s="183">
        <v>4</v>
      </c>
      <c r="M149" s="206"/>
      <c r="N149" s="183">
        <v>1</v>
      </c>
      <c r="O149" s="183">
        <v>5</v>
      </c>
      <c r="P149" s="206"/>
      <c r="Q149" s="183">
        <v>5</v>
      </c>
      <c r="R149" s="183" t="s">
        <v>311</v>
      </c>
      <c r="S149" s="183">
        <v>0</v>
      </c>
      <c r="T149" s="183">
        <v>2</v>
      </c>
      <c r="U149" s="206"/>
      <c r="V149" s="183">
        <v>4</v>
      </c>
      <c r="W149" s="206"/>
      <c r="X149" s="183">
        <v>2</v>
      </c>
      <c r="Y149" s="206"/>
      <c r="Z149" s="183">
        <v>3</v>
      </c>
      <c r="AA149" s="183">
        <v>3</v>
      </c>
      <c r="AB149" s="183">
        <v>3</v>
      </c>
      <c r="AC149" s="206"/>
      <c r="AD149" s="183">
        <v>3</v>
      </c>
      <c r="AE149" s="183">
        <v>3</v>
      </c>
      <c r="AF149" s="206"/>
      <c r="AG149" s="183">
        <v>3</v>
      </c>
    </row>
    <row r="150" spans="1:33" ht="12.75" customHeight="1" x14ac:dyDescent="0.25">
      <c r="A150" s="207" t="s">
        <v>388</v>
      </c>
      <c r="B150" s="198" t="s">
        <v>8</v>
      </c>
      <c r="C150" s="153" t="s">
        <v>692</v>
      </c>
      <c r="D150" s="154" t="s">
        <v>32</v>
      </c>
      <c r="E150" s="206"/>
      <c r="F150" s="183">
        <v>5</v>
      </c>
      <c r="G150" s="183">
        <v>3</v>
      </c>
      <c r="H150" s="183">
        <v>3</v>
      </c>
      <c r="I150" s="183">
        <v>2</v>
      </c>
      <c r="J150" s="183">
        <v>3</v>
      </c>
      <c r="K150" s="206"/>
      <c r="L150" s="183">
        <v>2</v>
      </c>
      <c r="M150" s="206"/>
      <c r="N150" s="183">
        <v>1</v>
      </c>
      <c r="O150" s="183">
        <v>1</v>
      </c>
      <c r="P150" s="206"/>
      <c r="Q150" s="183">
        <v>5</v>
      </c>
      <c r="R150" s="183" t="s">
        <v>311</v>
      </c>
      <c r="S150" s="183">
        <v>0</v>
      </c>
      <c r="T150" s="183">
        <v>4</v>
      </c>
      <c r="U150" s="206"/>
      <c r="V150" s="183">
        <v>2</v>
      </c>
      <c r="W150" s="206"/>
      <c r="X150" s="183">
        <v>1</v>
      </c>
      <c r="Y150" s="206"/>
      <c r="Z150" s="183">
        <v>3</v>
      </c>
      <c r="AA150" s="183">
        <v>3</v>
      </c>
      <c r="AB150" s="183">
        <v>3</v>
      </c>
      <c r="AC150" s="206"/>
      <c r="AD150" s="183">
        <v>2</v>
      </c>
      <c r="AE150" s="183">
        <v>4</v>
      </c>
      <c r="AF150" s="206"/>
      <c r="AG150" s="183">
        <v>3</v>
      </c>
    </row>
    <row r="151" spans="1:33" ht="12.75" customHeight="1" x14ac:dyDescent="0.25">
      <c r="A151" s="207" t="s">
        <v>388</v>
      </c>
      <c r="B151" s="198" t="s">
        <v>9</v>
      </c>
      <c r="C151" s="153" t="s">
        <v>693</v>
      </c>
      <c r="D151" s="154" t="s">
        <v>32</v>
      </c>
      <c r="E151" s="206"/>
      <c r="F151" s="183">
        <v>5</v>
      </c>
      <c r="G151" s="183">
        <v>3</v>
      </c>
      <c r="H151" s="183">
        <v>3</v>
      </c>
      <c r="I151" s="183">
        <v>3</v>
      </c>
      <c r="J151" s="183">
        <v>4</v>
      </c>
      <c r="K151" s="206"/>
      <c r="L151" s="183">
        <v>5</v>
      </c>
      <c r="M151" s="206"/>
      <c r="N151" s="183">
        <v>1</v>
      </c>
      <c r="O151" s="183">
        <v>1</v>
      </c>
      <c r="P151" s="206"/>
      <c r="Q151" s="183">
        <v>5</v>
      </c>
      <c r="R151" s="183" t="s">
        <v>311</v>
      </c>
      <c r="S151" s="183">
        <v>0</v>
      </c>
      <c r="T151" s="183">
        <v>2</v>
      </c>
      <c r="U151" s="206"/>
      <c r="V151" s="183">
        <v>4</v>
      </c>
      <c r="W151" s="206"/>
      <c r="X151" s="183">
        <v>1</v>
      </c>
      <c r="Y151" s="206"/>
      <c r="Z151" s="183">
        <v>3</v>
      </c>
      <c r="AA151" s="183">
        <v>3</v>
      </c>
      <c r="AB151" s="183">
        <v>3</v>
      </c>
      <c r="AC151" s="206"/>
      <c r="AD151" s="183">
        <v>4</v>
      </c>
      <c r="AE151" s="183">
        <v>4</v>
      </c>
      <c r="AF151" s="206"/>
      <c r="AG151" s="183">
        <v>2</v>
      </c>
    </row>
    <row r="152" spans="1:33" ht="12.75" customHeight="1" x14ac:dyDescent="0.25">
      <c r="A152" s="207" t="s">
        <v>388</v>
      </c>
      <c r="B152" s="198" t="s">
        <v>10</v>
      </c>
      <c r="C152" s="153" t="s">
        <v>694</v>
      </c>
      <c r="D152" s="154" t="s">
        <v>32</v>
      </c>
      <c r="E152" s="206"/>
      <c r="F152" s="183">
        <v>5</v>
      </c>
      <c r="G152" s="183">
        <v>3</v>
      </c>
      <c r="H152" s="183">
        <v>3</v>
      </c>
      <c r="I152" s="183">
        <v>3</v>
      </c>
      <c r="J152" s="183">
        <v>3</v>
      </c>
      <c r="K152" s="206"/>
      <c r="L152" s="183">
        <v>3</v>
      </c>
      <c r="M152" s="206"/>
      <c r="N152" s="183">
        <v>5</v>
      </c>
      <c r="O152" s="183">
        <v>5</v>
      </c>
      <c r="P152" s="206"/>
      <c r="Q152" s="183">
        <v>3</v>
      </c>
      <c r="R152" s="183">
        <v>4</v>
      </c>
      <c r="S152" s="183">
        <v>0</v>
      </c>
      <c r="T152" s="183">
        <v>1</v>
      </c>
      <c r="U152" s="206"/>
      <c r="V152" s="183">
        <v>3</v>
      </c>
      <c r="W152" s="206"/>
      <c r="X152" s="183">
        <v>4</v>
      </c>
      <c r="Y152" s="206"/>
      <c r="Z152" s="183">
        <v>3</v>
      </c>
      <c r="AA152" s="183">
        <v>3</v>
      </c>
      <c r="AB152" s="183">
        <v>3</v>
      </c>
      <c r="AC152" s="206"/>
      <c r="AD152" s="183">
        <v>3</v>
      </c>
      <c r="AE152" s="183">
        <v>3</v>
      </c>
      <c r="AF152" s="206"/>
      <c r="AG152" s="183">
        <v>1</v>
      </c>
    </row>
    <row r="153" spans="1:33" ht="12.75" customHeight="1" x14ac:dyDescent="0.25">
      <c r="A153" s="207" t="s">
        <v>388</v>
      </c>
      <c r="B153" s="198" t="s">
        <v>378</v>
      </c>
      <c r="C153" s="153" t="s">
        <v>695</v>
      </c>
      <c r="D153" s="154" t="s">
        <v>32</v>
      </c>
      <c r="E153" s="206"/>
      <c r="F153" s="183">
        <v>4</v>
      </c>
      <c r="G153" s="183">
        <v>3</v>
      </c>
      <c r="H153" s="183">
        <v>3</v>
      </c>
      <c r="I153" s="183">
        <v>3</v>
      </c>
      <c r="J153" s="183">
        <v>3</v>
      </c>
      <c r="K153" s="206"/>
      <c r="L153" s="183">
        <v>5</v>
      </c>
      <c r="M153" s="206"/>
      <c r="N153" s="183">
        <v>3</v>
      </c>
      <c r="O153" s="183">
        <v>5</v>
      </c>
      <c r="P153" s="206"/>
      <c r="Q153" s="183">
        <v>2</v>
      </c>
      <c r="R153" s="183">
        <v>4</v>
      </c>
      <c r="S153" s="183">
        <v>0</v>
      </c>
      <c r="T153" s="183">
        <v>2</v>
      </c>
      <c r="U153" s="206"/>
      <c r="V153" s="183">
        <v>3</v>
      </c>
      <c r="W153" s="206"/>
      <c r="X153" s="183">
        <v>4</v>
      </c>
      <c r="Y153" s="206"/>
      <c r="Z153" s="183">
        <v>1</v>
      </c>
      <c r="AA153" s="183">
        <v>2</v>
      </c>
      <c r="AB153" s="183">
        <v>4</v>
      </c>
      <c r="AC153" s="206"/>
      <c r="AD153" s="183">
        <v>3</v>
      </c>
      <c r="AE153" s="183">
        <v>3</v>
      </c>
      <c r="AF153" s="206"/>
      <c r="AG153" s="183">
        <v>4</v>
      </c>
    </row>
    <row r="154" spans="1:33" ht="12.75" customHeight="1" x14ac:dyDescent="0.25">
      <c r="A154" s="207" t="s">
        <v>388</v>
      </c>
      <c r="B154" s="198" t="s">
        <v>11</v>
      </c>
      <c r="C154" s="153" t="s">
        <v>696</v>
      </c>
      <c r="D154" s="154" t="s">
        <v>32</v>
      </c>
      <c r="E154" s="206"/>
      <c r="F154" s="183">
        <v>5</v>
      </c>
      <c r="G154" s="183">
        <v>3</v>
      </c>
      <c r="H154" s="183">
        <v>3</v>
      </c>
      <c r="I154" s="183">
        <v>4</v>
      </c>
      <c r="J154" s="183">
        <v>3</v>
      </c>
      <c r="K154" s="206"/>
      <c r="L154" s="183">
        <v>3</v>
      </c>
      <c r="M154" s="206"/>
      <c r="N154" s="183">
        <v>1</v>
      </c>
      <c r="O154" s="183">
        <v>3</v>
      </c>
      <c r="P154" s="206"/>
      <c r="Q154" s="183">
        <v>5</v>
      </c>
      <c r="R154" s="183" t="s">
        <v>311</v>
      </c>
      <c r="S154" s="183">
        <v>0</v>
      </c>
      <c r="T154" s="183">
        <v>5</v>
      </c>
      <c r="U154" s="206"/>
      <c r="V154" s="183">
        <v>4</v>
      </c>
      <c r="W154" s="206"/>
      <c r="X154" s="183">
        <v>1</v>
      </c>
      <c r="Y154" s="206"/>
      <c r="Z154" s="183">
        <v>3</v>
      </c>
      <c r="AA154" s="183">
        <v>4</v>
      </c>
      <c r="AB154" s="183">
        <v>3</v>
      </c>
      <c r="AC154" s="206"/>
      <c r="AD154" s="183">
        <v>1</v>
      </c>
      <c r="AE154" s="183">
        <v>1</v>
      </c>
      <c r="AF154" s="206"/>
      <c r="AG154" s="183">
        <v>3</v>
      </c>
    </row>
    <row r="155" spans="1:33" ht="12.75" customHeight="1" x14ac:dyDescent="0.25">
      <c r="A155" s="207" t="s">
        <v>388</v>
      </c>
      <c r="B155" s="198" t="s">
        <v>12</v>
      </c>
      <c r="C155" s="153" t="s">
        <v>697</v>
      </c>
      <c r="D155" s="154" t="s">
        <v>32</v>
      </c>
      <c r="E155" s="206"/>
      <c r="F155" s="183">
        <v>5</v>
      </c>
      <c r="G155" s="183">
        <v>3</v>
      </c>
      <c r="H155" s="183">
        <v>3</v>
      </c>
      <c r="I155" s="183">
        <v>4</v>
      </c>
      <c r="J155" s="183">
        <v>3</v>
      </c>
      <c r="K155" s="206"/>
      <c r="L155" s="183">
        <v>5</v>
      </c>
      <c r="M155" s="206"/>
      <c r="N155" s="183">
        <v>1</v>
      </c>
      <c r="O155" s="183">
        <v>1</v>
      </c>
      <c r="P155" s="206"/>
      <c r="Q155" s="183">
        <v>5</v>
      </c>
      <c r="R155" s="183" t="s">
        <v>311</v>
      </c>
      <c r="S155" s="183">
        <v>0</v>
      </c>
      <c r="T155" s="183">
        <v>4</v>
      </c>
      <c r="U155" s="206"/>
      <c r="V155" s="183">
        <v>4</v>
      </c>
      <c r="W155" s="206"/>
      <c r="X155" s="183">
        <v>1</v>
      </c>
      <c r="Y155" s="206"/>
      <c r="Z155" s="183">
        <v>3</v>
      </c>
      <c r="AA155" s="183">
        <v>4</v>
      </c>
      <c r="AB155" s="183">
        <v>3</v>
      </c>
      <c r="AC155" s="206"/>
      <c r="AD155" s="183">
        <v>1</v>
      </c>
      <c r="AE155" s="183">
        <v>1</v>
      </c>
      <c r="AF155" s="206"/>
      <c r="AG155" s="183">
        <v>3</v>
      </c>
    </row>
    <row r="156" spans="1:33" ht="12.75" customHeight="1" x14ac:dyDescent="0.25">
      <c r="A156" s="207" t="s">
        <v>388</v>
      </c>
      <c r="B156" s="198" t="s">
        <v>13</v>
      </c>
      <c r="C156" s="153" t="s">
        <v>698</v>
      </c>
      <c r="D156" s="154" t="s">
        <v>32</v>
      </c>
      <c r="E156" s="206"/>
      <c r="F156" s="183">
        <v>5</v>
      </c>
      <c r="G156" s="183">
        <v>3</v>
      </c>
      <c r="H156" s="183">
        <v>3</v>
      </c>
      <c r="I156" s="183">
        <v>4</v>
      </c>
      <c r="J156" s="183">
        <v>3</v>
      </c>
      <c r="K156" s="206"/>
      <c r="L156" s="183">
        <v>5</v>
      </c>
      <c r="M156" s="206"/>
      <c r="N156" s="183">
        <v>1</v>
      </c>
      <c r="O156" s="183">
        <v>1</v>
      </c>
      <c r="P156" s="206"/>
      <c r="Q156" s="183">
        <v>5</v>
      </c>
      <c r="R156" s="183" t="s">
        <v>311</v>
      </c>
      <c r="S156" s="183">
        <v>0</v>
      </c>
      <c r="T156" s="183">
        <v>5</v>
      </c>
      <c r="U156" s="206"/>
      <c r="V156" s="183" t="s">
        <v>311</v>
      </c>
      <c r="W156" s="206"/>
      <c r="X156" s="183">
        <v>1</v>
      </c>
      <c r="Y156" s="206"/>
      <c r="Z156" s="183">
        <v>3</v>
      </c>
      <c r="AA156" s="183">
        <v>4</v>
      </c>
      <c r="AB156" s="183">
        <v>3</v>
      </c>
      <c r="AC156" s="206"/>
      <c r="AD156" s="183">
        <v>3</v>
      </c>
      <c r="AE156" s="183">
        <v>3</v>
      </c>
      <c r="AF156" s="206"/>
      <c r="AG156" s="183">
        <v>2</v>
      </c>
    </row>
    <row r="157" spans="1:33" ht="12.75" customHeight="1" x14ac:dyDescent="0.25">
      <c r="A157" s="207" t="s">
        <v>388</v>
      </c>
      <c r="B157" s="198" t="s">
        <v>14</v>
      </c>
      <c r="C157" s="153" t="s">
        <v>699</v>
      </c>
      <c r="D157" s="154" t="s">
        <v>32</v>
      </c>
      <c r="E157" s="206"/>
      <c r="F157" s="183">
        <v>4</v>
      </c>
      <c r="G157" s="183">
        <v>3</v>
      </c>
      <c r="H157" s="183">
        <v>3</v>
      </c>
      <c r="I157" s="183">
        <v>3</v>
      </c>
      <c r="J157" s="183">
        <v>3</v>
      </c>
      <c r="K157" s="206"/>
      <c r="L157" s="183">
        <v>3</v>
      </c>
      <c r="M157" s="206"/>
      <c r="N157" s="183">
        <v>3</v>
      </c>
      <c r="O157" s="183">
        <v>3</v>
      </c>
      <c r="P157" s="206"/>
      <c r="Q157" s="183">
        <v>2</v>
      </c>
      <c r="R157" s="183">
        <v>1</v>
      </c>
      <c r="S157" s="183">
        <v>0</v>
      </c>
      <c r="T157" s="183">
        <v>5</v>
      </c>
      <c r="U157" s="206"/>
      <c r="V157" s="183">
        <v>1</v>
      </c>
      <c r="W157" s="206"/>
      <c r="X157" s="183">
        <v>2</v>
      </c>
      <c r="Y157" s="206"/>
      <c r="Z157" s="183">
        <v>3</v>
      </c>
      <c r="AA157" s="183">
        <v>4</v>
      </c>
      <c r="AB157" s="183">
        <v>3</v>
      </c>
      <c r="AC157" s="206"/>
      <c r="AD157" s="183">
        <v>1</v>
      </c>
      <c r="AE157" s="183">
        <v>1</v>
      </c>
      <c r="AF157" s="206"/>
      <c r="AG157" s="183">
        <v>3</v>
      </c>
    </row>
    <row r="158" spans="1:33" ht="12.75" customHeight="1" x14ac:dyDescent="0.25">
      <c r="A158" s="207" t="s">
        <v>388</v>
      </c>
      <c r="B158" s="198" t="s">
        <v>15</v>
      </c>
      <c r="C158" s="153" t="s">
        <v>700</v>
      </c>
      <c r="D158" s="154" t="s">
        <v>32</v>
      </c>
      <c r="E158" s="206"/>
      <c r="F158" s="183">
        <v>5</v>
      </c>
      <c r="G158" s="183">
        <v>3</v>
      </c>
      <c r="H158" s="183">
        <v>2</v>
      </c>
      <c r="I158" s="183">
        <v>3</v>
      </c>
      <c r="J158" s="183">
        <v>3</v>
      </c>
      <c r="K158" s="206"/>
      <c r="L158" s="183">
        <v>5</v>
      </c>
      <c r="M158" s="206"/>
      <c r="N158" s="183">
        <v>1</v>
      </c>
      <c r="O158" s="183">
        <v>1</v>
      </c>
      <c r="P158" s="206"/>
      <c r="Q158" s="183">
        <v>5</v>
      </c>
      <c r="R158" s="183" t="s">
        <v>311</v>
      </c>
      <c r="S158" s="183">
        <v>0</v>
      </c>
      <c r="T158" s="183">
        <v>4</v>
      </c>
      <c r="U158" s="206"/>
      <c r="V158" s="183">
        <v>4</v>
      </c>
      <c r="W158" s="206"/>
      <c r="X158" s="183">
        <v>1</v>
      </c>
      <c r="Y158" s="206"/>
      <c r="Z158" s="183">
        <v>3</v>
      </c>
      <c r="AA158" s="183">
        <v>4</v>
      </c>
      <c r="AB158" s="183">
        <v>3</v>
      </c>
      <c r="AC158" s="206"/>
      <c r="AD158" s="183">
        <v>1</v>
      </c>
      <c r="AE158" s="183">
        <v>1</v>
      </c>
      <c r="AF158" s="206"/>
      <c r="AG158" s="183">
        <v>3</v>
      </c>
    </row>
    <row r="159" spans="1:33" ht="12.75" customHeight="1" x14ac:dyDescent="0.25">
      <c r="A159" s="207" t="s">
        <v>388</v>
      </c>
      <c r="B159" s="198" t="s">
        <v>16</v>
      </c>
      <c r="C159" s="153" t="s">
        <v>701</v>
      </c>
      <c r="D159" s="154" t="s">
        <v>32</v>
      </c>
      <c r="E159" s="206"/>
      <c r="F159" s="183">
        <v>4</v>
      </c>
      <c r="G159" s="183">
        <v>3</v>
      </c>
      <c r="H159" s="183">
        <v>3</v>
      </c>
      <c r="I159" s="183">
        <v>3</v>
      </c>
      <c r="J159" s="183">
        <v>3</v>
      </c>
      <c r="K159" s="206"/>
      <c r="L159" s="183">
        <v>3</v>
      </c>
      <c r="M159" s="206"/>
      <c r="N159" s="183">
        <v>5</v>
      </c>
      <c r="O159" s="183">
        <v>5</v>
      </c>
      <c r="P159" s="206"/>
      <c r="Q159" s="183">
        <v>2</v>
      </c>
      <c r="R159" s="183">
        <v>4</v>
      </c>
      <c r="S159" s="183">
        <v>0</v>
      </c>
      <c r="T159" s="183">
        <v>4</v>
      </c>
      <c r="U159" s="206"/>
      <c r="V159" s="183">
        <v>4</v>
      </c>
      <c r="W159" s="206"/>
      <c r="X159" s="183">
        <v>4</v>
      </c>
      <c r="Y159" s="206"/>
      <c r="Z159" s="183">
        <v>3</v>
      </c>
      <c r="AA159" s="183">
        <v>3</v>
      </c>
      <c r="AB159" s="183">
        <v>3</v>
      </c>
      <c r="AC159" s="206"/>
      <c r="AD159" s="183">
        <v>2</v>
      </c>
      <c r="AE159" s="183">
        <v>2</v>
      </c>
      <c r="AF159" s="206"/>
      <c r="AG159" s="183">
        <v>4</v>
      </c>
    </row>
    <row r="160" spans="1:33" ht="12.75" customHeight="1" x14ac:dyDescent="0.25">
      <c r="A160" s="207" t="s">
        <v>388</v>
      </c>
      <c r="B160" s="198" t="s">
        <v>17</v>
      </c>
      <c r="C160" s="153" t="s">
        <v>702</v>
      </c>
      <c r="D160" s="154" t="s">
        <v>32</v>
      </c>
      <c r="E160" s="206"/>
      <c r="F160" s="183">
        <v>3</v>
      </c>
      <c r="G160" s="183">
        <v>3</v>
      </c>
      <c r="H160" s="183">
        <v>3</v>
      </c>
      <c r="I160" s="183">
        <v>3</v>
      </c>
      <c r="J160" s="183">
        <v>2</v>
      </c>
      <c r="K160" s="206"/>
      <c r="L160" s="183">
        <v>3</v>
      </c>
      <c r="M160" s="206"/>
      <c r="N160" s="183">
        <v>3</v>
      </c>
      <c r="O160" s="183">
        <v>3</v>
      </c>
      <c r="P160" s="206"/>
      <c r="Q160" s="183">
        <v>4</v>
      </c>
      <c r="R160" s="183" t="s">
        <v>311</v>
      </c>
      <c r="S160" s="183">
        <v>0</v>
      </c>
      <c r="T160" s="183">
        <v>5</v>
      </c>
      <c r="U160" s="206"/>
      <c r="V160" s="183">
        <v>3</v>
      </c>
      <c r="W160" s="206"/>
      <c r="X160" s="183">
        <v>1</v>
      </c>
      <c r="Y160" s="206"/>
      <c r="Z160" s="183">
        <v>3</v>
      </c>
      <c r="AA160" s="183">
        <v>3</v>
      </c>
      <c r="AB160" s="183">
        <v>3</v>
      </c>
      <c r="AC160" s="206"/>
      <c r="AD160" s="183">
        <v>1</v>
      </c>
      <c r="AE160" s="183">
        <v>1</v>
      </c>
      <c r="AF160" s="206"/>
      <c r="AG160" s="183">
        <v>3</v>
      </c>
    </row>
    <row r="161" spans="1:33" ht="12.75" customHeight="1" x14ac:dyDescent="0.25">
      <c r="A161" s="207" t="s">
        <v>389</v>
      </c>
      <c r="B161" s="198" t="s">
        <v>7</v>
      </c>
      <c r="C161" s="153" t="s">
        <v>689</v>
      </c>
      <c r="D161" s="154" t="s">
        <v>32</v>
      </c>
      <c r="E161" s="206"/>
      <c r="F161" s="183">
        <v>5</v>
      </c>
      <c r="G161" s="183">
        <v>5</v>
      </c>
      <c r="H161" s="183">
        <v>4</v>
      </c>
      <c r="I161" s="183">
        <v>3</v>
      </c>
      <c r="J161" s="183">
        <v>5</v>
      </c>
      <c r="K161" s="206"/>
      <c r="L161" s="183">
        <v>5</v>
      </c>
      <c r="M161" s="206"/>
      <c r="N161" s="183">
        <v>1</v>
      </c>
      <c r="O161" s="183">
        <v>3</v>
      </c>
      <c r="P161" s="206"/>
      <c r="Q161" s="183">
        <v>3</v>
      </c>
      <c r="R161" s="183" t="s">
        <v>311</v>
      </c>
      <c r="S161" s="183">
        <v>0</v>
      </c>
      <c r="T161" s="183">
        <v>2</v>
      </c>
      <c r="U161" s="206"/>
      <c r="V161" s="183">
        <v>4</v>
      </c>
      <c r="W161" s="206"/>
      <c r="X161" s="183">
        <v>5</v>
      </c>
      <c r="Y161" s="206"/>
      <c r="Z161" s="183">
        <v>3</v>
      </c>
      <c r="AA161" s="183">
        <v>3</v>
      </c>
      <c r="AB161" s="183">
        <v>3</v>
      </c>
      <c r="AC161" s="206"/>
      <c r="AD161" s="183">
        <v>3</v>
      </c>
      <c r="AE161" s="183">
        <v>3</v>
      </c>
      <c r="AF161" s="206"/>
      <c r="AG161" s="183">
        <v>3</v>
      </c>
    </row>
    <row r="162" spans="1:33" ht="12.75" customHeight="1" x14ac:dyDescent="0.25">
      <c r="A162" s="207" t="s">
        <v>389</v>
      </c>
      <c r="B162" s="198" t="s">
        <v>376</v>
      </c>
      <c r="C162" s="153" t="s">
        <v>690</v>
      </c>
      <c r="D162" s="154" t="s">
        <v>32</v>
      </c>
      <c r="E162" s="206"/>
      <c r="F162" s="183">
        <v>3</v>
      </c>
      <c r="G162" s="183">
        <v>2</v>
      </c>
      <c r="H162" s="183">
        <v>3</v>
      </c>
      <c r="I162" s="183">
        <v>2</v>
      </c>
      <c r="J162" s="183">
        <v>3</v>
      </c>
      <c r="K162" s="206"/>
      <c r="L162" s="183">
        <v>5</v>
      </c>
      <c r="M162" s="206"/>
      <c r="N162" s="183">
        <v>5</v>
      </c>
      <c r="O162" s="183">
        <v>5</v>
      </c>
      <c r="P162" s="206"/>
      <c r="Q162" s="183">
        <v>2</v>
      </c>
      <c r="R162" s="183">
        <v>1</v>
      </c>
      <c r="S162" s="183">
        <v>0</v>
      </c>
      <c r="T162" s="183">
        <v>5</v>
      </c>
      <c r="U162" s="206"/>
      <c r="V162" s="183">
        <v>4</v>
      </c>
      <c r="W162" s="206"/>
      <c r="X162" s="183">
        <v>4</v>
      </c>
      <c r="Y162" s="206"/>
      <c r="Z162" s="183">
        <v>3</v>
      </c>
      <c r="AA162" s="183">
        <v>2</v>
      </c>
      <c r="AB162" s="183">
        <v>3</v>
      </c>
      <c r="AC162" s="206"/>
      <c r="AD162" s="183">
        <v>2</v>
      </c>
      <c r="AE162" s="183">
        <v>2</v>
      </c>
      <c r="AF162" s="206"/>
      <c r="AG162" s="183">
        <v>3</v>
      </c>
    </row>
    <row r="163" spans="1:33" ht="12.75" customHeight="1" x14ac:dyDescent="0.25">
      <c r="A163" s="207" t="s">
        <v>389</v>
      </c>
      <c r="B163" s="198" t="s">
        <v>377</v>
      </c>
      <c r="C163" s="153" t="s">
        <v>691</v>
      </c>
      <c r="D163" s="154" t="s">
        <v>32</v>
      </c>
      <c r="E163" s="206"/>
      <c r="F163" s="183">
        <v>1</v>
      </c>
      <c r="G163" s="183">
        <v>3</v>
      </c>
      <c r="H163" s="183">
        <v>3</v>
      </c>
      <c r="I163" s="183">
        <v>3</v>
      </c>
      <c r="J163" s="183">
        <v>2</v>
      </c>
      <c r="K163" s="206"/>
      <c r="L163" s="183">
        <v>3</v>
      </c>
      <c r="M163" s="206"/>
      <c r="N163" s="183">
        <v>3</v>
      </c>
      <c r="O163" s="183">
        <v>3</v>
      </c>
      <c r="P163" s="206"/>
      <c r="Q163" s="183">
        <v>2</v>
      </c>
      <c r="R163" s="183">
        <v>3</v>
      </c>
      <c r="S163" s="183">
        <v>0</v>
      </c>
      <c r="T163" s="183">
        <v>2</v>
      </c>
      <c r="U163" s="206"/>
      <c r="V163" s="183">
        <v>4</v>
      </c>
      <c r="W163" s="206"/>
      <c r="X163" s="183">
        <v>2</v>
      </c>
      <c r="Y163" s="206"/>
      <c r="Z163" s="183">
        <v>3</v>
      </c>
      <c r="AA163" s="183">
        <v>3</v>
      </c>
      <c r="AB163" s="183">
        <v>3</v>
      </c>
      <c r="AC163" s="206"/>
      <c r="AD163" s="183">
        <v>3</v>
      </c>
      <c r="AE163" s="183">
        <v>3</v>
      </c>
      <c r="AF163" s="206"/>
      <c r="AG163" s="183">
        <v>3</v>
      </c>
    </row>
    <row r="164" spans="1:33" ht="12.75" customHeight="1" x14ac:dyDescent="0.25">
      <c r="A164" s="207" t="s">
        <v>389</v>
      </c>
      <c r="B164" s="198" t="s">
        <v>8</v>
      </c>
      <c r="C164" s="153" t="s">
        <v>692</v>
      </c>
      <c r="D164" s="154" t="s">
        <v>32</v>
      </c>
      <c r="E164" s="206"/>
      <c r="F164" s="183">
        <v>5</v>
      </c>
      <c r="G164" s="183">
        <v>3</v>
      </c>
      <c r="H164" s="183">
        <v>3</v>
      </c>
      <c r="I164" s="183">
        <v>2</v>
      </c>
      <c r="J164" s="183">
        <v>3</v>
      </c>
      <c r="K164" s="206"/>
      <c r="L164" s="183">
        <v>5</v>
      </c>
      <c r="M164" s="206"/>
      <c r="N164" s="183">
        <v>5</v>
      </c>
      <c r="O164" s="183">
        <v>5</v>
      </c>
      <c r="P164" s="206"/>
      <c r="Q164" s="183">
        <v>2</v>
      </c>
      <c r="R164" s="183">
        <v>1</v>
      </c>
      <c r="S164" s="183">
        <v>0</v>
      </c>
      <c r="T164" s="183">
        <v>5</v>
      </c>
      <c r="U164" s="206"/>
      <c r="V164" s="183">
        <v>4</v>
      </c>
      <c r="W164" s="206"/>
      <c r="X164" s="183">
        <v>4</v>
      </c>
      <c r="Y164" s="206"/>
      <c r="Z164" s="183">
        <v>3</v>
      </c>
      <c r="AA164" s="183">
        <v>3</v>
      </c>
      <c r="AB164" s="183">
        <v>3</v>
      </c>
      <c r="AC164" s="206"/>
      <c r="AD164" s="183">
        <v>3</v>
      </c>
      <c r="AE164" s="183">
        <v>3</v>
      </c>
      <c r="AF164" s="206"/>
      <c r="AG164" s="183">
        <v>3</v>
      </c>
    </row>
    <row r="165" spans="1:33" ht="12.75" customHeight="1" x14ac:dyDescent="0.25">
      <c r="A165" s="207" t="s">
        <v>389</v>
      </c>
      <c r="B165" s="198" t="s">
        <v>9</v>
      </c>
      <c r="C165" s="153" t="s">
        <v>693</v>
      </c>
      <c r="D165" s="154" t="s">
        <v>32</v>
      </c>
      <c r="E165" s="206"/>
      <c r="F165" s="183">
        <v>5</v>
      </c>
      <c r="G165" s="183">
        <v>3</v>
      </c>
      <c r="H165" s="183">
        <v>3</v>
      </c>
      <c r="I165" s="183">
        <v>3</v>
      </c>
      <c r="J165" s="183">
        <v>3</v>
      </c>
      <c r="K165" s="206"/>
      <c r="L165" s="183">
        <v>5</v>
      </c>
      <c r="M165" s="206"/>
      <c r="N165" s="183">
        <v>1</v>
      </c>
      <c r="O165" s="183">
        <v>1</v>
      </c>
      <c r="P165" s="206"/>
      <c r="Q165" s="183">
        <v>4</v>
      </c>
      <c r="R165" s="183" t="s">
        <v>311</v>
      </c>
      <c r="S165" s="183">
        <v>0</v>
      </c>
      <c r="T165" s="183">
        <v>3</v>
      </c>
      <c r="U165" s="206"/>
      <c r="V165" s="183">
        <v>4</v>
      </c>
      <c r="W165" s="206"/>
      <c r="X165" s="183">
        <v>2</v>
      </c>
      <c r="Y165" s="206"/>
      <c r="Z165" s="183">
        <v>3</v>
      </c>
      <c r="AA165" s="183">
        <v>3</v>
      </c>
      <c r="AB165" s="183">
        <v>3</v>
      </c>
      <c r="AC165" s="206"/>
      <c r="AD165" s="183">
        <v>3</v>
      </c>
      <c r="AE165" s="183">
        <v>3</v>
      </c>
      <c r="AF165" s="206"/>
      <c r="AG165" s="183">
        <v>3</v>
      </c>
    </row>
    <row r="166" spans="1:33" ht="12.75" customHeight="1" x14ac:dyDescent="0.25">
      <c r="A166" s="207" t="s">
        <v>389</v>
      </c>
      <c r="B166" s="198" t="s">
        <v>10</v>
      </c>
      <c r="C166" s="153" t="s">
        <v>694</v>
      </c>
      <c r="D166" s="154" t="s">
        <v>32</v>
      </c>
      <c r="E166" s="206"/>
      <c r="F166" s="183">
        <v>1</v>
      </c>
      <c r="G166" s="183">
        <v>1</v>
      </c>
      <c r="H166" s="183">
        <v>2</v>
      </c>
      <c r="I166" s="183">
        <v>4</v>
      </c>
      <c r="J166" s="183">
        <v>2</v>
      </c>
      <c r="K166" s="206"/>
      <c r="L166" s="183">
        <v>3</v>
      </c>
      <c r="M166" s="206"/>
      <c r="N166" s="183">
        <v>3</v>
      </c>
      <c r="O166" s="183">
        <v>3</v>
      </c>
      <c r="P166" s="206"/>
      <c r="Q166" s="183">
        <v>3</v>
      </c>
      <c r="R166" s="183" t="s">
        <v>311</v>
      </c>
      <c r="S166" s="183">
        <v>0</v>
      </c>
      <c r="T166" s="183">
        <v>1</v>
      </c>
      <c r="U166" s="206"/>
      <c r="V166" s="183">
        <v>4</v>
      </c>
      <c r="W166" s="206"/>
      <c r="X166" s="183" t="s">
        <v>311</v>
      </c>
      <c r="Y166" s="206"/>
      <c r="Z166" s="183">
        <v>3</v>
      </c>
      <c r="AA166" s="183">
        <v>3</v>
      </c>
      <c r="AB166" s="183">
        <v>3</v>
      </c>
      <c r="AC166" s="206"/>
      <c r="AD166" s="183">
        <v>2</v>
      </c>
      <c r="AE166" s="183">
        <v>2</v>
      </c>
      <c r="AF166" s="206"/>
      <c r="AG166" s="183">
        <v>3</v>
      </c>
    </row>
    <row r="167" spans="1:33" ht="12.75" customHeight="1" x14ac:dyDescent="0.25">
      <c r="A167" s="207" t="s">
        <v>389</v>
      </c>
      <c r="B167" s="198" t="s">
        <v>378</v>
      </c>
      <c r="C167" s="153" t="s">
        <v>695</v>
      </c>
      <c r="D167" s="154" t="s">
        <v>32</v>
      </c>
      <c r="E167" s="206"/>
      <c r="F167" s="183">
        <v>3</v>
      </c>
      <c r="G167" s="183">
        <v>1</v>
      </c>
      <c r="H167" s="183">
        <v>2</v>
      </c>
      <c r="I167" s="183">
        <v>4</v>
      </c>
      <c r="J167" s="183">
        <v>4</v>
      </c>
      <c r="K167" s="206"/>
      <c r="L167" s="183">
        <v>5</v>
      </c>
      <c r="M167" s="206"/>
      <c r="N167" s="183">
        <v>1</v>
      </c>
      <c r="O167" s="183">
        <v>1</v>
      </c>
      <c r="P167" s="206"/>
      <c r="Q167" s="183">
        <v>4</v>
      </c>
      <c r="R167" s="183" t="s">
        <v>311</v>
      </c>
      <c r="S167" s="183">
        <v>0</v>
      </c>
      <c r="T167" s="183">
        <v>3</v>
      </c>
      <c r="U167" s="206"/>
      <c r="V167" s="183">
        <v>4</v>
      </c>
      <c r="W167" s="206"/>
      <c r="X167" s="183">
        <v>1</v>
      </c>
      <c r="Y167" s="206"/>
      <c r="Z167" s="183">
        <v>3</v>
      </c>
      <c r="AA167" s="183">
        <v>2</v>
      </c>
      <c r="AB167" s="183">
        <v>3</v>
      </c>
      <c r="AC167" s="206"/>
      <c r="AD167" s="183">
        <v>3</v>
      </c>
      <c r="AE167" s="183">
        <v>3</v>
      </c>
      <c r="AF167" s="206"/>
      <c r="AG167" s="183">
        <v>3</v>
      </c>
    </row>
    <row r="168" spans="1:33" ht="12.75" customHeight="1" x14ac:dyDescent="0.25">
      <c r="A168" s="207" t="s">
        <v>389</v>
      </c>
      <c r="B168" s="198" t="s">
        <v>11</v>
      </c>
      <c r="C168" s="153" t="s">
        <v>696</v>
      </c>
      <c r="D168" s="154" t="s">
        <v>32</v>
      </c>
      <c r="E168" s="206"/>
      <c r="F168" s="183">
        <v>5</v>
      </c>
      <c r="G168" s="183">
        <v>1</v>
      </c>
      <c r="H168" s="183">
        <v>2</v>
      </c>
      <c r="I168" s="183">
        <v>2</v>
      </c>
      <c r="J168" s="183">
        <v>5</v>
      </c>
      <c r="K168" s="206"/>
      <c r="L168" s="183">
        <v>5</v>
      </c>
      <c r="M168" s="206"/>
      <c r="N168" s="183">
        <v>1</v>
      </c>
      <c r="O168" s="183">
        <v>1</v>
      </c>
      <c r="P168" s="206"/>
      <c r="Q168" s="183">
        <v>4</v>
      </c>
      <c r="R168" s="183" t="s">
        <v>311</v>
      </c>
      <c r="S168" s="183">
        <v>0</v>
      </c>
      <c r="T168" s="183">
        <v>5</v>
      </c>
      <c r="U168" s="206"/>
      <c r="V168" s="183">
        <v>5</v>
      </c>
      <c r="W168" s="206"/>
      <c r="X168" s="183">
        <v>2</v>
      </c>
      <c r="Y168" s="206"/>
      <c r="Z168" s="183">
        <v>3</v>
      </c>
      <c r="AA168" s="183">
        <v>3</v>
      </c>
      <c r="AB168" s="183">
        <v>3</v>
      </c>
      <c r="AC168" s="206"/>
      <c r="AD168" s="183">
        <v>5</v>
      </c>
      <c r="AE168" s="183">
        <v>5</v>
      </c>
      <c r="AF168" s="206"/>
      <c r="AG168" s="183">
        <v>3</v>
      </c>
    </row>
    <row r="169" spans="1:33" ht="12.75" customHeight="1" x14ac:dyDescent="0.25">
      <c r="A169" s="207" t="s">
        <v>389</v>
      </c>
      <c r="B169" s="198" t="s">
        <v>12</v>
      </c>
      <c r="C169" s="153" t="s">
        <v>697</v>
      </c>
      <c r="D169" s="154" t="s">
        <v>32</v>
      </c>
      <c r="E169" s="206"/>
      <c r="F169" s="183">
        <v>5</v>
      </c>
      <c r="G169" s="183">
        <v>1</v>
      </c>
      <c r="H169" s="183">
        <v>2</v>
      </c>
      <c r="I169" s="183">
        <v>2</v>
      </c>
      <c r="J169" s="183">
        <v>4</v>
      </c>
      <c r="K169" s="206"/>
      <c r="L169" s="183">
        <v>5</v>
      </c>
      <c r="M169" s="206"/>
      <c r="N169" s="183">
        <v>1</v>
      </c>
      <c r="O169" s="183">
        <v>1</v>
      </c>
      <c r="P169" s="206"/>
      <c r="Q169" s="183">
        <v>4</v>
      </c>
      <c r="R169" s="183" t="s">
        <v>311</v>
      </c>
      <c r="S169" s="183">
        <v>0</v>
      </c>
      <c r="T169" s="183">
        <v>4</v>
      </c>
      <c r="U169" s="206"/>
      <c r="V169" s="183">
        <v>4</v>
      </c>
      <c r="W169" s="206"/>
      <c r="X169" s="183">
        <v>2</v>
      </c>
      <c r="Y169" s="206"/>
      <c r="Z169" s="183">
        <v>3</v>
      </c>
      <c r="AA169" s="183">
        <v>3</v>
      </c>
      <c r="AB169" s="183">
        <v>3</v>
      </c>
      <c r="AC169" s="206"/>
      <c r="AD169" s="183">
        <v>5</v>
      </c>
      <c r="AE169" s="183">
        <v>5</v>
      </c>
      <c r="AF169" s="206"/>
      <c r="AG169" s="183">
        <v>3</v>
      </c>
    </row>
    <row r="170" spans="1:33" ht="12.75" customHeight="1" x14ac:dyDescent="0.25">
      <c r="A170" s="207" t="s">
        <v>389</v>
      </c>
      <c r="B170" s="198" t="s">
        <v>13</v>
      </c>
      <c r="C170" s="153" t="s">
        <v>698</v>
      </c>
      <c r="D170" s="154" t="s">
        <v>32</v>
      </c>
      <c r="E170" s="206"/>
      <c r="F170" s="183">
        <v>5</v>
      </c>
      <c r="G170" s="183">
        <v>1</v>
      </c>
      <c r="H170" s="183">
        <v>2</v>
      </c>
      <c r="I170" s="183">
        <v>4</v>
      </c>
      <c r="J170" s="183">
        <v>4</v>
      </c>
      <c r="K170" s="206"/>
      <c r="L170" s="183">
        <v>5</v>
      </c>
      <c r="M170" s="206"/>
      <c r="N170" s="183">
        <v>1</v>
      </c>
      <c r="O170" s="183">
        <v>1</v>
      </c>
      <c r="P170" s="206"/>
      <c r="Q170" s="183">
        <v>5</v>
      </c>
      <c r="R170" s="183" t="s">
        <v>311</v>
      </c>
      <c r="S170" s="183">
        <v>0</v>
      </c>
      <c r="T170" s="183">
        <v>3</v>
      </c>
      <c r="U170" s="206"/>
      <c r="V170" s="183">
        <v>3</v>
      </c>
      <c r="W170" s="206"/>
      <c r="X170" s="183">
        <v>1</v>
      </c>
      <c r="Y170" s="206"/>
      <c r="Z170" s="183">
        <v>3</v>
      </c>
      <c r="AA170" s="183">
        <v>3</v>
      </c>
      <c r="AB170" s="183">
        <v>3</v>
      </c>
      <c r="AC170" s="206"/>
      <c r="AD170" s="183">
        <v>3</v>
      </c>
      <c r="AE170" s="183">
        <v>3</v>
      </c>
      <c r="AF170" s="206"/>
      <c r="AG170" s="183">
        <v>1</v>
      </c>
    </row>
    <row r="171" spans="1:33" ht="12.75" customHeight="1" x14ac:dyDescent="0.25">
      <c r="A171" s="207" t="s">
        <v>389</v>
      </c>
      <c r="B171" s="198" t="s">
        <v>14</v>
      </c>
      <c r="C171" s="153" t="s">
        <v>699</v>
      </c>
      <c r="D171" s="154" t="s">
        <v>32</v>
      </c>
      <c r="E171" s="206"/>
      <c r="F171" s="183">
        <v>3</v>
      </c>
      <c r="G171" s="183">
        <v>3</v>
      </c>
      <c r="H171" s="183">
        <v>3</v>
      </c>
      <c r="I171" s="183">
        <v>3</v>
      </c>
      <c r="J171" s="183">
        <v>3</v>
      </c>
      <c r="K171" s="206"/>
      <c r="L171" s="183">
        <v>3</v>
      </c>
      <c r="M171" s="206"/>
      <c r="N171" s="183">
        <v>3</v>
      </c>
      <c r="O171" s="183">
        <v>3</v>
      </c>
      <c r="P171" s="206"/>
      <c r="Q171" s="183">
        <v>3</v>
      </c>
      <c r="R171" s="183">
        <v>4</v>
      </c>
      <c r="S171" s="183">
        <v>0</v>
      </c>
      <c r="T171" s="183">
        <v>3</v>
      </c>
      <c r="U171" s="206"/>
      <c r="V171" s="183">
        <v>4</v>
      </c>
      <c r="W171" s="206"/>
      <c r="X171" s="183">
        <v>2</v>
      </c>
      <c r="Y171" s="206"/>
      <c r="Z171" s="183">
        <v>3</v>
      </c>
      <c r="AA171" s="183">
        <v>4</v>
      </c>
      <c r="AB171" s="183">
        <v>3</v>
      </c>
      <c r="AC171" s="206"/>
      <c r="AD171" s="183">
        <v>5</v>
      </c>
      <c r="AE171" s="183">
        <v>5</v>
      </c>
      <c r="AF171" s="206"/>
      <c r="AG171" s="183">
        <v>3</v>
      </c>
    </row>
    <row r="172" spans="1:33" ht="12.75" customHeight="1" x14ac:dyDescent="0.25">
      <c r="A172" s="207" t="s">
        <v>389</v>
      </c>
      <c r="B172" s="198" t="s">
        <v>15</v>
      </c>
      <c r="C172" s="153" t="s">
        <v>700</v>
      </c>
      <c r="D172" s="154" t="s">
        <v>32</v>
      </c>
      <c r="E172" s="206"/>
      <c r="F172" s="183">
        <v>5</v>
      </c>
      <c r="G172" s="183">
        <v>1</v>
      </c>
      <c r="H172" s="183">
        <v>3</v>
      </c>
      <c r="I172" s="183">
        <v>4</v>
      </c>
      <c r="J172" s="183">
        <v>4</v>
      </c>
      <c r="K172" s="206"/>
      <c r="L172" s="183">
        <v>5</v>
      </c>
      <c r="M172" s="206"/>
      <c r="N172" s="183">
        <v>3</v>
      </c>
      <c r="O172" s="183">
        <v>3</v>
      </c>
      <c r="P172" s="206"/>
      <c r="Q172" s="183">
        <v>3</v>
      </c>
      <c r="R172" s="183">
        <v>4</v>
      </c>
      <c r="S172" s="183">
        <v>0</v>
      </c>
      <c r="T172" s="183">
        <v>4</v>
      </c>
      <c r="U172" s="206"/>
      <c r="V172" s="183">
        <v>4</v>
      </c>
      <c r="W172" s="206"/>
      <c r="X172" s="183">
        <v>2</v>
      </c>
      <c r="Y172" s="206"/>
      <c r="Z172" s="183">
        <v>3</v>
      </c>
      <c r="AA172" s="183">
        <v>4</v>
      </c>
      <c r="AB172" s="183">
        <v>3</v>
      </c>
      <c r="AC172" s="206"/>
      <c r="AD172" s="183">
        <v>5</v>
      </c>
      <c r="AE172" s="183">
        <v>5</v>
      </c>
      <c r="AF172" s="206"/>
      <c r="AG172" s="183">
        <v>3</v>
      </c>
    </row>
    <row r="173" spans="1:33" ht="12.75" customHeight="1" x14ac:dyDescent="0.25">
      <c r="A173" s="207" t="s">
        <v>389</v>
      </c>
      <c r="B173" s="198" t="s">
        <v>16</v>
      </c>
      <c r="C173" s="153" t="s">
        <v>701</v>
      </c>
      <c r="D173" s="154" t="s">
        <v>32</v>
      </c>
      <c r="E173" s="206"/>
      <c r="F173" s="183">
        <v>3</v>
      </c>
      <c r="G173" s="183">
        <v>5</v>
      </c>
      <c r="H173" s="183">
        <v>5</v>
      </c>
      <c r="I173" s="183">
        <v>1</v>
      </c>
      <c r="J173" s="183">
        <v>2</v>
      </c>
      <c r="K173" s="206"/>
      <c r="L173" s="183">
        <v>3</v>
      </c>
      <c r="M173" s="206"/>
      <c r="N173" s="183">
        <v>5</v>
      </c>
      <c r="O173" s="183">
        <v>5</v>
      </c>
      <c r="P173" s="206"/>
      <c r="Q173" s="183">
        <v>2</v>
      </c>
      <c r="R173" s="183">
        <v>1</v>
      </c>
      <c r="S173" s="183">
        <v>0</v>
      </c>
      <c r="T173" s="183">
        <v>5</v>
      </c>
      <c r="U173" s="206"/>
      <c r="V173" s="183">
        <v>4</v>
      </c>
      <c r="W173" s="206"/>
      <c r="X173" s="183">
        <v>4</v>
      </c>
      <c r="Y173" s="206"/>
      <c r="Z173" s="183">
        <v>3</v>
      </c>
      <c r="AA173" s="183">
        <v>5</v>
      </c>
      <c r="AB173" s="183">
        <v>3</v>
      </c>
      <c r="AC173" s="206"/>
      <c r="AD173" s="183">
        <v>5</v>
      </c>
      <c r="AE173" s="183">
        <v>5</v>
      </c>
      <c r="AF173" s="206"/>
      <c r="AG173" s="183">
        <v>3</v>
      </c>
    </row>
    <row r="174" spans="1:33" ht="12.75" customHeight="1" x14ac:dyDescent="0.25">
      <c r="A174" s="207" t="s">
        <v>389</v>
      </c>
      <c r="B174" s="198" t="s">
        <v>17</v>
      </c>
      <c r="C174" s="153" t="s">
        <v>702</v>
      </c>
      <c r="D174" s="154" t="s">
        <v>32</v>
      </c>
      <c r="E174" s="206"/>
      <c r="F174" s="183">
        <v>3</v>
      </c>
      <c r="G174" s="183">
        <v>3</v>
      </c>
      <c r="H174" s="183">
        <v>3</v>
      </c>
      <c r="I174" s="183">
        <v>3</v>
      </c>
      <c r="J174" s="183">
        <v>3</v>
      </c>
      <c r="K174" s="206"/>
      <c r="L174" s="183">
        <v>3</v>
      </c>
      <c r="M174" s="206"/>
      <c r="N174" s="183">
        <v>3</v>
      </c>
      <c r="O174" s="183">
        <v>3</v>
      </c>
      <c r="P174" s="206"/>
      <c r="Q174" s="183">
        <v>3</v>
      </c>
      <c r="R174" s="183">
        <v>1</v>
      </c>
      <c r="S174" s="183">
        <v>0</v>
      </c>
      <c r="T174" s="183">
        <v>5</v>
      </c>
      <c r="U174" s="206"/>
      <c r="V174" s="183">
        <v>4</v>
      </c>
      <c r="W174" s="206"/>
      <c r="X174" s="183">
        <v>3</v>
      </c>
      <c r="Y174" s="206"/>
      <c r="Z174" s="183">
        <v>5</v>
      </c>
      <c r="AA174" s="183">
        <v>5</v>
      </c>
      <c r="AB174" s="183">
        <v>5</v>
      </c>
      <c r="AC174" s="206"/>
      <c r="AD174" s="183" t="s">
        <v>311</v>
      </c>
      <c r="AE174" s="183">
        <v>3</v>
      </c>
      <c r="AF174" s="206"/>
      <c r="AG174" s="183">
        <v>5</v>
      </c>
    </row>
    <row r="175" spans="1:33" ht="12.75" customHeight="1" x14ac:dyDescent="0.25">
      <c r="A175" s="207" t="s">
        <v>390</v>
      </c>
      <c r="B175" s="198" t="s">
        <v>7</v>
      </c>
      <c r="C175" s="153" t="s">
        <v>689</v>
      </c>
      <c r="D175" s="154" t="s">
        <v>32</v>
      </c>
      <c r="E175" s="206"/>
      <c r="F175" s="183">
        <v>5</v>
      </c>
      <c r="G175" s="183">
        <v>5</v>
      </c>
      <c r="H175" s="183">
        <v>5</v>
      </c>
      <c r="I175" s="183">
        <v>5</v>
      </c>
      <c r="J175" s="183">
        <v>5</v>
      </c>
      <c r="K175" s="206"/>
      <c r="L175" s="183">
        <v>3</v>
      </c>
      <c r="M175" s="206"/>
      <c r="N175" s="183">
        <v>1</v>
      </c>
      <c r="O175" s="183">
        <v>3</v>
      </c>
      <c r="P175" s="206"/>
      <c r="Q175" s="183">
        <v>1</v>
      </c>
      <c r="R175" s="183" t="s">
        <v>311</v>
      </c>
      <c r="S175" s="183" t="s">
        <v>311</v>
      </c>
      <c r="T175" s="183">
        <v>2</v>
      </c>
      <c r="U175" s="206"/>
      <c r="V175" s="183">
        <v>2</v>
      </c>
      <c r="W175" s="206"/>
      <c r="X175" s="183">
        <v>4</v>
      </c>
      <c r="Y175" s="206"/>
      <c r="Z175" s="183">
        <v>2</v>
      </c>
      <c r="AA175" s="183">
        <v>4</v>
      </c>
      <c r="AB175" s="183">
        <v>3</v>
      </c>
      <c r="AC175" s="206"/>
      <c r="AD175" s="183">
        <v>3</v>
      </c>
      <c r="AE175" s="183">
        <v>3</v>
      </c>
      <c r="AF175" s="206"/>
      <c r="AG175" s="183">
        <v>4</v>
      </c>
    </row>
    <row r="176" spans="1:33" ht="12.75" customHeight="1" x14ac:dyDescent="0.25">
      <c r="A176" s="207" t="s">
        <v>390</v>
      </c>
      <c r="B176" s="198" t="s">
        <v>376</v>
      </c>
      <c r="C176" s="153" t="s">
        <v>690</v>
      </c>
      <c r="D176" s="154" t="s">
        <v>32</v>
      </c>
      <c r="E176" s="206"/>
      <c r="F176" s="183">
        <v>3</v>
      </c>
      <c r="G176" s="183">
        <v>3</v>
      </c>
      <c r="H176" s="183">
        <v>3</v>
      </c>
      <c r="I176" s="183">
        <v>2</v>
      </c>
      <c r="J176" s="183">
        <v>4</v>
      </c>
      <c r="K176" s="206"/>
      <c r="L176" s="183">
        <v>3</v>
      </c>
      <c r="M176" s="206"/>
      <c r="N176" s="183">
        <v>5</v>
      </c>
      <c r="O176" s="183">
        <v>5</v>
      </c>
      <c r="P176" s="206"/>
      <c r="Q176" s="183">
        <v>2</v>
      </c>
      <c r="R176" s="183">
        <v>1</v>
      </c>
      <c r="S176" s="183" t="s">
        <v>311</v>
      </c>
      <c r="T176" s="183">
        <v>5</v>
      </c>
      <c r="U176" s="206"/>
      <c r="V176" s="183">
        <v>3</v>
      </c>
      <c r="W176" s="206"/>
      <c r="X176" s="183">
        <v>2</v>
      </c>
      <c r="Y176" s="206"/>
      <c r="Z176" s="183">
        <v>3</v>
      </c>
      <c r="AA176" s="183">
        <v>2</v>
      </c>
      <c r="AB176" s="183">
        <v>3</v>
      </c>
      <c r="AC176" s="206"/>
      <c r="AD176" s="183">
        <v>5</v>
      </c>
      <c r="AE176" s="183">
        <v>4</v>
      </c>
      <c r="AF176" s="206"/>
      <c r="AG176" s="183">
        <v>3</v>
      </c>
    </row>
    <row r="177" spans="1:33" ht="12.75" customHeight="1" x14ac:dyDescent="0.25">
      <c r="A177" s="207" t="s">
        <v>390</v>
      </c>
      <c r="B177" s="198" t="s">
        <v>377</v>
      </c>
      <c r="C177" s="153" t="s">
        <v>691</v>
      </c>
      <c r="D177" s="154" t="s">
        <v>32</v>
      </c>
      <c r="E177" s="206"/>
      <c r="F177" s="183">
        <v>4</v>
      </c>
      <c r="G177" s="183">
        <v>3</v>
      </c>
      <c r="H177" s="183">
        <v>3</v>
      </c>
      <c r="I177" s="183">
        <v>3</v>
      </c>
      <c r="J177" s="183">
        <v>4</v>
      </c>
      <c r="K177" s="206"/>
      <c r="L177" s="183">
        <v>2</v>
      </c>
      <c r="M177" s="206"/>
      <c r="N177" s="183">
        <v>3</v>
      </c>
      <c r="O177" s="183">
        <v>5</v>
      </c>
      <c r="P177" s="206"/>
      <c r="Q177" s="183">
        <v>4</v>
      </c>
      <c r="R177" s="183">
        <v>1</v>
      </c>
      <c r="S177" s="183" t="s">
        <v>311</v>
      </c>
      <c r="T177" s="183">
        <v>3</v>
      </c>
      <c r="U177" s="206"/>
      <c r="V177" s="183">
        <v>2</v>
      </c>
      <c r="W177" s="206"/>
      <c r="X177" s="183">
        <v>2</v>
      </c>
      <c r="Y177" s="206"/>
      <c r="Z177" s="183">
        <v>3</v>
      </c>
      <c r="AA177" s="183">
        <v>3</v>
      </c>
      <c r="AB177" s="183">
        <v>3</v>
      </c>
      <c r="AC177" s="206"/>
      <c r="AD177" s="183">
        <v>3</v>
      </c>
      <c r="AE177" s="183">
        <v>3</v>
      </c>
      <c r="AF177" s="206"/>
      <c r="AG177" s="183">
        <v>3</v>
      </c>
    </row>
    <row r="178" spans="1:33" ht="12.75" customHeight="1" x14ac:dyDescent="0.25">
      <c r="A178" s="207" t="s">
        <v>390</v>
      </c>
      <c r="B178" s="198" t="s">
        <v>8</v>
      </c>
      <c r="C178" s="153" t="s">
        <v>692</v>
      </c>
      <c r="D178" s="154" t="s">
        <v>32</v>
      </c>
      <c r="E178" s="206"/>
      <c r="F178" s="183">
        <v>4</v>
      </c>
      <c r="G178" s="183">
        <v>3</v>
      </c>
      <c r="H178" s="183">
        <v>3</v>
      </c>
      <c r="I178" s="183">
        <v>2</v>
      </c>
      <c r="J178" s="183">
        <v>3</v>
      </c>
      <c r="K178" s="206"/>
      <c r="L178" s="183">
        <v>3</v>
      </c>
      <c r="M178" s="206"/>
      <c r="N178" s="183">
        <v>5</v>
      </c>
      <c r="O178" s="183">
        <v>5</v>
      </c>
      <c r="P178" s="206"/>
      <c r="Q178" s="183">
        <v>2</v>
      </c>
      <c r="R178" s="183">
        <v>1</v>
      </c>
      <c r="S178" s="183" t="s">
        <v>311</v>
      </c>
      <c r="T178" s="183">
        <v>5</v>
      </c>
      <c r="U178" s="206"/>
      <c r="V178" s="183">
        <v>3</v>
      </c>
      <c r="W178" s="206"/>
      <c r="X178" s="183">
        <v>3</v>
      </c>
      <c r="Y178" s="206"/>
      <c r="Z178" s="183">
        <v>3</v>
      </c>
      <c r="AA178" s="183">
        <v>3</v>
      </c>
      <c r="AB178" s="183">
        <v>3</v>
      </c>
      <c r="AC178" s="206"/>
      <c r="AD178" s="183">
        <v>3</v>
      </c>
      <c r="AE178" s="183">
        <v>3</v>
      </c>
      <c r="AF178" s="206"/>
      <c r="AG178" s="183">
        <v>4</v>
      </c>
    </row>
    <row r="179" spans="1:33" ht="12.75" customHeight="1" x14ac:dyDescent="0.25">
      <c r="A179" s="207" t="s">
        <v>390</v>
      </c>
      <c r="B179" s="198" t="s">
        <v>9</v>
      </c>
      <c r="C179" s="153" t="s">
        <v>693</v>
      </c>
      <c r="D179" s="154" t="s">
        <v>32</v>
      </c>
      <c r="E179" s="206"/>
      <c r="F179" s="183">
        <v>4</v>
      </c>
      <c r="G179" s="183">
        <v>4</v>
      </c>
      <c r="H179" s="183">
        <v>3</v>
      </c>
      <c r="I179" s="183">
        <v>3</v>
      </c>
      <c r="J179" s="183">
        <v>4</v>
      </c>
      <c r="K179" s="206"/>
      <c r="L179" s="183">
        <v>4</v>
      </c>
      <c r="M179" s="206"/>
      <c r="N179" s="183">
        <v>3</v>
      </c>
      <c r="O179" s="183">
        <v>3</v>
      </c>
      <c r="P179" s="206"/>
      <c r="Q179" s="183">
        <v>3</v>
      </c>
      <c r="R179" s="183" t="s">
        <v>311</v>
      </c>
      <c r="S179" s="183" t="s">
        <v>311</v>
      </c>
      <c r="T179" s="183">
        <v>2</v>
      </c>
      <c r="U179" s="206"/>
      <c r="V179" s="183">
        <v>4</v>
      </c>
      <c r="W179" s="206"/>
      <c r="X179" s="183">
        <v>2</v>
      </c>
      <c r="Y179" s="206"/>
      <c r="Z179" s="183">
        <v>2</v>
      </c>
      <c r="AA179" s="183">
        <v>3</v>
      </c>
      <c r="AB179" s="183">
        <v>3</v>
      </c>
      <c r="AC179" s="206"/>
      <c r="AD179" s="183">
        <v>3</v>
      </c>
      <c r="AE179" s="183">
        <v>3</v>
      </c>
      <c r="AF179" s="206"/>
      <c r="AG179" s="183">
        <v>2</v>
      </c>
    </row>
    <row r="180" spans="1:33" ht="12.75" customHeight="1" x14ac:dyDescent="0.25">
      <c r="A180" s="207" t="s">
        <v>390</v>
      </c>
      <c r="B180" s="198" t="s">
        <v>10</v>
      </c>
      <c r="C180" s="153" t="s">
        <v>694</v>
      </c>
      <c r="D180" s="154" t="s">
        <v>32</v>
      </c>
      <c r="E180" s="206"/>
      <c r="F180" s="183">
        <v>1</v>
      </c>
      <c r="G180" s="183">
        <v>3</v>
      </c>
      <c r="H180" s="183">
        <v>2</v>
      </c>
      <c r="I180" s="183">
        <v>3</v>
      </c>
      <c r="J180" s="183">
        <v>4</v>
      </c>
      <c r="K180" s="206"/>
      <c r="L180" s="183">
        <v>1</v>
      </c>
      <c r="M180" s="206"/>
      <c r="N180" s="183">
        <v>1</v>
      </c>
      <c r="O180" s="183">
        <v>3</v>
      </c>
      <c r="P180" s="206"/>
      <c r="Q180" s="183">
        <v>4</v>
      </c>
      <c r="R180" s="183">
        <v>4</v>
      </c>
      <c r="S180" s="183" t="s">
        <v>311</v>
      </c>
      <c r="T180" s="183">
        <v>2</v>
      </c>
      <c r="U180" s="206"/>
      <c r="V180" s="183">
        <v>3</v>
      </c>
      <c r="W180" s="206"/>
      <c r="X180" s="183">
        <v>2</v>
      </c>
      <c r="Y180" s="206"/>
      <c r="Z180" s="183">
        <v>3</v>
      </c>
      <c r="AA180" s="183">
        <v>3</v>
      </c>
      <c r="AB180" s="183">
        <v>3</v>
      </c>
      <c r="AC180" s="206"/>
      <c r="AD180" s="183">
        <v>3</v>
      </c>
      <c r="AE180" s="183">
        <v>3</v>
      </c>
      <c r="AF180" s="206"/>
      <c r="AG180" s="183">
        <v>2</v>
      </c>
    </row>
    <row r="181" spans="1:33" ht="12.75" customHeight="1" x14ac:dyDescent="0.25">
      <c r="A181" s="207" t="s">
        <v>390</v>
      </c>
      <c r="B181" s="198" t="s">
        <v>378</v>
      </c>
      <c r="C181" s="153" t="s">
        <v>695</v>
      </c>
      <c r="D181" s="154" t="s">
        <v>32</v>
      </c>
      <c r="E181" s="206"/>
      <c r="F181" s="183">
        <v>4</v>
      </c>
      <c r="G181" s="183">
        <v>4</v>
      </c>
      <c r="H181" s="183">
        <v>3</v>
      </c>
      <c r="I181" s="183">
        <v>3</v>
      </c>
      <c r="J181" s="183">
        <v>5</v>
      </c>
      <c r="K181" s="206"/>
      <c r="L181" s="183">
        <v>4</v>
      </c>
      <c r="M181" s="206"/>
      <c r="N181" s="183">
        <v>3</v>
      </c>
      <c r="O181" s="183">
        <v>3</v>
      </c>
      <c r="P181" s="206"/>
      <c r="Q181" s="183">
        <v>4</v>
      </c>
      <c r="R181" s="183">
        <v>4</v>
      </c>
      <c r="S181" s="183" t="s">
        <v>311</v>
      </c>
      <c r="T181" s="183">
        <v>1</v>
      </c>
      <c r="U181" s="206"/>
      <c r="V181" s="183">
        <v>2</v>
      </c>
      <c r="W181" s="206"/>
      <c r="X181" s="183">
        <v>2</v>
      </c>
      <c r="Y181" s="206"/>
      <c r="Z181" s="183">
        <v>3</v>
      </c>
      <c r="AA181" s="183">
        <v>4</v>
      </c>
      <c r="AB181" s="183">
        <v>4</v>
      </c>
      <c r="AC181" s="206"/>
      <c r="AD181" s="183">
        <v>4</v>
      </c>
      <c r="AE181" s="183">
        <v>3</v>
      </c>
      <c r="AF181" s="206"/>
      <c r="AG181" s="183">
        <v>4</v>
      </c>
    </row>
    <row r="182" spans="1:33" ht="12.75" customHeight="1" x14ac:dyDescent="0.25">
      <c r="A182" s="207" t="s">
        <v>390</v>
      </c>
      <c r="B182" s="198" t="s">
        <v>11</v>
      </c>
      <c r="C182" s="153" t="s">
        <v>696</v>
      </c>
      <c r="D182" s="154" t="s">
        <v>32</v>
      </c>
      <c r="E182" s="206"/>
      <c r="F182" s="183">
        <v>5</v>
      </c>
      <c r="G182" s="183">
        <v>5</v>
      </c>
      <c r="H182" s="183">
        <v>3</v>
      </c>
      <c r="I182" s="183">
        <v>4</v>
      </c>
      <c r="J182" s="183">
        <v>4</v>
      </c>
      <c r="K182" s="206"/>
      <c r="L182" s="183">
        <v>5</v>
      </c>
      <c r="M182" s="206"/>
      <c r="N182" s="183">
        <v>1</v>
      </c>
      <c r="O182" s="183">
        <v>3</v>
      </c>
      <c r="P182" s="206"/>
      <c r="Q182" s="183">
        <v>3</v>
      </c>
      <c r="R182" s="183" t="s">
        <v>311</v>
      </c>
      <c r="S182" s="183" t="s">
        <v>311</v>
      </c>
      <c r="T182" s="183">
        <v>5</v>
      </c>
      <c r="U182" s="206"/>
      <c r="V182" s="183">
        <v>5</v>
      </c>
      <c r="W182" s="206"/>
      <c r="X182" s="183">
        <v>2</v>
      </c>
      <c r="Y182" s="206"/>
      <c r="Z182" s="183">
        <v>2</v>
      </c>
      <c r="AA182" s="183">
        <v>3</v>
      </c>
      <c r="AB182" s="183">
        <v>2</v>
      </c>
      <c r="AC182" s="206"/>
      <c r="AD182" s="183">
        <v>3</v>
      </c>
      <c r="AE182" s="183">
        <v>3</v>
      </c>
      <c r="AF182" s="206"/>
      <c r="AG182" s="183">
        <v>2</v>
      </c>
    </row>
    <row r="183" spans="1:33" ht="12.75" customHeight="1" x14ac:dyDescent="0.25">
      <c r="A183" s="207" t="s">
        <v>390</v>
      </c>
      <c r="B183" s="198" t="s">
        <v>12</v>
      </c>
      <c r="C183" s="153" t="s">
        <v>697</v>
      </c>
      <c r="D183" s="154" t="s">
        <v>32</v>
      </c>
      <c r="E183" s="206"/>
      <c r="F183" s="183">
        <v>5</v>
      </c>
      <c r="G183" s="183">
        <v>4</v>
      </c>
      <c r="H183" s="183">
        <v>3</v>
      </c>
      <c r="I183" s="183">
        <v>2</v>
      </c>
      <c r="J183" s="183">
        <v>4</v>
      </c>
      <c r="K183" s="206"/>
      <c r="L183" s="183">
        <v>5</v>
      </c>
      <c r="M183" s="206"/>
      <c r="N183" s="183">
        <v>3</v>
      </c>
      <c r="O183" s="183">
        <v>3</v>
      </c>
      <c r="P183" s="206"/>
      <c r="Q183" s="183">
        <v>2</v>
      </c>
      <c r="R183" s="183" t="s">
        <v>311</v>
      </c>
      <c r="S183" s="183" t="s">
        <v>311</v>
      </c>
      <c r="T183" s="183">
        <v>4</v>
      </c>
      <c r="U183" s="206"/>
      <c r="V183" s="183">
        <v>4</v>
      </c>
      <c r="W183" s="206"/>
      <c r="X183" s="183">
        <v>4</v>
      </c>
      <c r="Y183" s="206"/>
      <c r="Z183" s="183">
        <v>3</v>
      </c>
      <c r="AA183" s="183">
        <v>3</v>
      </c>
      <c r="AB183" s="183">
        <v>3</v>
      </c>
      <c r="AC183" s="206"/>
      <c r="AD183" s="183">
        <v>3</v>
      </c>
      <c r="AE183" s="183">
        <v>3</v>
      </c>
      <c r="AF183" s="206"/>
      <c r="AG183" s="183">
        <v>2</v>
      </c>
    </row>
    <row r="184" spans="1:33" ht="12.75" customHeight="1" x14ac:dyDescent="0.25">
      <c r="A184" s="207" t="s">
        <v>390</v>
      </c>
      <c r="B184" s="198" t="s">
        <v>13</v>
      </c>
      <c r="C184" s="153" t="s">
        <v>698</v>
      </c>
      <c r="D184" s="154" t="s">
        <v>32</v>
      </c>
      <c r="E184" s="206"/>
      <c r="F184" s="183">
        <v>5</v>
      </c>
      <c r="G184" s="183">
        <v>5</v>
      </c>
      <c r="H184" s="183">
        <v>3</v>
      </c>
      <c r="I184" s="183">
        <v>3</v>
      </c>
      <c r="J184" s="183">
        <v>3</v>
      </c>
      <c r="K184" s="206"/>
      <c r="L184" s="183">
        <v>5</v>
      </c>
      <c r="M184" s="206"/>
      <c r="N184" s="183">
        <v>1</v>
      </c>
      <c r="O184" s="183">
        <v>3</v>
      </c>
      <c r="P184" s="206"/>
      <c r="Q184" s="183">
        <v>3</v>
      </c>
      <c r="R184" s="183" t="s">
        <v>311</v>
      </c>
      <c r="S184" s="183" t="s">
        <v>311</v>
      </c>
      <c r="T184" s="183">
        <v>5</v>
      </c>
      <c r="U184" s="206"/>
      <c r="V184" s="183">
        <v>1</v>
      </c>
      <c r="W184" s="206"/>
      <c r="X184" s="183">
        <v>1</v>
      </c>
      <c r="Y184" s="206"/>
      <c r="Z184" s="183">
        <v>2</v>
      </c>
      <c r="AA184" s="183">
        <v>3</v>
      </c>
      <c r="AB184" s="183">
        <v>2</v>
      </c>
      <c r="AC184" s="206"/>
      <c r="AD184" s="183">
        <v>3</v>
      </c>
      <c r="AE184" s="183">
        <v>1</v>
      </c>
      <c r="AF184" s="206"/>
      <c r="AG184" s="183">
        <v>1</v>
      </c>
    </row>
    <row r="185" spans="1:33" ht="12.75" customHeight="1" x14ac:dyDescent="0.25">
      <c r="A185" s="207" t="s">
        <v>390</v>
      </c>
      <c r="B185" s="198" t="s">
        <v>14</v>
      </c>
      <c r="C185" s="153" t="s">
        <v>699</v>
      </c>
      <c r="D185" s="154" t="s">
        <v>32</v>
      </c>
      <c r="E185" s="206"/>
      <c r="F185" s="183">
        <v>4</v>
      </c>
      <c r="G185" s="183">
        <v>3</v>
      </c>
      <c r="H185" s="183">
        <v>4</v>
      </c>
      <c r="I185" s="183">
        <v>4</v>
      </c>
      <c r="J185" s="183">
        <v>4</v>
      </c>
      <c r="K185" s="206"/>
      <c r="L185" s="183">
        <v>3</v>
      </c>
      <c r="M185" s="206"/>
      <c r="N185" s="183">
        <v>3</v>
      </c>
      <c r="O185" s="183">
        <v>3</v>
      </c>
      <c r="P185" s="206"/>
      <c r="Q185" s="183">
        <v>2</v>
      </c>
      <c r="R185" s="183">
        <v>4</v>
      </c>
      <c r="S185" s="183" t="s">
        <v>311</v>
      </c>
      <c r="T185" s="183">
        <v>4</v>
      </c>
      <c r="U185" s="206"/>
      <c r="V185" s="183">
        <v>2</v>
      </c>
      <c r="W185" s="206"/>
      <c r="X185" s="183">
        <v>2</v>
      </c>
      <c r="Y185" s="206"/>
      <c r="Z185" s="183">
        <v>5</v>
      </c>
      <c r="AA185" s="183">
        <v>4</v>
      </c>
      <c r="AB185" s="183">
        <v>2</v>
      </c>
      <c r="AC185" s="206"/>
      <c r="AD185" s="183">
        <v>5</v>
      </c>
      <c r="AE185" s="183">
        <v>3</v>
      </c>
      <c r="AF185" s="206"/>
      <c r="AG185" s="183">
        <v>4</v>
      </c>
    </row>
    <row r="186" spans="1:33" ht="12.75" customHeight="1" x14ac:dyDescent="0.25">
      <c r="A186" s="207" t="s">
        <v>390</v>
      </c>
      <c r="B186" s="198" t="s">
        <v>15</v>
      </c>
      <c r="C186" s="153" t="s">
        <v>700</v>
      </c>
      <c r="D186" s="154" t="s">
        <v>32</v>
      </c>
      <c r="E186" s="206"/>
      <c r="F186" s="183">
        <v>5</v>
      </c>
      <c r="G186" s="183">
        <v>5</v>
      </c>
      <c r="H186" s="183">
        <v>2</v>
      </c>
      <c r="I186" s="183">
        <v>4</v>
      </c>
      <c r="J186" s="183">
        <v>5</v>
      </c>
      <c r="K186" s="206"/>
      <c r="L186" s="183">
        <v>5</v>
      </c>
      <c r="M186" s="206"/>
      <c r="N186" s="183">
        <v>1</v>
      </c>
      <c r="O186" s="183">
        <v>3</v>
      </c>
      <c r="P186" s="206"/>
      <c r="Q186" s="183">
        <v>3</v>
      </c>
      <c r="R186" s="183" t="s">
        <v>311</v>
      </c>
      <c r="S186" s="183" t="s">
        <v>311</v>
      </c>
      <c r="T186" s="183">
        <v>4</v>
      </c>
      <c r="U186" s="206"/>
      <c r="V186" s="183">
        <v>1</v>
      </c>
      <c r="W186" s="206"/>
      <c r="X186" s="183">
        <v>1</v>
      </c>
      <c r="Y186" s="206"/>
      <c r="Z186" s="183">
        <v>4</v>
      </c>
      <c r="AA186" s="183">
        <v>4</v>
      </c>
      <c r="AB186" s="183">
        <v>2</v>
      </c>
      <c r="AC186" s="206"/>
      <c r="AD186" s="183">
        <v>5</v>
      </c>
      <c r="AE186" s="183">
        <v>5</v>
      </c>
      <c r="AF186" s="206"/>
      <c r="AG186" s="183">
        <v>4</v>
      </c>
    </row>
    <row r="187" spans="1:33" ht="12.75" customHeight="1" x14ac:dyDescent="0.25">
      <c r="A187" s="207" t="s">
        <v>390</v>
      </c>
      <c r="B187" s="198" t="s">
        <v>16</v>
      </c>
      <c r="C187" s="153" t="s">
        <v>701</v>
      </c>
      <c r="D187" s="154" t="s">
        <v>32</v>
      </c>
      <c r="E187" s="206"/>
      <c r="F187" s="183">
        <v>3</v>
      </c>
      <c r="G187" s="183">
        <v>3</v>
      </c>
      <c r="H187" s="183">
        <v>3</v>
      </c>
      <c r="I187" s="183">
        <v>3</v>
      </c>
      <c r="J187" s="183">
        <v>3</v>
      </c>
      <c r="K187" s="206"/>
      <c r="L187" s="183">
        <v>4</v>
      </c>
      <c r="M187" s="206"/>
      <c r="N187" s="183">
        <v>5</v>
      </c>
      <c r="O187" s="183">
        <v>5</v>
      </c>
      <c r="P187" s="206"/>
      <c r="Q187" s="183">
        <v>4</v>
      </c>
      <c r="R187" s="183">
        <v>1</v>
      </c>
      <c r="S187" s="183" t="s">
        <v>311</v>
      </c>
      <c r="T187" s="183">
        <v>5</v>
      </c>
      <c r="U187" s="206"/>
      <c r="V187" s="183">
        <v>4</v>
      </c>
      <c r="W187" s="206"/>
      <c r="X187" s="183">
        <v>4</v>
      </c>
      <c r="Y187" s="206"/>
      <c r="Z187" s="183">
        <v>3</v>
      </c>
      <c r="AA187" s="183">
        <v>4</v>
      </c>
      <c r="AB187" s="183">
        <v>3</v>
      </c>
      <c r="AC187" s="206"/>
      <c r="AD187" s="183">
        <v>4</v>
      </c>
      <c r="AE187" s="183">
        <v>3</v>
      </c>
      <c r="AF187" s="206"/>
      <c r="AG187" s="183">
        <v>4</v>
      </c>
    </row>
    <row r="188" spans="1:33" ht="12.75" customHeight="1" x14ac:dyDescent="0.25">
      <c r="A188" s="207" t="s">
        <v>390</v>
      </c>
      <c r="B188" s="198" t="s">
        <v>17</v>
      </c>
      <c r="C188" s="153" t="s">
        <v>702</v>
      </c>
      <c r="D188" s="154" t="s">
        <v>32</v>
      </c>
      <c r="E188" s="206"/>
      <c r="F188" s="183">
        <v>4</v>
      </c>
      <c r="G188" s="183">
        <v>3</v>
      </c>
      <c r="H188" s="183">
        <v>3</v>
      </c>
      <c r="I188" s="183">
        <v>3</v>
      </c>
      <c r="J188" s="183">
        <v>3</v>
      </c>
      <c r="K188" s="206"/>
      <c r="L188" s="183">
        <v>3</v>
      </c>
      <c r="M188" s="206"/>
      <c r="N188" s="183">
        <v>5</v>
      </c>
      <c r="O188" s="183">
        <v>5</v>
      </c>
      <c r="P188" s="206"/>
      <c r="Q188" s="183">
        <v>4</v>
      </c>
      <c r="R188" s="183">
        <v>3</v>
      </c>
      <c r="S188" s="183" t="s">
        <v>311</v>
      </c>
      <c r="T188" s="183">
        <v>4</v>
      </c>
      <c r="U188" s="206"/>
      <c r="V188" s="183">
        <v>4</v>
      </c>
      <c r="W188" s="206"/>
      <c r="X188" s="183">
        <v>4</v>
      </c>
      <c r="Y188" s="206"/>
      <c r="Z188" s="183">
        <v>5</v>
      </c>
      <c r="AA188" s="183">
        <v>4</v>
      </c>
      <c r="AB188" s="183">
        <v>3</v>
      </c>
      <c r="AC188" s="206"/>
      <c r="AD188" s="183">
        <v>5</v>
      </c>
      <c r="AE188" s="183">
        <v>4</v>
      </c>
      <c r="AF188" s="206"/>
      <c r="AG188" s="183">
        <v>5</v>
      </c>
    </row>
    <row r="189" spans="1:33" ht="12.75" customHeight="1" x14ac:dyDescent="0.25">
      <c r="A189" s="207" t="s">
        <v>391</v>
      </c>
      <c r="B189" s="198" t="s">
        <v>7</v>
      </c>
      <c r="C189" s="153" t="s">
        <v>689</v>
      </c>
      <c r="D189" s="154" t="s">
        <v>32</v>
      </c>
      <c r="E189" s="206"/>
      <c r="F189" s="183">
        <v>3</v>
      </c>
      <c r="G189" s="183">
        <v>5</v>
      </c>
      <c r="H189" s="183">
        <v>4</v>
      </c>
      <c r="I189" s="183">
        <v>3</v>
      </c>
      <c r="J189" s="183" t="s">
        <v>311</v>
      </c>
      <c r="K189" s="206"/>
      <c r="L189" s="183">
        <v>4</v>
      </c>
      <c r="M189" s="206"/>
      <c r="N189" s="183">
        <v>1</v>
      </c>
      <c r="O189" s="183" t="s">
        <v>311</v>
      </c>
      <c r="P189" s="206"/>
      <c r="Q189" s="183">
        <v>2</v>
      </c>
      <c r="R189" s="183" t="s">
        <v>311</v>
      </c>
      <c r="S189" s="183" t="s">
        <v>311</v>
      </c>
      <c r="T189" s="183">
        <v>1</v>
      </c>
      <c r="U189" s="206"/>
      <c r="V189" s="183">
        <v>4</v>
      </c>
      <c r="W189" s="206"/>
      <c r="X189" s="183">
        <v>4</v>
      </c>
      <c r="Y189" s="206"/>
      <c r="Z189" s="183">
        <v>3</v>
      </c>
      <c r="AA189" s="183">
        <v>2</v>
      </c>
      <c r="AB189" s="183" t="s">
        <v>311</v>
      </c>
      <c r="AC189" s="206"/>
      <c r="AD189" s="183">
        <v>3</v>
      </c>
      <c r="AE189" s="183">
        <v>3</v>
      </c>
      <c r="AF189" s="206"/>
      <c r="AG189" s="183">
        <v>3</v>
      </c>
    </row>
    <row r="190" spans="1:33" ht="12.75" customHeight="1" x14ac:dyDescent="0.25">
      <c r="A190" s="207" t="s">
        <v>391</v>
      </c>
      <c r="B190" s="198" t="s">
        <v>376</v>
      </c>
      <c r="C190" s="153" t="s">
        <v>690</v>
      </c>
      <c r="D190" s="154" t="s">
        <v>32</v>
      </c>
      <c r="E190" s="206"/>
      <c r="F190" s="183">
        <v>5</v>
      </c>
      <c r="G190" s="183">
        <v>5</v>
      </c>
      <c r="H190" s="183" t="s">
        <v>311</v>
      </c>
      <c r="I190" s="183">
        <v>2</v>
      </c>
      <c r="J190" s="183">
        <v>5</v>
      </c>
      <c r="K190" s="206"/>
      <c r="L190" s="183">
        <v>5</v>
      </c>
      <c r="M190" s="206"/>
      <c r="N190" s="183">
        <v>5</v>
      </c>
      <c r="O190" s="183">
        <v>5</v>
      </c>
      <c r="P190" s="206"/>
      <c r="Q190" s="183">
        <v>2</v>
      </c>
      <c r="R190" s="183">
        <v>3</v>
      </c>
      <c r="S190" s="183" t="s">
        <v>311</v>
      </c>
      <c r="T190" s="183">
        <v>4</v>
      </c>
      <c r="U190" s="206"/>
      <c r="V190" s="183">
        <v>4</v>
      </c>
      <c r="W190" s="206"/>
      <c r="X190" s="183">
        <v>5</v>
      </c>
      <c r="Y190" s="206"/>
      <c r="Z190" s="183">
        <v>3</v>
      </c>
      <c r="AA190" s="183">
        <v>4</v>
      </c>
      <c r="AB190" s="183">
        <v>3</v>
      </c>
      <c r="AC190" s="206"/>
      <c r="AD190" s="183">
        <v>3</v>
      </c>
      <c r="AE190" s="183">
        <v>1</v>
      </c>
      <c r="AF190" s="206"/>
      <c r="AG190" s="183">
        <v>2</v>
      </c>
    </row>
    <row r="191" spans="1:33" ht="12.75" customHeight="1" x14ac:dyDescent="0.25">
      <c r="A191" s="207" t="s">
        <v>391</v>
      </c>
      <c r="B191" s="198" t="s">
        <v>377</v>
      </c>
      <c r="C191" s="153" t="s">
        <v>691</v>
      </c>
      <c r="D191" s="154" t="s">
        <v>32</v>
      </c>
      <c r="E191" s="206"/>
      <c r="F191" s="183">
        <v>4</v>
      </c>
      <c r="G191" s="183">
        <v>4</v>
      </c>
      <c r="H191" s="183" t="s">
        <v>311</v>
      </c>
      <c r="I191" s="183">
        <v>3</v>
      </c>
      <c r="J191" s="183">
        <v>1</v>
      </c>
      <c r="K191" s="206"/>
      <c r="L191" s="183">
        <v>3</v>
      </c>
      <c r="M191" s="206"/>
      <c r="N191" s="183">
        <v>3</v>
      </c>
      <c r="O191" s="183">
        <v>3</v>
      </c>
      <c r="P191" s="206"/>
      <c r="Q191" s="183" t="s">
        <v>311</v>
      </c>
      <c r="R191" s="183" t="s">
        <v>311</v>
      </c>
      <c r="S191" s="183" t="s">
        <v>311</v>
      </c>
      <c r="T191" s="183" t="s">
        <v>311</v>
      </c>
      <c r="U191" s="206"/>
      <c r="V191" s="183">
        <v>4</v>
      </c>
      <c r="W191" s="206"/>
      <c r="X191" s="183">
        <v>2</v>
      </c>
      <c r="Y191" s="206"/>
      <c r="Z191" s="183">
        <v>3</v>
      </c>
      <c r="AA191" s="183">
        <v>4</v>
      </c>
      <c r="AB191" s="183">
        <v>3</v>
      </c>
      <c r="AC191" s="206"/>
      <c r="AD191" s="183">
        <v>3</v>
      </c>
      <c r="AE191" s="183">
        <v>3</v>
      </c>
      <c r="AF191" s="206"/>
      <c r="AG191" s="183">
        <v>3</v>
      </c>
    </row>
    <row r="192" spans="1:33" ht="12.75" customHeight="1" x14ac:dyDescent="0.25">
      <c r="A192" s="207" t="s">
        <v>391</v>
      </c>
      <c r="B192" s="198" t="s">
        <v>8</v>
      </c>
      <c r="C192" s="153" t="s">
        <v>692</v>
      </c>
      <c r="D192" s="154" t="s">
        <v>32</v>
      </c>
      <c r="E192" s="206"/>
      <c r="F192" s="183">
        <v>5</v>
      </c>
      <c r="G192" s="183">
        <v>2</v>
      </c>
      <c r="H192" s="183">
        <v>4</v>
      </c>
      <c r="I192" s="183">
        <v>2</v>
      </c>
      <c r="J192" s="183">
        <v>2</v>
      </c>
      <c r="K192" s="206"/>
      <c r="L192" s="183">
        <v>4</v>
      </c>
      <c r="M192" s="206"/>
      <c r="N192" s="183">
        <v>3</v>
      </c>
      <c r="O192" s="183">
        <v>3</v>
      </c>
      <c r="P192" s="206"/>
      <c r="Q192" s="183">
        <v>2</v>
      </c>
      <c r="R192" s="183">
        <v>4</v>
      </c>
      <c r="S192" s="183" t="s">
        <v>311</v>
      </c>
      <c r="T192" s="183">
        <v>3</v>
      </c>
      <c r="U192" s="206"/>
      <c r="V192" s="183">
        <v>4</v>
      </c>
      <c r="W192" s="206"/>
      <c r="X192" s="183">
        <v>2</v>
      </c>
      <c r="Y192" s="206"/>
      <c r="Z192" s="183">
        <v>3</v>
      </c>
      <c r="AA192" s="183">
        <v>3</v>
      </c>
      <c r="AB192" s="183">
        <v>3</v>
      </c>
      <c r="AC192" s="206"/>
      <c r="AD192" s="183">
        <v>5</v>
      </c>
      <c r="AE192" s="183">
        <v>5</v>
      </c>
      <c r="AF192" s="206"/>
      <c r="AG192" s="183">
        <v>2</v>
      </c>
    </row>
    <row r="193" spans="1:33" ht="12.75" customHeight="1" x14ac:dyDescent="0.25">
      <c r="A193" s="207" t="s">
        <v>391</v>
      </c>
      <c r="B193" s="198" t="s">
        <v>9</v>
      </c>
      <c r="C193" s="153" t="s">
        <v>693</v>
      </c>
      <c r="D193" s="154" t="s">
        <v>32</v>
      </c>
      <c r="E193" s="206"/>
      <c r="F193" s="183">
        <v>5</v>
      </c>
      <c r="G193" s="183">
        <v>2</v>
      </c>
      <c r="H193" s="183">
        <v>3</v>
      </c>
      <c r="I193" s="183">
        <v>3</v>
      </c>
      <c r="J193" s="183">
        <v>3</v>
      </c>
      <c r="K193" s="206"/>
      <c r="L193" s="183">
        <v>5</v>
      </c>
      <c r="M193" s="206"/>
      <c r="N193" s="183">
        <v>1</v>
      </c>
      <c r="O193" s="183">
        <v>1</v>
      </c>
      <c r="P193" s="206"/>
      <c r="Q193" s="183">
        <v>5</v>
      </c>
      <c r="R193" s="183" t="s">
        <v>311</v>
      </c>
      <c r="S193" s="183" t="s">
        <v>311</v>
      </c>
      <c r="T193" s="183">
        <v>5</v>
      </c>
      <c r="U193" s="206"/>
      <c r="V193" s="183">
        <v>5</v>
      </c>
      <c r="W193" s="206"/>
      <c r="X193" s="183">
        <v>2</v>
      </c>
      <c r="Y193" s="206"/>
      <c r="Z193" s="183">
        <v>3</v>
      </c>
      <c r="AA193" s="183">
        <v>3</v>
      </c>
      <c r="AB193" s="183">
        <v>3</v>
      </c>
      <c r="AC193" s="206"/>
      <c r="AD193" s="183">
        <v>3</v>
      </c>
      <c r="AE193" s="183">
        <v>3</v>
      </c>
      <c r="AF193" s="206"/>
      <c r="AG193" s="183">
        <v>3</v>
      </c>
    </row>
    <row r="194" spans="1:33" ht="12.75" customHeight="1" x14ac:dyDescent="0.25">
      <c r="A194" s="207" t="s">
        <v>391</v>
      </c>
      <c r="B194" s="198" t="s">
        <v>10</v>
      </c>
      <c r="C194" s="153" t="s">
        <v>694</v>
      </c>
      <c r="D194" s="154" t="s">
        <v>32</v>
      </c>
      <c r="E194" s="206"/>
      <c r="F194" s="183">
        <v>3</v>
      </c>
      <c r="G194" s="183">
        <v>1</v>
      </c>
      <c r="H194" s="183">
        <v>2</v>
      </c>
      <c r="I194" s="183">
        <v>4</v>
      </c>
      <c r="J194" s="183">
        <v>2</v>
      </c>
      <c r="K194" s="206"/>
      <c r="L194" s="183">
        <v>3</v>
      </c>
      <c r="M194" s="206"/>
      <c r="N194" s="183">
        <v>5</v>
      </c>
      <c r="O194" s="183">
        <v>3</v>
      </c>
      <c r="P194" s="206"/>
      <c r="Q194" s="183">
        <v>2</v>
      </c>
      <c r="R194" s="183">
        <v>1</v>
      </c>
      <c r="S194" s="183" t="s">
        <v>311</v>
      </c>
      <c r="T194" s="183">
        <v>1</v>
      </c>
      <c r="U194" s="206"/>
      <c r="V194" s="183">
        <v>4</v>
      </c>
      <c r="W194" s="206"/>
      <c r="X194" s="183">
        <v>3</v>
      </c>
      <c r="Y194" s="206"/>
      <c r="Z194" s="183">
        <v>3</v>
      </c>
      <c r="AA194" s="183">
        <v>3</v>
      </c>
      <c r="AB194" s="183">
        <v>3</v>
      </c>
      <c r="AC194" s="206"/>
      <c r="AD194" s="183">
        <v>3</v>
      </c>
      <c r="AE194" s="183">
        <v>3</v>
      </c>
      <c r="AF194" s="206"/>
      <c r="AG194" s="183">
        <v>3</v>
      </c>
    </row>
    <row r="195" spans="1:33" ht="12.75" customHeight="1" x14ac:dyDescent="0.25">
      <c r="A195" s="207" t="s">
        <v>391</v>
      </c>
      <c r="B195" s="198" t="s">
        <v>378</v>
      </c>
      <c r="C195" s="153" t="s">
        <v>695</v>
      </c>
      <c r="D195" s="154" t="s">
        <v>32</v>
      </c>
      <c r="E195" s="206"/>
      <c r="F195" s="183">
        <v>5</v>
      </c>
      <c r="G195" s="183">
        <v>3</v>
      </c>
      <c r="H195" s="183">
        <v>2</v>
      </c>
      <c r="I195" s="183">
        <v>3</v>
      </c>
      <c r="J195" s="183">
        <v>2</v>
      </c>
      <c r="K195" s="206"/>
      <c r="L195" s="183">
        <v>5</v>
      </c>
      <c r="M195" s="206"/>
      <c r="N195" s="183">
        <v>5</v>
      </c>
      <c r="O195" s="183">
        <v>3</v>
      </c>
      <c r="P195" s="206"/>
      <c r="Q195" s="183">
        <v>2</v>
      </c>
      <c r="R195" s="183">
        <v>1</v>
      </c>
      <c r="S195" s="183" t="s">
        <v>311</v>
      </c>
      <c r="T195" s="183">
        <v>1</v>
      </c>
      <c r="U195" s="206"/>
      <c r="V195" s="183">
        <v>3</v>
      </c>
      <c r="W195" s="206"/>
      <c r="X195" s="183">
        <v>3</v>
      </c>
      <c r="Y195" s="206"/>
      <c r="Z195" s="183">
        <v>3</v>
      </c>
      <c r="AA195" s="183">
        <v>3</v>
      </c>
      <c r="AB195" s="183">
        <v>3</v>
      </c>
      <c r="AC195" s="206"/>
      <c r="AD195" s="183">
        <v>5</v>
      </c>
      <c r="AE195" s="183">
        <v>5</v>
      </c>
      <c r="AF195" s="206"/>
      <c r="AG195" s="183">
        <v>3</v>
      </c>
    </row>
    <row r="196" spans="1:33" ht="12.75" customHeight="1" x14ac:dyDescent="0.25">
      <c r="A196" s="207" t="s">
        <v>391</v>
      </c>
      <c r="B196" s="198" t="s">
        <v>11</v>
      </c>
      <c r="C196" s="153" t="s">
        <v>696</v>
      </c>
      <c r="D196" s="154" t="s">
        <v>32</v>
      </c>
      <c r="E196" s="206"/>
      <c r="F196" s="183">
        <v>5</v>
      </c>
      <c r="G196" s="183">
        <v>1</v>
      </c>
      <c r="H196" s="183">
        <v>2</v>
      </c>
      <c r="I196" s="183">
        <v>3</v>
      </c>
      <c r="J196" s="183">
        <v>2</v>
      </c>
      <c r="K196" s="206"/>
      <c r="L196" s="183">
        <v>5</v>
      </c>
      <c r="M196" s="206"/>
      <c r="N196" s="183">
        <v>1</v>
      </c>
      <c r="O196" s="183">
        <v>1</v>
      </c>
      <c r="P196" s="206"/>
      <c r="Q196" s="183">
        <v>5</v>
      </c>
      <c r="R196" s="183" t="s">
        <v>311</v>
      </c>
      <c r="S196" s="183" t="s">
        <v>311</v>
      </c>
      <c r="T196" s="183">
        <v>5</v>
      </c>
      <c r="U196" s="206"/>
      <c r="V196" s="183">
        <v>5</v>
      </c>
      <c r="W196" s="206"/>
      <c r="X196" s="183">
        <v>1</v>
      </c>
      <c r="Y196" s="206"/>
      <c r="Z196" s="183">
        <v>3</v>
      </c>
      <c r="AA196" s="183">
        <v>5</v>
      </c>
      <c r="AB196" s="183">
        <v>4</v>
      </c>
      <c r="AC196" s="206"/>
      <c r="AD196" s="183">
        <v>5</v>
      </c>
      <c r="AE196" s="183">
        <v>5</v>
      </c>
      <c r="AF196" s="206"/>
      <c r="AG196" s="183">
        <v>3</v>
      </c>
    </row>
    <row r="197" spans="1:33" ht="12.75" customHeight="1" x14ac:dyDescent="0.25">
      <c r="A197" s="207" t="s">
        <v>391</v>
      </c>
      <c r="B197" s="198" t="s">
        <v>12</v>
      </c>
      <c r="C197" s="153" t="s">
        <v>697</v>
      </c>
      <c r="D197" s="154" t="s">
        <v>32</v>
      </c>
      <c r="E197" s="206"/>
      <c r="F197" s="183">
        <v>5</v>
      </c>
      <c r="G197" s="183">
        <v>4</v>
      </c>
      <c r="H197" s="183">
        <v>3</v>
      </c>
      <c r="I197" s="183">
        <v>3</v>
      </c>
      <c r="J197" s="183">
        <v>2</v>
      </c>
      <c r="K197" s="206"/>
      <c r="L197" s="183">
        <v>5</v>
      </c>
      <c r="M197" s="206"/>
      <c r="N197" s="183">
        <v>1</v>
      </c>
      <c r="O197" s="183">
        <v>1</v>
      </c>
      <c r="P197" s="206"/>
      <c r="Q197" s="183">
        <v>3</v>
      </c>
      <c r="R197" s="183">
        <v>4</v>
      </c>
      <c r="S197" s="183" t="s">
        <v>311</v>
      </c>
      <c r="T197" s="183">
        <v>3</v>
      </c>
      <c r="U197" s="206"/>
      <c r="V197" s="183">
        <v>4</v>
      </c>
      <c r="W197" s="206"/>
      <c r="X197" s="183">
        <v>2</v>
      </c>
      <c r="Y197" s="206"/>
      <c r="Z197" s="183">
        <v>3</v>
      </c>
      <c r="AA197" s="183">
        <v>5</v>
      </c>
      <c r="AB197" s="183">
        <v>5</v>
      </c>
      <c r="AC197" s="206"/>
      <c r="AD197" s="183">
        <v>5</v>
      </c>
      <c r="AE197" s="183">
        <v>5</v>
      </c>
      <c r="AF197" s="206"/>
      <c r="AG197" s="183">
        <v>3</v>
      </c>
    </row>
    <row r="198" spans="1:33" ht="12.75" customHeight="1" x14ac:dyDescent="0.25">
      <c r="A198" s="207" t="s">
        <v>391</v>
      </c>
      <c r="B198" s="198" t="s">
        <v>13</v>
      </c>
      <c r="C198" s="153" t="s">
        <v>698</v>
      </c>
      <c r="D198" s="154" t="s">
        <v>32</v>
      </c>
      <c r="E198" s="206"/>
      <c r="F198" s="183">
        <v>5</v>
      </c>
      <c r="G198" s="183">
        <v>4</v>
      </c>
      <c r="H198" s="183" t="s">
        <v>311</v>
      </c>
      <c r="I198" s="183">
        <v>3</v>
      </c>
      <c r="J198" s="183">
        <v>2</v>
      </c>
      <c r="K198" s="206"/>
      <c r="L198" s="183">
        <v>5</v>
      </c>
      <c r="M198" s="206"/>
      <c r="N198" s="183">
        <v>1</v>
      </c>
      <c r="O198" s="183">
        <v>1</v>
      </c>
      <c r="P198" s="206"/>
      <c r="Q198" s="183">
        <v>5</v>
      </c>
      <c r="R198" s="183" t="s">
        <v>311</v>
      </c>
      <c r="S198" s="183" t="s">
        <v>311</v>
      </c>
      <c r="T198" s="183">
        <v>5</v>
      </c>
      <c r="U198" s="206"/>
      <c r="V198" s="183">
        <v>4</v>
      </c>
      <c r="W198" s="206"/>
      <c r="X198" s="183">
        <v>1</v>
      </c>
      <c r="Y198" s="206"/>
      <c r="Z198" s="183">
        <v>3</v>
      </c>
      <c r="AA198" s="183">
        <v>4</v>
      </c>
      <c r="AB198" s="183">
        <v>4</v>
      </c>
      <c r="AC198" s="206"/>
      <c r="AD198" s="183">
        <v>1</v>
      </c>
      <c r="AE198" s="183">
        <v>1</v>
      </c>
      <c r="AF198" s="206"/>
      <c r="AG198" s="183">
        <v>3</v>
      </c>
    </row>
    <row r="199" spans="1:33" ht="12.75" customHeight="1" x14ac:dyDescent="0.25">
      <c r="A199" s="207" t="s">
        <v>391</v>
      </c>
      <c r="B199" s="198" t="s">
        <v>14</v>
      </c>
      <c r="C199" s="153" t="s">
        <v>699</v>
      </c>
      <c r="D199" s="154" t="s">
        <v>32</v>
      </c>
      <c r="E199" s="206"/>
      <c r="F199" s="183">
        <v>4</v>
      </c>
      <c r="G199" s="183">
        <v>5</v>
      </c>
      <c r="H199" s="183">
        <v>5</v>
      </c>
      <c r="I199" s="183">
        <v>2</v>
      </c>
      <c r="J199" s="183">
        <v>3</v>
      </c>
      <c r="K199" s="206"/>
      <c r="L199" s="183">
        <v>4</v>
      </c>
      <c r="M199" s="206"/>
      <c r="N199" s="183">
        <v>3</v>
      </c>
      <c r="O199" s="183">
        <v>5</v>
      </c>
      <c r="P199" s="206"/>
      <c r="Q199" s="183">
        <v>3</v>
      </c>
      <c r="R199" s="183">
        <v>4</v>
      </c>
      <c r="S199" s="183" t="s">
        <v>311</v>
      </c>
      <c r="T199" s="183">
        <v>2</v>
      </c>
      <c r="U199" s="206"/>
      <c r="V199" s="183">
        <v>4</v>
      </c>
      <c r="W199" s="206"/>
      <c r="X199" s="183">
        <v>4</v>
      </c>
      <c r="Y199" s="206"/>
      <c r="Z199" s="183">
        <v>4</v>
      </c>
      <c r="AA199" s="183">
        <v>5</v>
      </c>
      <c r="AB199" s="183">
        <v>5</v>
      </c>
      <c r="AC199" s="206"/>
      <c r="AD199" s="183">
        <v>5</v>
      </c>
      <c r="AE199" s="183">
        <v>5</v>
      </c>
      <c r="AF199" s="206"/>
      <c r="AG199" s="183">
        <v>3</v>
      </c>
    </row>
    <row r="200" spans="1:33" ht="12.75" customHeight="1" x14ac:dyDescent="0.25">
      <c r="A200" s="207" t="s">
        <v>391</v>
      </c>
      <c r="B200" s="198" t="s">
        <v>15</v>
      </c>
      <c r="C200" s="153" t="s">
        <v>700</v>
      </c>
      <c r="D200" s="154" t="s">
        <v>32</v>
      </c>
      <c r="E200" s="206"/>
      <c r="F200" s="183">
        <v>5</v>
      </c>
      <c r="G200" s="183">
        <v>3</v>
      </c>
      <c r="H200" s="183">
        <v>2</v>
      </c>
      <c r="I200" s="183">
        <v>5</v>
      </c>
      <c r="J200" s="183">
        <v>2</v>
      </c>
      <c r="K200" s="206"/>
      <c r="L200" s="183">
        <v>5</v>
      </c>
      <c r="M200" s="206"/>
      <c r="N200" s="183">
        <v>1</v>
      </c>
      <c r="O200" s="183">
        <v>5</v>
      </c>
      <c r="P200" s="206"/>
      <c r="Q200" s="183">
        <v>4</v>
      </c>
      <c r="R200" s="183" t="s">
        <v>311</v>
      </c>
      <c r="S200" s="183" t="s">
        <v>311</v>
      </c>
      <c r="T200" s="183">
        <v>3</v>
      </c>
      <c r="U200" s="206"/>
      <c r="V200" s="183">
        <v>4</v>
      </c>
      <c r="W200" s="206"/>
      <c r="X200" s="183">
        <v>2</v>
      </c>
      <c r="Y200" s="206"/>
      <c r="Z200" s="183">
        <v>4</v>
      </c>
      <c r="AA200" s="183">
        <v>4</v>
      </c>
      <c r="AB200" s="183">
        <v>4</v>
      </c>
      <c r="AC200" s="206"/>
      <c r="AD200" s="183">
        <v>5</v>
      </c>
      <c r="AE200" s="183">
        <v>5</v>
      </c>
      <c r="AF200" s="206"/>
      <c r="AG200" s="183">
        <v>3</v>
      </c>
    </row>
    <row r="201" spans="1:33" ht="12.75" customHeight="1" x14ac:dyDescent="0.25">
      <c r="A201" s="207" t="s">
        <v>391</v>
      </c>
      <c r="B201" s="198" t="s">
        <v>16</v>
      </c>
      <c r="C201" s="153" t="s">
        <v>701</v>
      </c>
      <c r="D201" s="154" t="s">
        <v>32</v>
      </c>
      <c r="E201" s="206"/>
      <c r="F201" s="183">
        <v>4</v>
      </c>
      <c r="G201" s="183">
        <v>4</v>
      </c>
      <c r="H201" s="183">
        <v>4</v>
      </c>
      <c r="I201" s="183">
        <v>3</v>
      </c>
      <c r="J201" s="183">
        <v>4</v>
      </c>
      <c r="K201" s="206"/>
      <c r="L201" s="183">
        <v>4</v>
      </c>
      <c r="M201" s="206"/>
      <c r="N201" s="183">
        <v>3</v>
      </c>
      <c r="O201" s="183">
        <v>5</v>
      </c>
      <c r="P201" s="206"/>
      <c r="Q201" s="183">
        <v>1</v>
      </c>
      <c r="R201" s="183">
        <v>1</v>
      </c>
      <c r="S201" s="183" t="s">
        <v>311</v>
      </c>
      <c r="T201" s="183">
        <v>1</v>
      </c>
      <c r="U201" s="206"/>
      <c r="V201" s="183">
        <v>4</v>
      </c>
      <c r="W201" s="206"/>
      <c r="X201" s="183">
        <v>5</v>
      </c>
      <c r="Y201" s="206"/>
      <c r="Z201" s="183">
        <v>3</v>
      </c>
      <c r="AA201" s="183">
        <v>3</v>
      </c>
      <c r="AB201" s="183">
        <v>3</v>
      </c>
      <c r="AC201" s="206"/>
      <c r="AD201" s="183">
        <v>4</v>
      </c>
      <c r="AE201" s="183">
        <v>4</v>
      </c>
      <c r="AF201" s="206"/>
      <c r="AG201" s="183">
        <v>3</v>
      </c>
    </row>
    <row r="202" spans="1:33" ht="12.75" customHeight="1" x14ac:dyDescent="0.25">
      <c r="A202" s="207" t="s">
        <v>391</v>
      </c>
      <c r="B202" s="198" t="s">
        <v>17</v>
      </c>
      <c r="C202" s="153" t="s">
        <v>702</v>
      </c>
      <c r="D202" s="154" t="s">
        <v>32</v>
      </c>
      <c r="E202" s="206"/>
      <c r="F202" s="183">
        <v>4</v>
      </c>
      <c r="G202" s="183">
        <v>4</v>
      </c>
      <c r="H202" s="183">
        <v>3</v>
      </c>
      <c r="I202" s="183">
        <v>3</v>
      </c>
      <c r="J202" s="183">
        <v>3</v>
      </c>
      <c r="K202" s="206"/>
      <c r="L202" s="183">
        <v>4</v>
      </c>
      <c r="M202" s="206"/>
      <c r="N202" s="183">
        <v>3</v>
      </c>
      <c r="O202" s="183">
        <v>5</v>
      </c>
      <c r="P202" s="206"/>
      <c r="Q202" s="183">
        <v>3</v>
      </c>
      <c r="R202" s="183">
        <v>3</v>
      </c>
      <c r="S202" s="183" t="s">
        <v>311</v>
      </c>
      <c r="T202" s="183">
        <v>2</v>
      </c>
      <c r="U202" s="206"/>
      <c r="V202" s="183">
        <v>4</v>
      </c>
      <c r="W202" s="206"/>
      <c r="X202" s="183">
        <v>2</v>
      </c>
      <c r="Y202" s="206"/>
      <c r="Z202" s="183">
        <v>5</v>
      </c>
      <c r="AA202" s="183">
        <v>5</v>
      </c>
      <c r="AB202" s="183">
        <v>5</v>
      </c>
      <c r="AC202" s="206"/>
      <c r="AD202" s="183">
        <v>5</v>
      </c>
      <c r="AE202" s="183">
        <v>5</v>
      </c>
      <c r="AF202" s="206"/>
      <c r="AG202" s="183">
        <v>3</v>
      </c>
    </row>
    <row r="203" spans="1:33" ht="12.75" customHeight="1" x14ac:dyDescent="0.25">
      <c r="A203" s="207" t="s">
        <v>392</v>
      </c>
      <c r="B203" s="198" t="s">
        <v>7</v>
      </c>
      <c r="C203" s="153" t="s">
        <v>689</v>
      </c>
      <c r="D203" s="154" t="s">
        <v>32</v>
      </c>
      <c r="E203" s="206"/>
      <c r="F203" s="183">
        <v>4</v>
      </c>
      <c r="G203" s="183">
        <v>5</v>
      </c>
      <c r="H203" s="183">
        <v>5</v>
      </c>
      <c r="I203" s="183">
        <v>3</v>
      </c>
      <c r="J203" s="183">
        <v>5</v>
      </c>
      <c r="K203" s="206"/>
      <c r="L203" s="183">
        <v>5</v>
      </c>
      <c r="M203" s="206"/>
      <c r="N203" s="183">
        <v>1</v>
      </c>
      <c r="O203" s="183">
        <v>3</v>
      </c>
      <c r="P203" s="206"/>
      <c r="Q203" s="183">
        <v>3</v>
      </c>
      <c r="R203" s="183" t="s">
        <v>311</v>
      </c>
      <c r="S203" s="183" t="s">
        <v>311</v>
      </c>
      <c r="T203" s="183">
        <v>4</v>
      </c>
      <c r="U203" s="206"/>
      <c r="V203" s="183">
        <v>3</v>
      </c>
      <c r="W203" s="206"/>
      <c r="X203" s="183">
        <v>4</v>
      </c>
      <c r="Y203" s="206"/>
      <c r="Z203" s="183">
        <v>3</v>
      </c>
      <c r="AA203" s="183">
        <v>3</v>
      </c>
      <c r="AB203" s="183">
        <v>3</v>
      </c>
      <c r="AC203" s="206"/>
      <c r="AD203" s="183">
        <v>3</v>
      </c>
      <c r="AE203" s="183">
        <v>3</v>
      </c>
      <c r="AF203" s="206"/>
      <c r="AG203" s="183">
        <v>3</v>
      </c>
    </row>
    <row r="204" spans="1:33" ht="12.75" customHeight="1" x14ac:dyDescent="0.25">
      <c r="A204" s="207" t="s">
        <v>392</v>
      </c>
      <c r="B204" s="198" t="s">
        <v>376</v>
      </c>
      <c r="C204" s="153" t="s">
        <v>690</v>
      </c>
      <c r="D204" s="154" t="s">
        <v>32</v>
      </c>
      <c r="E204" s="206"/>
      <c r="F204" s="183">
        <v>3</v>
      </c>
      <c r="G204" s="183">
        <v>3</v>
      </c>
      <c r="H204" s="183">
        <v>3</v>
      </c>
      <c r="I204" s="183">
        <v>2</v>
      </c>
      <c r="J204" s="183">
        <v>2</v>
      </c>
      <c r="K204" s="206"/>
      <c r="L204" s="183">
        <v>3</v>
      </c>
      <c r="M204" s="206"/>
      <c r="N204" s="183">
        <v>5</v>
      </c>
      <c r="O204" s="183">
        <v>5</v>
      </c>
      <c r="P204" s="206"/>
      <c r="Q204" s="183">
        <v>1</v>
      </c>
      <c r="R204" s="183">
        <v>1</v>
      </c>
      <c r="S204" s="183" t="s">
        <v>311</v>
      </c>
      <c r="T204" s="183">
        <v>5</v>
      </c>
      <c r="U204" s="206"/>
      <c r="V204" s="183">
        <v>3</v>
      </c>
      <c r="W204" s="206"/>
      <c r="X204" s="183">
        <v>4</v>
      </c>
      <c r="Y204" s="206"/>
      <c r="Z204" s="183">
        <v>3</v>
      </c>
      <c r="AA204" s="183">
        <v>3</v>
      </c>
      <c r="AB204" s="183">
        <v>3</v>
      </c>
      <c r="AC204" s="206"/>
      <c r="AD204" s="183">
        <v>5</v>
      </c>
      <c r="AE204" s="183">
        <v>5</v>
      </c>
      <c r="AF204" s="206"/>
      <c r="AG204" s="183">
        <v>3</v>
      </c>
    </row>
    <row r="205" spans="1:33" ht="12.75" customHeight="1" x14ac:dyDescent="0.25">
      <c r="A205" s="207" t="s">
        <v>392</v>
      </c>
      <c r="B205" s="198" t="s">
        <v>377</v>
      </c>
      <c r="C205" s="153" t="s">
        <v>691</v>
      </c>
      <c r="D205" s="154" t="s">
        <v>32</v>
      </c>
      <c r="E205" s="206"/>
      <c r="F205" s="183">
        <v>5</v>
      </c>
      <c r="G205" s="183">
        <v>3</v>
      </c>
      <c r="H205" s="183">
        <v>3</v>
      </c>
      <c r="I205" s="183">
        <v>3</v>
      </c>
      <c r="J205" s="183">
        <v>3</v>
      </c>
      <c r="K205" s="206"/>
      <c r="L205" s="183">
        <v>1</v>
      </c>
      <c r="M205" s="206"/>
      <c r="N205" s="183">
        <v>3</v>
      </c>
      <c r="O205" s="183">
        <v>3</v>
      </c>
      <c r="P205" s="206"/>
      <c r="Q205" s="183">
        <v>5</v>
      </c>
      <c r="R205" s="183" t="s">
        <v>311</v>
      </c>
      <c r="S205" s="183" t="s">
        <v>311</v>
      </c>
      <c r="T205" s="183">
        <v>4</v>
      </c>
      <c r="U205" s="206"/>
      <c r="V205" s="183">
        <v>2</v>
      </c>
      <c r="W205" s="206"/>
      <c r="X205" s="183">
        <v>1</v>
      </c>
      <c r="Y205" s="206"/>
      <c r="Z205" s="183">
        <v>4</v>
      </c>
      <c r="AA205" s="183">
        <v>3</v>
      </c>
      <c r="AB205" s="183">
        <v>3</v>
      </c>
      <c r="AC205" s="206"/>
      <c r="AD205" s="183">
        <v>3</v>
      </c>
      <c r="AE205" s="183">
        <v>3</v>
      </c>
      <c r="AF205" s="206"/>
      <c r="AG205" s="183">
        <v>3</v>
      </c>
    </row>
    <row r="206" spans="1:33" ht="12.75" customHeight="1" x14ac:dyDescent="0.25">
      <c r="A206" s="207" t="s">
        <v>392</v>
      </c>
      <c r="B206" s="198" t="s">
        <v>8</v>
      </c>
      <c r="C206" s="153" t="s">
        <v>692</v>
      </c>
      <c r="D206" s="154" t="s">
        <v>32</v>
      </c>
      <c r="E206" s="206"/>
      <c r="F206" s="183">
        <v>5</v>
      </c>
      <c r="G206" s="183">
        <v>3</v>
      </c>
      <c r="H206" s="183">
        <v>3</v>
      </c>
      <c r="I206" s="183">
        <v>1</v>
      </c>
      <c r="J206" s="183">
        <v>2</v>
      </c>
      <c r="K206" s="206"/>
      <c r="L206" s="183">
        <v>5</v>
      </c>
      <c r="M206" s="206"/>
      <c r="N206" s="183">
        <v>5</v>
      </c>
      <c r="O206" s="183">
        <v>5</v>
      </c>
      <c r="P206" s="206"/>
      <c r="Q206" s="183">
        <v>2</v>
      </c>
      <c r="R206" s="183" t="s">
        <v>311</v>
      </c>
      <c r="S206" s="183" t="s">
        <v>311</v>
      </c>
      <c r="T206" s="183">
        <v>4</v>
      </c>
      <c r="U206" s="206"/>
      <c r="V206" s="183">
        <v>4</v>
      </c>
      <c r="W206" s="206"/>
      <c r="X206" s="183">
        <v>4</v>
      </c>
      <c r="Y206" s="206"/>
      <c r="Z206" s="183">
        <v>4</v>
      </c>
      <c r="AA206" s="183">
        <v>5</v>
      </c>
      <c r="AB206" s="183">
        <v>3</v>
      </c>
      <c r="AC206" s="206"/>
      <c r="AD206" s="183">
        <v>4</v>
      </c>
      <c r="AE206" s="183">
        <v>4</v>
      </c>
      <c r="AF206" s="206"/>
      <c r="AG206" s="183">
        <v>3</v>
      </c>
    </row>
    <row r="207" spans="1:33" ht="12.75" customHeight="1" x14ac:dyDescent="0.25">
      <c r="A207" s="207" t="s">
        <v>392</v>
      </c>
      <c r="B207" s="198" t="s">
        <v>9</v>
      </c>
      <c r="C207" s="153" t="s">
        <v>693</v>
      </c>
      <c r="D207" s="154" t="s">
        <v>32</v>
      </c>
      <c r="E207" s="206"/>
      <c r="F207" s="183">
        <v>5</v>
      </c>
      <c r="G207" s="183">
        <v>3</v>
      </c>
      <c r="H207" s="183">
        <v>3</v>
      </c>
      <c r="I207" s="183">
        <v>3</v>
      </c>
      <c r="J207" s="183">
        <v>5</v>
      </c>
      <c r="K207" s="206"/>
      <c r="L207" s="183">
        <v>5</v>
      </c>
      <c r="M207" s="206"/>
      <c r="N207" s="183">
        <v>3</v>
      </c>
      <c r="O207" s="183">
        <v>1</v>
      </c>
      <c r="P207" s="206"/>
      <c r="Q207" s="183">
        <v>5</v>
      </c>
      <c r="R207" s="183">
        <v>4</v>
      </c>
      <c r="S207" s="183" t="s">
        <v>311</v>
      </c>
      <c r="T207" s="183">
        <v>5</v>
      </c>
      <c r="U207" s="206"/>
      <c r="V207" s="183">
        <v>3</v>
      </c>
      <c r="W207" s="206"/>
      <c r="X207" s="183">
        <v>1</v>
      </c>
      <c r="Y207" s="206"/>
      <c r="Z207" s="183">
        <v>4</v>
      </c>
      <c r="AA207" s="183">
        <v>3</v>
      </c>
      <c r="AB207" s="183">
        <v>3</v>
      </c>
      <c r="AC207" s="206"/>
      <c r="AD207" s="183">
        <v>3</v>
      </c>
      <c r="AE207" s="183">
        <v>3</v>
      </c>
      <c r="AF207" s="206"/>
      <c r="AG207" s="183">
        <v>3</v>
      </c>
    </row>
    <row r="208" spans="1:33" ht="12.75" customHeight="1" x14ac:dyDescent="0.25">
      <c r="A208" s="207" t="s">
        <v>392</v>
      </c>
      <c r="B208" s="198" t="s">
        <v>10</v>
      </c>
      <c r="C208" s="153" t="s">
        <v>694</v>
      </c>
      <c r="D208" s="154" t="s">
        <v>32</v>
      </c>
      <c r="E208" s="206"/>
      <c r="F208" s="183">
        <v>1</v>
      </c>
      <c r="G208" s="183">
        <v>3</v>
      </c>
      <c r="H208" s="183">
        <v>3</v>
      </c>
      <c r="I208" s="183">
        <v>3</v>
      </c>
      <c r="J208" s="183">
        <v>3</v>
      </c>
      <c r="K208" s="206"/>
      <c r="L208" s="183">
        <v>1</v>
      </c>
      <c r="M208" s="206"/>
      <c r="N208" s="183">
        <v>5</v>
      </c>
      <c r="O208" s="183">
        <v>5</v>
      </c>
      <c r="P208" s="206"/>
      <c r="Q208" s="183">
        <v>3</v>
      </c>
      <c r="R208" s="183" t="s">
        <v>311</v>
      </c>
      <c r="S208" s="183" t="s">
        <v>311</v>
      </c>
      <c r="T208" s="183">
        <v>1</v>
      </c>
      <c r="U208" s="206"/>
      <c r="V208" s="183">
        <v>3</v>
      </c>
      <c r="W208" s="206"/>
      <c r="X208" s="183">
        <v>3</v>
      </c>
      <c r="Y208" s="206"/>
      <c r="Z208" s="183">
        <v>3</v>
      </c>
      <c r="AA208" s="183">
        <v>3</v>
      </c>
      <c r="AB208" s="183">
        <v>2</v>
      </c>
      <c r="AC208" s="206"/>
      <c r="AD208" s="183">
        <v>3</v>
      </c>
      <c r="AE208" s="183">
        <v>3</v>
      </c>
      <c r="AF208" s="206"/>
      <c r="AG208" s="183">
        <v>3</v>
      </c>
    </row>
    <row r="209" spans="1:33" ht="12.75" customHeight="1" x14ac:dyDescent="0.25">
      <c r="A209" s="207" t="s">
        <v>392</v>
      </c>
      <c r="B209" s="198" t="s">
        <v>378</v>
      </c>
      <c r="C209" s="153" t="s">
        <v>695</v>
      </c>
      <c r="D209" s="154" t="s">
        <v>32</v>
      </c>
      <c r="E209" s="206"/>
      <c r="F209" s="183">
        <v>1</v>
      </c>
      <c r="G209" s="183">
        <v>3</v>
      </c>
      <c r="H209" s="183">
        <v>3</v>
      </c>
      <c r="I209" s="183">
        <v>3</v>
      </c>
      <c r="J209" s="183">
        <v>3</v>
      </c>
      <c r="K209" s="206"/>
      <c r="L209" s="183">
        <v>5</v>
      </c>
      <c r="M209" s="206"/>
      <c r="N209" s="183">
        <v>3</v>
      </c>
      <c r="O209" s="183">
        <v>5</v>
      </c>
      <c r="P209" s="206"/>
      <c r="Q209" s="183">
        <v>3</v>
      </c>
      <c r="R209" s="183" t="s">
        <v>311</v>
      </c>
      <c r="S209" s="183" t="s">
        <v>311</v>
      </c>
      <c r="T209" s="183">
        <v>4</v>
      </c>
      <c r="U209" s="206"/>
      <c r="V209" s="183">
        <v>2</v>
      </c>
      <c r="W209" s="206"/>
      <c r="X209" s="183">
        <v>2</v>
      </c>
      <c r="Y209" s="206"/>
      <c r="Z209" s="183">
        <v>4</v>
      </c>
      <c r="AA209" s="183">
        <v>3</v>
      </c>
      <c r="AB209" s="183">
        <v>5</v>
      </c>
      <c r="AC209" s="206"/>
      <c r="AD209" s="183">
        <v>3</v>
      </c>
      <c r="AE209" s="183">
        <v>3</v>
      </c>
      <c r="AF209" s="206"/>
      <c r="AG209" s="183">
        <v>3</v>
      </c>
    </row>
    <row r="210" spans="1:33" ht="12.75" customHeight="1" x14ac:dyDescent="0.25">
      <c r="A210" s="207" t="s">
        <v>392</v>
      </c>
      <c r="B210" s="198" t="s">
        <v>11</v>
      </c>
      <c r="C210" s="153" t="s">
        <v>696</v>
      </c>
      <c r="D210" s="154" t="s">
        <v>32</v>
      </c>
      <c r="E210" s="206"/>
      <c r="F210" s="183">
        <v>5</v>
      </c>
      <c r="G210" s="183">
        <v>3</v>
      </c>
      <c r="H210" s="183">
        <v>3</v>
      </c>
      <c r="I210" s="183">
        <v>3</v>
      </c>
      <c r="J210" s="183">
        <v>5</v>
      </c>
      <c r="K210" s="206"/>
      <c r="L210" s="183">
        <v>5</v>
      </c>
      <c r="M210" s="206"/>
      <c r="N210" s="183">
        <v>1</v>
      </c>
      <c r="O210" s="183">
        <v>1</v>
      </c>
      <c r="P210" s="206"/>
      <c r="Q210" s="183">
        <v>4</v>
      </c>
      <c r="R210" s="183">
        <v>1</v>
      </c>
      <c r="S210" s="183" t="s">
        <v>311</v>
      </c>
      <c r="T210" s="183">
        <v>5</v>
      </c>
      <c r="U210" s="206"/>
      <c r="V210" s="183">
        <v>1</v>
      </c>
      <c r="W210" s="206"/>
      <c r="X210" s="183">
        <v>1</v>
      </c>
      <c r="Y210" s="206"/>
      <c r="Z210" s="183">
        <v>3</v>
      </c>
      <c r="AA210" s="183">
        <v>3</v>
      </c>
      <c r="AB210" s="183">
        <v>3</v>
      </c>
      <c r="AC210" s="206"/>
      <c r="AD210" s="183">
        <v>3</v>
      </c>
      <c r="AE210" s="183">
        <v>5</v>
      </c>
      <c r="AF210" s="206"/>
      <c r="AG210" s="183">
        <v>3</v>
      </c>
    </row>
    <row r="211" spans="1:33" ht="12.75" customHeight="1" x14ac:dyDescent="0.25">
      <c r="A211" s="207" t="s">
        <v>392</v>
      </c>
      <c r="B211" s="198" t="s">
        <v>12</v>
      </c>
      <c r="C211" s="153" t="s">
        <v>697</v>
      </c>
      <c r="D211" s="154" t="s">
        <v>32</v>
      </c>
      <c r="E211" s="206"/>
      <c r="F211" s="183">
        <v>5</v>
      </c>
      <c r="G211" s="183">
        <v>3</v>
      </c>
      <c r="H211" s="183">
        <v>3</v>
      </c>
      <c r="I211" s="183">
        <v>3</v>
      </c>
      <c r="J211" s="183">
        <v>3</v>
      </c>
      <c r="K211" s="206"/>
      <c r="L211" s="183">
        <v>5</v>
      </c>
      <c r="M211" s="206"/>
      <c r="N211" s="183">
        <v>1</v>
      </c>
      <c r="O211" s="183">
        <v>3</v>
      </c>
      <c r="P211" s="206"/>
      <c r="Q211" s="183">
        <v>2</v>
      </c>
      <c r="R211" s="183">
        <v>4</v>
      </c>
      <c r="S211" s="183" t="s">
        <v>311</v>
      </c>
      <c r="T211" s="183">
        <v>2</v>
      </c>
      <c r="U211" s="206"/>
      <c r="V211" s="183">
        <v>3</v>
      </c>
      <c r="W211" s="206"/>
      <c r="X211" s="183">
        <v>4</v>
      </c>
      <c r="Y211" s="206"/>
      <c r="Z211" s="183">
        <v>4</v>
      </c>
      <c r="AA211" s="183">
        <v>3</v>
      </c>
      <c r="AB211" s="183">
        <v>3</v>
      </c>
      <c r="AC211" s="206"/>
      <c r="AD211" s="183">
        <v>3</v>
      </c>
      <c r="AE211" s="183">
        <v>5</v>
      </c>
      <c r="AF211" s="206"/>
      <c r="AG211" s="183">
        <v>3</v>
      </c>
    </row>
    <row r="212" spans="1:33" ht="12.75" customHeight="1" x14ac:dyDescent="0.25">
      <c r="A212" s="207" t="s">
        <v>392</v>
      </c>
      <c r="B212" s="198" t="s">
        <v>13</v>
      </c>
      <c r="C212" s="153" t="s">
        <v>698</v>
      </c>
      <c r="D212" s="154" t="s">
        <v>32</v>
      </c>
      <c r="E212" s="206"/>
      <c r="F212" s="183">
        <v>5</v>
      </c>
      <c r="G212" s="183">
        <v>3</v>
      </c>
      <c r="H212" s="183">
        <v>3</v>
      </c>
      <c r="I212" s="183">
        <v>3</v>
      </c>
      <c r="J212" s="183">
        <v>3</v>
      </c>
      <c r="K212" s="206"/>
      <c r="L212" s="183">
        <v>5</v>
      </c>
      <c r="M212" s="206"/>
      <c r="N212" s="183">
        <v>1</v>
      </c>
      <c r="O212" s="183">
        <v>1</v>
      </c>
      <c r="P212" s="206"/>
      <c r="Q212" s="183">
        <v>5</v>
      </c>
      <c r="R212" s="183">
        <v>3</v>
      </c>
      <c r="S212" s="183" t="s">
        <v>311</v>
      </c>
      <c r="T212" s="183">
        <v>5</v>
      </c>
      <c r="U212" s="206"/>
      <c r="V212" s="183">
        <v>1</v>
      </c>
      <c r="W212" s="206"/>
      <c r="X212" s="183">
        <v>1</v>
      </c>
      <c r="Y212" s="206"/>
      <c r="Z212" s="183">
        <v>3</v>
      </c>
      <c r="AA212" s="183">
        <v>3</v>
      </c>
      <c r="AB212" s="183">
        <v>3</v>
      </c>
      <c r="AC212" s="206"/>
      <c r="AD212" s="183">
        <v>3</v>
      </c>
      <c r="AE212" s="183">
        <v>3</v>
      </c>
      <c r="AF212" s="206"/>
      <c r="AG212" s="183">
        <v>3</v>
      </c>
    </row>
    <row r="213" spans="1:33" ht="12.75" customHeight="1" x14ac:dyDescent="0.25">
      <c r="A213" s="207" t="s">
        <v>392</v>
      </c>
      <c r="B213" s="198" t="s">
        <v>14</v>
      </c>
      <c r="C213" s="153" t="s">
        <v>699</v>
      </c>
      <c r="D213" s="154" t="s">
        <v>32</v>
      </c>
      <c r="E213" s="206"/>
      <c r="F213" s="183">
        <v>3</v>
      </c>
      <c r="G213" s="183">
        <v>3</v>
      </c>
      <c r="H213" s="183">
        <v>3</v>
      </c>
      <c r="I213" s="183">
        <v>3</v>
      </c>
      <c r="J213" s="183">
        <v>3</v>
      </c>
      <c r="K213" s="206"/>
      <c r="L213" s="183">
        <v>4</v>
      </c>
      <c r="M213" s="206"/>
      <c r="N213" s="183">
        <v>5</v>
      </c>
      <c r="O213" s="183">
        <v>5</v>
      </c>
      <c r="P213" s="206"/>
      <c r="Q213" s="183">
        <v>3</v>
      </c>
      <c r="R213" s="183">
        <v>3</v>
      </c>
      <c r="S213" s="183" t="s">
        <v>311</v>
      </c>
      <c r="T213" s="183">
        <v>4</v>
      </c>
      <c r="U213" s="206"/>
      <c r="V213" s="183">
        <v>3</v>
      </c>
      <c r="W213" s="206"/>
      <c r="X213" s="183">
        <v>5</v>
      </c>
      <c r="Y213" s="206"/>
      <c r="Z213" s="183">
        <v>5</v>
      </c>
      <c r="AA213" s="183">
        <v>5</v>
      </c>
      <c r="AB213" s="183">
        <v>3</v>
      </c>
      <c r="AC213" s="206"/>
      <c r="AD213" s="183">
        <v>5</v>
      </c>
      <c r="AE213" s="183">
        <v>5</v>
      </c>
      <c r="AF213" s="206"/>
      <c r="AG213" s="183">
        <v>3</v>
      </c>
    </row>
    <row r="214" spans="1:33" ht="12.75" customHeight="1" x14ac:dyDescent="0.25">
      <c r="A214" s="207" t="s">
        <v>392</v>
      </c>
      <c r="B214" s="198" t="s">
        <v>15</v>
      </c>
      <c r="C214" s="153" t="s">
        <v>700</v>
      </c>
      <c r="D214" s="154" t="s">
        <v>32</v>
      </c>
      <c r="E214" s="206"/>
      <c r="F214" s="183">
        <v>5</v>
      </c>
      <c r="G214" s="183">
        <v>3</v>
      </c>
      <c r="H214" s="183">
        <v>3</v>
      </c>
      <c r="I214" s="183">
        <v>5</v>
      </c>
      <c r="J214" s="183">
        <v>3</v>
      </c>
      <c r="K214" s="206"/>
      <c r="L214" s="183">
        <v>5</v>
      </c>
      <c r="M214" s="206"/>
      <c r="N214" s="183">
        <v>1</v>
      </c>
      <c r="O214" s="183">
        <v>1</v>
      </c>
      <c r="P214" s="206"/>
      <c r="Q214" s="183">
        <v>3</v>
      </c>
      <c r="R214" s="183" t="s">
        <v>311</v>
      </c>
      <c r="S214" s="183" t="s">
        <v>311</v>
      </c>
      <c r="T214" s="183">
        <v>3</v>
      </c>
      <c r="U214" s="206"/>
      <c r="V214" s="183">
        <v>2</v>
      </c>
      <c r="W214" s="206"/>
      <c r="X214" s="183">
        <v>2</v>
      </c>
      <c r="Y214" s="206"/>
      <c r="Z214" s="183">
        <v>3</v>
      </c>
      <c r="AA214" s="183">
        <v>3</v>
      </c>
      <c r="AB214" s="183">
        <v>3</v>
      </c>
      <c r="AC214" s="206"/>
      <c r="AD214" s="183">
        <v>5</v>
      </c>
      <c r="AE214" s="183">
        <v>5</v>
      </c>
      <c r="AF214" s="206"/>
      <c r="AG214" s="183">
        <v>3</v>
      </c>
    </row>
    <row r="215" spans="1:33" ht="12.75" customHeight="1" x14ac:dyDescent="0.25">
      <c r="A215" s="207" t="s">
        <v>392</v>
      </c>
      <c r="B215" s="198" t="s">
        <v>16</v>
      </c>
      <c r="C215" s="153" t="s">
        <v>701</v>
      </c>
      <c r="D215" s="154" t="s">
        <v>32</v>
      </c>
      <c r="E215" s="206"/>
      <c r="F215" s="183">
        <v>5</v>
      </c>
      <c r="G215" s="183">
        <v>4</v>
      </c>
      <c r="H215" s="183">
        <v>3</v>
      </c>
      <c r="I215" s="183">
        <v>1</v>
      </c>
      <c r="J215" s="183">
        <v>3</v>
      </c>
      <c r="K215" s="206"/>
      <c r="L215" s="183">
        <v>5</v>
      </c>
      <c r="M215" s="206"/>
      <c r="N215" s="183">
        <v>3</v>
      </c>
      <c r="O215" s="183">
        <v>5</v>
      </c>
      <c r="P215" s="206"/>
      <c r="Q215" s="183">
        <v>2</v>
      </c>
      <c r="R215" s="183">
        <v>4</v>
      </c>
      <c r="S215" s="183" t="s">
        <v>311</v>
      </c>
      <c r="T215" s="183">
        <v>5</v>
      </c>
      <c r="U215" s="206"/>
      <c r="V215" s="183">
        <v>5</v>
      </c>
      <c r="W215" s="206"/>
      <c r="X215" s="183">
        <v>4</v>
      </c>
      <c r="Y215" s="206"/>
      <c r="Z215" s="183">
        <v>4</v>
      </c>
      <c r="AA215" s="183">
        <v>5</v>
      </c>
      <c r="AB215" s="183">
        <v>3</v>
      </c>
      <c r="AC215" s="206"/>
      <c r="AD215" s="183">
        <v>3</v>
      </c>
      <c r="AE215" s="183">
        <v>5</v>
      </c>
      <c r="AF215" s="206"/>
      <c r="AG215" s="183">
        <v>4</v>
      </c>
    </row>
    <row r="216" spans="1:33" ht="12.75" customHeight="1" x14ac:dyDescent="0.25">
      <c r="A216" s="207" t="s">
        <v>392</v>
      </c>
      <c r="B216" s="198" t="s">
        <v>17</v>
      </c>
      <c r="C216" s="153" t="s">
        <v>702</v>
      </c>
      <c r="D216" s="154" t="s">
        <v>32</v>
      </c>
      <c r="E216" s="206"/>
      <c r="F216" s="183">
        <v>3</v>
      </c>
      <c r="G216" s="183">
        <v>3</v>
      </c>
      <c r="H216" s="183">
        <v>3</v>
      </c>
      <c r="I216" s="183">
        <v>3</v>
      </c>
      <c r="J216" s="183">
        <v>4</v>
      </c>
      <c r="K216" s="206"/>
      <c r="L216" s="183">
        <v>4</v>
      </c>
      <c r="M216" s="206"/>
      <c r="N216" s="183">
        <v>3</v>
      </c>
      <c r="O216" s="183">
        <v>3</v>
      </c>
      <c r="P216" s="206"/>
      <c r="Q216" s="183">
        <v>5</v>
      </c>
      <c r="R216" s="183">
        <v>4</v>
      </c>
      <c r="S216" s="183" t="s">
        <v>311</v>
      </c>
      <c r="T216" s="183">
        <v>4</v>
      </c>
      <c r="U216" s="206"/>
      <c r="V216" s="183">
        <v>4</v>
      </c>
      <c r="W216" s="206"/>
      <c r="X216" s="183">
        <v>4</v>
      </c>
      <c r="Y216" s="206"/>
      <c r="Z216" s="183">
        <v>5</v>
      </c>
      <c r="AA216" s="183">
        <v>5</v>
      </c>
      <c r="AB216" s="183">
        <v>5</v>
      </c>
      <c r="AC216" s="206"/>
      <c r="AD216" s="183">
        <v>5</v>
      </c>
      <c r="AE216" s="183">
        <v>5</v>
      </c>
      <c r="AF216" s="206"/>
      <c r="AG216" s="183">
        <v>5</v>
      </c>
    </row>
    <row r="217" spans="1:33" ht="12.75" customHeight="1" x14ac:dyDescent="0.25">
      <c r="A217" s="207" t="s">
        <v>393</v>
      </c>
      <c r="B217" s="198" t="s">
        <v>7</v>
      </c>
      <c r="C217" s="153" t="s">
        <v>689</v>
      </c>
      <c r="D217" s="154" t="s">
        <v>32</v>
      </c>
      <c r="E217" s="206"/>
      <c r="F217" s="183">
        <v>4</v>
      </c>
      <c r="G217" s="183">
        <v>5</v>
      </c>
      <c r="H217" s="183">
        <v>5</v>
      </c>
      <c r="I217" s="183">
        <v>3</v>
      </c>
      <c r="J217" s="183">
        <v>4</v>
      </c>
      <c r="K217" s="206"/>
      <c r="L217" s="183">
        <v>3</v>
      </c>
      <c r="M217" s="206"/>
      <c r="N217" s="183">
        <v>3</v>
      </c>
      <c r="O217" s="183">
        <v>3</v>
      </c>
      <c r="P217" s="206"/>
      <c r="Q217" s="183">
        <v>3</v>
      </c>
      <c r="R217" s="183" t="s">
        <v>311</v>
      </c>
      <c r="S217" s="183" t="s">
        <v>311</v>
      </c>
      <c r="T217" s="183">
        <v>3</v>
      </c>
      <c r="U217" s="206"/>
      <c r="V217" s="183" t="s">
        <v>311</v>
      </c>
      <c r="W217" s="206"/>
      <c r="X217" s="183">
        <v>3</v>
      </c>
      <c r="Y217" s="206"/>
      <c r="Z217" s="183">
        <v>3</v>
      </c>
      <c r="AA217" s="183">
        <v>3</v>
      </c>
      <c r="AB217" s="183">
        <v>3</v>
      </c>
      <c r="AC217" s="206"/>
      <c r="AD217" s="183">
        <v>3</v>
      </c>
      <c r="AE217" s="183">
        <v>3</v>
      </c>
      <c r="AF217" s="206"/>
      <c r="AG217" s="183">
        <v>3</v>
      </c>
    </row>
    <row r="218" spans="1:33" ht="12.75" customHeight="1" x14ac:dyDescent="0.25">
      <c r="A218" s="207" t="s">
        <v>393</v>
      </c>
      <c r="B218" s="198" t="s">
        <v>376</v>
      </c>
      <c r="C218" s="153" t="s">
        <v>690</v>
      </c>
      <c r="D218" s="154" t="s">
        <v>32</v>
      </c>
      <c r="E218" s="206"/>
      <c r="F218" s="183">
        <v>3</v>
      </c>
      <c r="G218" s="183">
        <v>5</v>
      </c>
      <c r="H218" s="183">
        <v>4</v>
      </c>
      <c r="I218" s="183">
        <v>2</v>
      </c>
      <c r="J218" s="183">
        <v>3</v>
      </c>
      <c r="K218" s="206"/>
      <c r="L218" s="183">
        <v>3</v>
      </c>
      <c r="M218" s="206"/>
      <c r="N218" s="183">
        <v>3</v>
      </c>
      <c r="O218" s="183">
        <v>3</v>
      </c>
      <c r="P218" s="206"/>
      <c r="Q218" s="183">
        <v>3</v>
      </c>
      <c r="R218" s="183">
        <v>1</v>
      </c>
      <c r="S218" s="183" t="s">
        <v>311</v>
      </c>
      <c r="T218" s="183">
        <v>4</v>
      </c>
      <c r="U218" s="206"/>
      <c r="V218" s="183" t="s">
        <v>311</v>
      </c>
      <c r="W218" s="206"/>
      <c r="X218" s="183">
        <v>3</v>
      </c>
      <c r="Y218" s="206"/>
      <c r="Z218" s="183">
        <v>2</v>
      </c>
      <c r="AA218" s="183">
        <v>2</v>
      </c>
      <c r="AB218" s="183">
        <v>2</v>
      </c>
      <c r="AC218" s="206"/>
      <c r="AD218" s="183">
        <v>3</v>
      </c>
      <c r="AE218" s="183">
        <v>3</v>
      </c>
      <c r="AF218" s="206"/>
      <c r="AG218" s="183">
        <v>4</v>
      </c>
    </row>
    <row r="219" spans="1:33" ht="12.75" customHeight="1" x14ac:dyDescent="0.25">
      <c r="A219" s="207" t="s">
        <v>393</v>
      </c>
      <c r="B219" s="198" t="s">
        <v>377</v>
      </c>
      <c r="C219" s="153" t="s">
        <v>691</v>
      </c>
      <c r="D219" s="154" t="s">
        <v>32</v>
      </c>
      <c r="E219" s="206"/>
      <c r="F219" s="183">
        <v>5</v>
      </c>
      <c r="G219" s="183">
        <v>3</v>
      </c>
      <c r="H219" s="183">
        <v>3</v>
      </c>
      <c r="I219" s="183">
        <v>3</v>
      </c>
      <c r="J219" s="183">
        <v>5</v>
      </c>
      <c r="K219" s="206"/>
      <c r="L219" s="183">
        <v>3</v>
      </c>
      <c r="M219" s="206"/>
      <c r="N219" s="183">
        <v>3</v>
      </c>
      <c r="O219" s="183">
        <v>3</v>
      </c>
      <c r="P219" s="206"/>
      <c r="Q219" s="183">
        <v>3</v>
      </c>
      <c r="R219" s="183" t="s">
        <v>311</v>
      </c>
      <c r="S219" s="183" t="s">
        <v>311</v>
      </c>
      <c r="T219" s="183" t="s">
        <v>311</v>
      </c>
      <c r="U219" s="206"/>
      <c r="V219" s="183" t="s">
        <v>311</v>
      </c>
      <c r="W219" s="206"/>
      <c r="X219" s="183">
        <v>3</v>
      </c>
      <c r="Y219" s="206"/>
      <c r="Z219" s="183">
        <v>3</v>
      </c>
      <c r="AA219" s="183">
        <v>3</v>
      </c>
      <c r="AB219" s="183">
        <v>3</v>
      </c>
      <c r="AC219" s="206"/>
      <c r="AD219" s="183">
        <v>3</v>
      </c>
      <c r="AE219" s="183">
        <v>3</v>
      </c>
      <c r="AF219" s="206"/>
      <c r="AG219" s="183" t="s">
        <v>311</v>
      </c>
    </row>
    <row r="220" spans="1:33" ht="12.75" customHeight="1" x14ac:dyDescent="0.25">
      <c r="A220" s="207" t="s">
        <v>393</v>
      </c>
      <c r="B220" s="198" t="s">
        <v>8</v>
      </c>
      <c r="C220" s="153" t="s">
        <v>692</v>
      </c>
      <c r="D220" s="154" t="s">
        <v>32</v>
      </c>
      <c r="E220" s="206"/>
      <c r="F220" s="183">
        <v>5</v>
      </c>
      <c r="G220" s="183">
        <v>4</v>
      </c>
      <c r="H220" s="183">
        <v>4</v>
      </c>
      <c r="I220" s="183">
        <v>2</v>
      </c>
      <c r="J220" s="183">
        <v>3</v>
      </c>
      <c r="K220" s="206"/>
      <c r="L220" s="183">
        <v>5</v>
      </c>
      <c r="M220" s="206"/>
      <c r="N220" s="183">
        <v>3</v>
      </c>
      <c r="O220" s="183">
        <v>3</v>
      </c>
      <c r="P220" s="206"/>
      <c r="Q220" s="183">
        <v>3</v>
      </c>
      <c r="R220" s="183">
        <v>1</v>
      </c>
      <c r="S220" s="183" t="s">
        <v>311</v>
      </c>
      <c r="T220" s="183" t="s">
        <v>311</v>
      </c>
      <c r="U220" s="206"/>
      <c r="V220" s="183" t="s">
        <v>311</v>
      </c>
      <c r="W220" s="206"/>
      <c r="X220" s="183">
        <v>3</v>
      </c>
      <c r="Y220" s="206"/>
      <c r="Z220" s="183">
        <v>3</v>
      </c>
      <c r="AA220" s="183">
        <v>3</v>
      </c>
      <c r="AB220" s="183">
        <v>3</v>
      </c>
      <c r="AC220" s="206"/>
      <c r="AD220" s="183">
        <v>3</v>
      </c>
      <c r="AE220" s="183">
        <v>3</v>
      </c>
      <c r="AF220" s="206"/>
      <c r="AG220" s="183" t="s">
        <v>311</v>
      </c>
    </row>
    <row r="221" spans="1:33" ht="12.75" customHeight="1" x14ac:dyDescent="0.25">
      <c r="A221" s="207" t="s">
        <v>393</v>
      </c>
      <c r="B221" s="198" t="s">
        <v>9</v>
      </c>
      <c r="C221" s="153" t="s">
        <v>693</v>
      </c>
      <c r="D221" s="154" t="s">
        <v>32</v>
      </c>
      <c r="E221" s="206"/>
      <c r="F221" s="183">
        <v>5</v>
      </c>
      <c r="G221" s="183">
        <v>4</v>
      </c>
      <c r="H221" s="183">
        <v>4</v>
      </c>
      <c r="I221" s="183">
        <v>3</v>
      </c>
      <c r="J221" s="183">
        <v>3</v>
      </c>
      <c r="K221" s="206"/>
      <c r="L221" s="183">
        <v>5</v>
      </c>
      <c r="M221" s="206"/>
      <c r="N221" s="183">
        <v>3</v>
      </c>
      <c r="O221" s="183">
        <v>3</v>
      </c>
      <c r="P221" s="206"/>
      <c r="Q221" s="183">
        <v>3</v>
      </c>
      <c r="R221" s="183" t="s">
        <v>311</v>
      </c>
      <c r="S221" s="183" t="s">
        <v>311</v>
      </c>
      <c r="T221" s="183" t="s">
        <v>311</v>
      </c>
      <c r="U221" s="206"/>
      <c r="V221" s="183" t="s">
        <v>311</v>
      </c>
      <c r="W221" s="206"/>
      <c r="X221" s="183">
        <v>3</v>
      </c>
      <c r="Y221" s="206"/>
      <c r="Z221" s="183">
        <v>3</v>
      </c>
      <c r="AA221" s="183">
        <v>3</v>
      </c>
      <c r="AB221" s="183">
        <v>3</v>
      </c>
      <c r="AC221" s="206"/>
      <c r="AD221" s="183">
        <v>3</v>
      </c>
      <c r="AE221" s="183">
        <v>3</v>
      </c>
      <c r="AF221" s="206"/>
      <c r="AG221" s="183" t="s">
        <v>311</v>
      </c>
    </row>
    <row r="222" spans="1:33" ht="12.75" customHeight="1" x14ac:dyDescent="0.25">
      <c r="A222" s="207" t="s">
        <v>393</v>
      </c>
      <c r="B222" s="198" t="s">
        <v>10</v>
      </c>
      <c r="C222" s="153" t="s">
        <v>694</v>
      </c>
      <c r="D222" s="154" t="s">
        <v>32</v>
      </c>
      <c r="E222" s="206"/>
      <c r="F222" s="183">
        <v>2</v>
      </c>
      <c r="G222" s="183">
        <v>4</v>
      </c>
      <c r="H222" s="183">
        <v>2</v>
      </c>
      <c r="I222" s="183">
        <v>3</v>
      </c>
      <c r="J222" s="183">
        <v>5</v>
      </c>
      <c r="K222" s="206"/>
      <c r="L222" s="183">
        <v>1</v>
      </c>
      <c r="M222" s="206"/>
      <c r="N222" s="183">
        <v>3</v>
      </c>
      <c r="O222" s="183">
        <v>3</v>
      </c>
      <c r="P222" s="206"/>
      <c r="Q222" s="183">
        <v>3</v>
      </c>
      <c r="R222" s="183">
        <v>1</v>
      </c>
      <c r="S222" s="183" t="s">
        <v>311</v>
      </c>
      <c r="T222" s="183" t="s">
        <v>311</v>
      </c>
      <c r="U222" s="206"/>
      <c r="V222" s="183" t="s">
        <v>311</v>
      </c>
      <c r="W222" s="206"/>
      <c r="X222" s="183">
        <v>3</v>
      </c>
      <c r="Y222" s="206"/>
      <c r="Z222" s="183">
        <v>3</v>
      </c>
      <c r="AA222" s="183">
        <v>3</v>
      </c>
      <c r="AB222" s="183">
        <v>3</v>
      </c>
      <c r="AC222" s="206"/>
      <c r="AD222" s="183">
        <v>3</v>
      </c>
      <c r="AE222" s="183">
        <v>3</v>
      </c>
      <c r="AF222" s="206"/>
      <c r="AG222" s="183" t="s">
        <v>311</v>
      </c>
    </row>
    <row r="223" spans="1:33" ht="12.75" customHeight="1" x14ac:dyDescent="0.25">
      <c r="A223" s="207" t="s">
        <v>393</v>
      </c>
      <c r="B223" s="198" t="s">
        <v>378</v>
      </c>
      <c r="C223" s="153" t="s">
        <v>695</v>
      </c>
      <c r="D223" s="154" t="s">
        <v>32</v>
      </c>
      <c r="E223" s="206"/>
      <c r="F223" s="183">
        <v>5</v>
      </c>
      <c r="G223" s="183">
        <v>4</v>
      </c>
      <c r="H223" s="183">
        <v>3</v>
      </c>
      <c r="I223" s="183">
        <v>3</v>
      </c>
      <c r="J223" s="183">
        <v>5</v>
      </c>
      <c r="K223" s="206"/>
      <c r="L223" s="183">
        <v>5</v>
      </c>
      <c r="M223" s="206"/>
      <c r="N223" s="183">
        <v>3</v>
      </c>
      <c r="O223" s="183">
        <v>3</v>
      </c>
      <c r="P223" s="206"/>
      <c r="Q223" s="183">
        <v>3</v>
      </c>
      <c r="R223" s="183">
        <v>4</v>
      </c>
      <c r="S223" s="183" t="s">
        <v>311</v>
      </c>
      <c r="T223" s="183" t="s">
        <v>311</v>
      </c>
      <c r="U223" s="206"/>
      <c r="V223" s="183" t="s">
        <v>311</v>
      </c>
      <c r="W223" s="206"/>
      <c r="X223" s="183">
        <v>3</v>
      </c>
      <c r="Y223" s="206"/>
      <c r="Z223" s="183">
        <v>3</v>
      </c>
      <c r="AA223" s="183">
        <v>3</v>
      </c>
      <c r="AB223" s="183">
        <v>3</v>
      </c>
      <c r="AC223" s="206"/>
      <c r="AD223" s="183">
        <v>3</v>
      </c>
      <c r="AE223" s="183">
        <v>3</v>
      </c>
      <c r="AF223" s="206"/>
      <c r="AG223" s="183" t="s">
        <v>311</v>
      </c>
    </row>
    <row r="224" spans="1:33" ht="12.75" customHeight="1" x14ac:dyDescent="0.25">
      <c r="A224" s="207" t="s">
        <v>393</v>
      </c>
      <c r="B224" s="198" t="s">
        <v>11</v>
      </c>
      <c r="C224" s="153" t="s">
        <v>696</v>
      </c>
      <c r="D224" s="154" t="s">
        <v>32</v>
      </c>
      <c r="E224" s="206"/>
      <c r="F224" s="183">
        <v>5</v>
      </c>
      <c r="G224" s="183">
        <v>3</v>
      </c>
      <c r="H224" s="183">
        <v>3</v>
      </c>
      <c r="I224" s="183">
        <v>4</v>
      </c>
      <c r="J224" s="183">
        <v>5</v>
      </c>
      <c r="K224" s="206"/>
      <c r="L224" s="183">
        <v>5</v>
      </c>
      <c r="M224" s="206"/>
      <c r="N224" s="183">
        <v>3</v>
      </c>
      <c r="O224" s="183">
        <v>3</v>
      </c>
      <c r="P224" s="206"/>
      <c r="Q224" s="183">
        <v>3</v>
      </c>
      <c r="R224" s="183" t="s">
        <v>311</v>
      </c>
      <c r="S224" s="183" t="s">
        <v>311</v>
      </c>
      <c r="T224" s="183" t="s">
        <v>311</v>
      </c>
      <c r="U224" s="206"/>
      <c r="V224" s="183" t="s">
        <v>311</v>
      </c>
      <c r="W224" s="206"/>
      <c r="X224" s="183">
        <v>3</v>
      </c>
      <c r="Y224" s="206"/>
      <c r="Z224" s="183">
        <v>3</v>
      </c>
      <c r="AA224" s="183">
        <v>3</v>
      </c>
      <c r="AB224" s="183">
        <v>3</v>
      </c>
      <c r="AC224" s="206"/>
      <c r="AD224" s="183">
        <v>3</v>
      </c>
      <c r="AE224" s="183">
        <v>3</v>
      </c>
      <c r="AF224" s="206"/>
      <c r="AG224" s="183">
        <v>3</v>
      </c>
    </row>
    <row r="225" spans="1:33" ht="12.75" customHeight="1" x14ac:dyDescent="0.25">
      <c r="A225" s="207" t="s">
        <v>393</v>
      </c>
      <c r="B225" s="198" t="s">
        <v>12</v>
      </c>
      <c r="C225" s="153" t="s">
        <v>697</v>
      </c>
      <c r="D225" s="154" t="s">
        <v>32</v>
      </c>
      <c r="E225" s="206"/>
      <c r="F225" s="183">
        <v>5</v>
      </c>
      <c r="G225" s="183">
        <v>3</v>
      </c>
      <c r="H225" s="183">
        <v>3</v>
      </c>
      <c r="I225" s="183">
        <v>3</v>
      </c>
      <c r="J225" s="183">
        <v>3</v>
      </c>
      <c r="K225" s="206"/>
      <c r="L225" s="183">
        <v>5</v>
      </c>
      <c r="M225" s="206"/>
      <c r="N225" s="183">
        <v>3</v>
      </c>
      <c r="O225" s="183">
        <v>3</v>
      </c>
      <c r="P225" s="206"/>
      <c r="Q225" s="183">
        <v>3</v>
      </c>
      <c r="R225" s="183" t="s">
        <v>311</v>
      </c>
      <c r="S225" s="183" t="s">
        <v>311</v>
      </c>
      <c r="T225" s="183" t="s">
        <v>311</v>
      </c>
      <c r="U225" s="206"/>
      <c r="V225" s="183" t="s">
        <v>311</v>
      </c>
      <c r="W225" s="206"/>
      <c r="X225" s="183">
        <v>3</v>
      </c>
      <c r="Y225" s="206"/>
      <c r="Z225" s="183">
        <v>3</v>
      </c>
      <c r="AA225" s="183">
        <v>3</v>
      </c>
      <c r="AB225" s="183">
        <v>3</v>
      </c>
      <c r="AC225" s="206"/>
      <c r="AD225" s="183">
        <v>3</v>
      </c>
      <c r="AE225" s="183">
        <v>3</v>
      </c>
      <c r="AF225" s="206"/>
      <c r="AG225" s="183" t="s">
        <v>311</v>
      </c>
    </row>
    <row r="226" spans="1:33" ht="12.75" customHeight="1" x14ac:dyDescent="0.25">
      <c r="A226" s="207" t="s">
        <v>393</v>
      </c>
      <c r="B226" s="198" t="s">
        <v>13</v>
      </c>
      <c r="C226" s="153" t="s">
        <v>698</v>
      </c>
      <c r="D226" s="154" t="s">
        <v>32</v>
      </c>
      <c r="E226" s="206"/>
      <c r="F226" s="183">
        <v>5</v>
      </c>
      <c r="G226" s="183">
        <v>4</v>
      </c>
      <c r="H226" s="183">
        <v>3</v>
      </c>
      <c r="I226" s="183">
        <v>4</v>
      </c>
      <c r="J226" s="183">
        <v>5</v>
      </c>
      <c r="K226" s="206"/>
      <c r="L226" s="183">
        <v>5</v>
      </c>
      <c r="M226" s="206"/>
      <c r="N226" s="183">
        <v>3</v>
      </c>
      <c r="O226" s="183">
        <v>3</v>
      </c>
      <c r="P226" s="206"/>
      <c r="Q226" s="183">
        <v>3</v>
      </c>
      <c r="R226" s="183" t="s">
        <v>311</v>
      </c>
      <c r="S226" s="183" t="s">
        <v>311</v>
      </c>
      <c r="T226" s="183" t="s">
        <v>311</v>
      </c>
      <c r="U226" s="206"/>
      <c r="V226" s="183" t="s">
        <v>311</v>
      </c>
      <c r="W226" s="206"/>
      <c r="X226" s="183">
        <v>3</v>
      </c>
      <c r="Y226" s="206"/>
      <c r="Z226" s="183">
        <v>3</v>
      </c>
      <c r="AA226" s="183">
        <v>3</v>
      </c>
      <c r="AB226" s="183">
        <v>3</v>
      </c>
      <c r="AC226" s="206"/>
      <c r="AD226" s="183">
        <v>3</v>
      </c>
      <c r="AE226" s="183">
        <v>3</v>
      </c>
      <c r="AF226" s="206"/>
      <c r="AG226" s="183" t="s">
        <v>311</v>
      </c>
    </row>
    <row r="227" spans="1:33" ht="12.75" customHeight="1" x14ac:dyDescent="0.25">
      <c r="A227" s="207" t="s">
        <v>393</v>
      </c>
      <c r="B227" s="198" t="s">
        <v>14</v>
      </c>
      <c r="C227" s="153" t="s">
        <v>699</v>
      </c>
      <c r="D227" s="154" t="s">
        <v>32</v>
      </c>
      <c r="E227" s="206"/>
      <c r="F227" s="183">
        <v>3</v>
      </c>
      <c r="G227" s="183">
        <v>3</v>
      </c>
      <c r="H227" s="183">
        <v>3</v>
      </c>
      <c r="I227" s="183">
        <v>3</v>
      </c>
      <c r="J227" s="183">
        <v>3</v>
      </c>
      <c r="K227" s="206"/>
      <c r="L227" s="183">
        <v>3</v>
      </c>
      <c r="M227" s="206"/>
      <c r="N227" s="183">
        <v>3</v>
      </c>
      <c r="O227" s="183">
        <v>3</v>
      </c>
      <c r="P227" s="206"/>
      <c r="Q227" s="183">
        <v>3</v>
      </c>
      <c r="R227" s="183" t="s">
        <v>311</v>
      </c>
      <c r="S227" s="183" t="s">
        <v>311</v>
      </c>
      <c r="T227" s="183" t="s">
        <v>311</v>
      </c>
      <c r="U227" s="206"/>
      <c r="V227" s="183" t="s">
        <v>311</v>
      </c>
      <c r="W227" s="206"/>
      <c r="X227" s="183">
        <v>3</v>
      </c>
      <c r="Y227" s="206"/>
      <c r="Z227" s="183">
        <v>3</v>
      </c>
      <c r="AA227" s="183">
        <v>3</v>
      </c>
      <c r="AB227" s="183">
        <v>3</v>
      </c>
      <c r="AC227" s="206"/>
      <c r="AD227" s="183">
        <v>3</v>
      </c>
      <c r="AE227" s="183">
        <v>3</v>
      </c>
      <c r="AF227" s="206"/>
      <c r="AG227" s="183" t="s">
        <v>311</v>
      </c>
    </row>
    <row r="228" spans="1:33" ht="12.75" customHeight="1" x14ac:dyDescent="0.25">
      <c r="A228" s="207" t="s">
        <v>393</v>
      </c>
      <c r="B228" s="198" t="s">
        <v>15</v>
      </c>
      <c r="C228" s="153" t="s">
        <v>700</v>
      </c>
      <c r="D228" s="154" t="s">
        <v>32</v>
      </c>
      <c r="E228" s="206"/>
      <c r="F228" s="183">
        <v>5</v>
      </c>
      <c r="G228" s="183">
        <v>3</v>
      </c>
      <c r="H228" s="183">
        <v>3</v>
      </c>
      <c r="I228" s="183">
        <v>3</v>
      </c>
      <c r="J228" s="183">
        <v>3</v>
      </c>
      <c r="K228" s="206"/>
      <c r="L228" s="183">
        <v>3</v>
      </c>
      <c r="M228" s="206"/>
      <c r="N228" s="183">
        <v>3</v>
      </c>
      <c r="O228" s="183">
        <v>3</v>
      </c>
      <c r="P228" s="206"/>
      <c r="Q228" s="183">
        <v>3</v>
      </c>
      <c r="R228" s="183" t="s">
        <v>311</v>
      </c>
      <c r="S228" s="183" t="s">
        <v>311</v>
      </c>
      <c r="T228" s="183" t="s">
        <v>311</v>
      </c>
      <c r="U228" s="206"/>
      <c r="V228" s="183" t="s">
        <v>311</v>
      </c>
      <c r="W228" s="206"/>
      <c r="X228" s="183">
        <v>3</v>
      </c>
      <c r="Y228" s="206"/>
      <c r="Z228" s="183">
        <v>3</v>
      </c>
      <c r="AA228" s="183">
        <v>3</v>
      </c>
      <c r="AB228" s="183">
        <v>3</v>
      </c>
      <c r="AC228" s="206"/>
      <c r="AD228" s="183">
        <v>3</v>
      </c>
      <c r="AE228" s="183">
        <v>3</v>
      </c>
      <c r="AF228" s="206"/>
      <c r="AG228" s="183" t="s">
        <v>311</v>
      </c>
    </row>
    <row r="229" spans="1:33" ht="12.75" customHeight="1" x14ac:dyDescent="0.25">
      <c r="A229" s="207" t="s">
        <v>393</v>
      </c>
      <c r="B229" s="198" t="s">
        <v>16</v>
      </c>
      <c r="C229" s="153" t="s">
        <v>701</v>
      </c>
      <c r="D229" s="154" t="s">
        <v>32</v>
      </c>
      <c r="E229" s="206"/>
      <c r="F229" s="183">
        <v>3</v>
      </c>
      <c r="G229" s="183">
        <v>3</v>
      </c>
      <c r="H229" s="183">
        <v>4</v>
      </c>
      <c r="I229" s="183">
        <v>3</v>
      </c>
      <c r="J229" s="183">
        <v>3</v>
      </c>
      <c r="K229" s="206"/>
      <c r="L229" s="183">
        <v>3</v>
      </c>
      <c r="M229" s="206"/>
      <c r="N229" s="183">
        <v>3</v>
      </c>
      <c r="O229" s="183">
        <v>3</v>
      </c>
      <c r="P229" s="206"/>
      <c r="Q229" s="183">
        <v>3</v>
      </c>
      <c r="R229" s="183">
        <v>1</v>
      </c>
      <c r="S229" s="183" t="s">
        <v>311</v>
      </c>
      <c r="T229" s="183" t="s">
        <v>311</v>
      </c>
      <c r="U229" s="206"/>
      <c r="V229" s="183" t="s">
        <v>311</v>
      </c>
      <c r="W229" s="206"/>
      <c r="X229" s="183">
        <v>3</v>
      </c>
      <c r="Y229" s="206"/>
      <c r="Z229" s="183">
        <v>3</v>
      </c>
      <c r="AA229" s="183">
        <v>3</v>
      </c>
      <c r="AB229" s="183">
        <v>3</v>
      </c>
      <c r="AC229" s="206"/>
      <c r="AD229" s="183">
        <v>3</v>
      </c>
      <c r="AE229" s="183">
        <v>3</v>
      </c>
      <c r="AF229" s="206"/>
      <c r="AG229" s="183" t="s">
        <v>311</v>
      </c>
    </row>
    <row r="230" spans="1:33" ht="12.75" customHeight="1" x14ac:dyDescent="0.25">
      <c r="A230" s="207" t="s">
        <v>393</v>
      </c>
      <c r="B230" s="198" t="s">
        <v>17</v>
      </c>
      <c r="C230" s="153" t="s">
        <v>702</v>
      </c>
      <c r="D230" s="154" t="s">
        <v>32</v>
      </c>
      <c r="E230" s="206"/>
      <c r="F230" s="183">
        <v>4</v>
      </c>
      <c r="G230" s="183">
        <v>3</v>
      </c>
      <c r="H230" s="183">
        <v>3</v>
      </c>
      <c r="I230" s="183">
        <v>3</v>
      </c>
      <c r="J230" s="183">
        <v>3</v>
      </c>
      <c r="K230" s="206"/>
      <c r="L230" s="183">
        <v>4</v>
      </c>
      <c r="M230" s="206"/>
      <c r="N230" s="183">
        <v>3</v>
      </c>
      <c r="O230" s="183">
        <v>5</v>
      </c>
      <c r="P230" s="206"/>
      <c r="Q230" s="183">
        <v>3</v>
      </c>
      <c r="R230" s="183">
        <v>1</v>
      </c>
      <c r="S230" s="183" t="s">
        <v>311</v>
      </c>
      <c r="T230" s="183" t="s">
        <v>311</v>
      </c>
      <c r="U230" s="206"/>
      <c r="V230" s="183" t="s">
        <v>311</v>
      </c>
      <c r="W230" s="206"/>
      <c r="X230" s="183">
        <v>3</v>
      </c>
      <c r="Y230" s="206"/>
      <c r="Z230" s="183">
        <v>3</v>
      </c>
      <c r="AA230" s="183">
        <v>3</v>
      </c>
      <c r="AB230" s="183">
        <v>3</v>
      </c>
      <c r="AC230" s="206"/>
      <c r="AD230" s="183">
        <v>3</v>
      </c>
      <c r="AE230" s="183">
        <v>3</v>
      </c>
      <c r="AF230" s="206"/>
      <c r="AG230" s="183" t="s">
        <v>311</v>
      </c>
    </row>
    <row r="231" spans="1:33" ht="12.75" customHeight="1" x14ac:dyDescent="0.25">
      <c r="A231" s="207">
        <f>'[2]Questionnaire Responses'!A232</f>
        <v>0</v>
      </c>
      <c r="B231" s="198">
        <f>'[2]Questionnaire Responses'!B232</f>
        <v>0</v>
      </c>
      <c r="C231" s="153">
        <f>'[2]Questionnaire Responses'!C232</f>
        <v>0</v>
      </c>
      <c r="D231" s="208"/>
      <c r="E231" s="206"/>
      <c r="F231" s="183" t="str">
        <f t="array" ref="F231">IF(Table133[[#This Row],[Survey?]]="","",IFERROR(INDEX([2]Rubric!$G$3:$G$94,MATCH(1,([2]Rubric!$E$3:$E$94=F$2)*([2]Rubric!$F$3:$F$94='[2]Questionnaire Responses'!F232),0)),"MISSING"))</f>
        <v/>
      </c>
      <c r="G231" s="183" t="str">
        <f t="array" ref="G231">IF(Table133[[#This Row],[Survey?]]="","",IFERROR(INDEX([2]Rubric!$G$3:$G$94,MATCH(1,([2]Rubric!$E$3:$E$94=G$2)*([2]Rubric!$F$3:$F$94='[2]Questionnaire Responses'!G232),0)),"MISSING"))</f>
        <v/>
      </c>
      <c r="H231" s="183" t="str">
        <f t="array" ref="H231">IF(Table133[[#This Row],[Survey?]]="","",IFERROR(INDEX([2]Rubric!$G$3:$G$94,MATCH(1,([2]Rubric!$E$3:$E$94=H$2)*([2]Rubric!$F$3:$F$94='[2]Questionnaire Responses'!H232),0)),"MISSING"))</f>
        <v/>
      </c>
      <c r="I231" s="183" t="str">
        <f t="array" ref="I231">IF(Table133[[#This Row],[Survey?]]="","",IFERROR(INDEX([2]Rubric!$G$3:$G$94,MATCH(1,([2]Rubric!$E$3:$E$94=I$2)*([2]Rubric!$F$3:$F$94='[2]Questionnaire Responses'!I232),0)),"MISSING"))</f>
        <v/>
      </c>
      <c r="J231" s="183" t="str">
        <f t="array" ref="J231">IF(Table133[[#This Row],[Survey?]]="","",IFERROR(INDEX([2]Rubric!$G$3:$G$94,MATCH(1,([2]Rubric!$E$3:$E$94=J$2)*([2]Rubric!$F$3:$F$94='[2]Questionnaire Responses'!J232),0)),"MISSING"))</f>
        <v/>
      </c>
      <c r="K231" s="206"/>
      <c r="L231" s="183" t="str">
        <f t="array" ref="L231">IF(Table133[[#This Row],[Survey?]]="","",IFERROR(INDEX([2]Rubric!$G$3:$G$94,MATCH(1,([2]Rubric!$E$3:$E$94=L$2)*([2]Rubric!$F$3:$F$94='[2]Questionnaire Responses'!L232),0)),"MISSING"))</f>
        <v/>
      </c>
      <c r="M231" s="206"/>
      <c r="N231" s="183" t="str">
        <f t="array" ref="N231">IF(Table133[[#This Row],[Survey?]]="","",IFERROR(INDEX([2]Rubric!$G$3:$G$94,MATCH(1,([2]Rubric!$E$3:$E$94=N$2)*([2]Rubric!$F$3:$F$94='[2]Questionnaire Responses'!N232),0)),"MISSING"))</f>
        <v/>
      </c>
      <c r="O231" s="183" t="str">
        <f t="array" ref="O231">IF(Table133[[#This Row],[Survey?]]="","",IFERROR(INDEX([2]Rubric!$G$3:$G$94,MATCH(1,([2]Rubric!$E$3:$E$94=O$2)*([2]Rubric!$F$3:$F$94='[2]Questionnaire Responses'!O232),0)),"MISSING"))</f>
        <v/>
      </c>
      <c r="P231" s="206"/>
      <c r="Q231" s="183" t="str">
        <f t="array" ref="Q231">IF(Table133[[#This Row],[Survey?]]="","",IFERROR(INDEX([2]Rubric!$G$3:$G$94,MATCH(1,([2]Rubric!$E$3:$E$94=Q$2)*([2]Rubric!$F$3:$F$94='[2]Questionnaire Responses'!Q232),0)),"MISSING"))</f>
        <v/>
      </c>
      <c r="R231" s="183" t="str">
        <f t="array" ref="R231">IF(Table133[[#This Row],[Survey?]]="","",IFERROR(INDEX([2]Rubric!$G$3:$G$94,MATCH(1,([2]Rubric!$E$3:$E$94=R$2)*([2]Rubric!$F$3:$F$94='[2]Questionnaire Responses'!R232),0)),"MISSING"))</f>
        <v/>
      </c>
      <c r="S231" s="183" t="str">
        <f t="array" ref="S231">IF(Table133[[#This Row],[Survey?]]="","",IFERROR(INDEX([2]Rubric!$G$3:$G$94,MATCH(1,([2]Rubric!$E$3:$E$94=S$2)*([2]Rubric!$F$3:$F$94='[2]Questionnaire Responses'!S232),0)),"MISSING"))</f>
        <v/>
      </c>
      <c r="T231" s="183" t="str">
        <f t="array" ref="T231">IF(Table133[[#This Row],[Survey?]]="","",IFERROR(INDEX([2]Rubric!$G$3:$G$94,MATCH(1,([2]Rubric!$E$3:$E$94=T$2)*([2]Rubric!$F$3:$F$94='[2]Questionnaire Responses'!T232),0)),"MISSING"))</f>
        <v/>
      </c>
      <c r="U231" s="206"/>
      <c r="V231" s="183" t="str">
        <f t="array" ref="V231">IF(Table133[[#This Row],[Survey?]]="","",IFERROR(INDEX([2]Rubric!$G$3:$G$94,MATCH(1,([2]Rubric!$E$3:$E$94=V$2)*([2]Rubric!$F$3:$F$94='[2]Questionnaire Responses'!V232),0)),"MISSING"))</f>
        <v/>
      </c>
      <c r="W231" s="206"/>
      <c r="X231" s="183" t="str">
        <f t="array" ref="X231">IF(Table133[[#This Row],[Survey?]]="","",IFERROR(INDEX([2]Rubric!$G$3:$G$94,MATCH(1,([2]Rubric!$E$3:$E$94=X$2)*([2]Rubric!$F$3:$F$94='[2]Questionnaire Responses'!X232),0)),"MISSING"))</f>
        <v/>
      </c>
      <c r="Y231" s="206"/>
      <c r="Z231" s="183" t="str">
        <f t="array" ref="Z231">IF(Table133[[#This Row],[Survey?]]="","",IFERROR(INDEX([2]Rubric!$G$3:$G$94,MATCH(1,([2]Rubric!$E$3:$E$94=Z$2)*([2]Rubric!$F$3:$F$94='[2]Questionnaire Responses'!Z232),0)),"MISSING"))</f>
        <v/>
      </c>
      <c r="AA231" s="183" t="str">
        <f t="array" ref="AA231">IF(Table133[[#This Row],[Survey?]]="","",IFERROR(INDEX([2]Rubric!$G$3:$G$94,MATCH(1,([2]Rubric!$E$3:$E$94=AA$2)*([2]Rubric!$F$3:$F$94='[2]Questionnaire Responses'!AA232),0)),"MISSING"))</f>
        <v/>
      </c>
      <c r="AB231" s="183" t="str">
        <f t="array" ref="AB231">IF(Table133[[#This Row],[Survey?]]="","",IFERROR(INDEX([2]Rubric!$G$3:$G$94,MATCH(1,([2]Rubric!$E$3:$E$94=AB$2)*([2]Rubric!$F$3:$F$94='[2]Questionnaire Responses'!AB232),0)),"MISSING"))</f>
        <v/>
      </c>
      <c r="AC231" s="206"/>
      <c r="AD231" s="183" t="str">
        <f t="array" ref="AD231">IF(Table133[[#This Row],[Survey?]]="","",IFERROR(INDEX([2]Rubric!$G$3:$G$94,MATCH(1,([2]Rubric!$E$3:$E$94=AD$2)*([2]Rubric!$F$3:$F$94='[2]Questionnaire Responses'!AD232),0)),"MISSING"))</f>
        <v/>
      </c>
      <c r="AE231" s="183" t="str">
        <f t="array" ref="AE231">IF(Table133[[#This Row],[Survey?]]="","",IFERROR(INDEX([2]Rubric!$G$3:$G$94,MATCH(1,([2]Rubric!$E$3:$E$94=AE$2)*([2]Rubric!$F$3:$F$94='[2]Questionnaire Responses'!AE232),0)),"MISSING"))</f>
        <v/>
      </c>
      <c r="AF231" s="206"/>
      <c r="AG231" s="183" t="str">
        <f t="array" ref="AG231">IF(Table133[[#This Row],[Survey?]]="","",IFERROR(INDEX([2]Rubric!$G$3:$G$94,MATCH(1,([2]Rubric!$E$3:$E$94=AG$2)*([2]Rubric!$F$3:$F$94='[2]Questionnaire Responses'!AG232),0)),"MISSING"))</f>
        <v/>
      </c>
    </row>
    <row r="232" spans="1:33" ht="12.75" customHeight="1" x14ac:dyDescent="0.25">
      <c r="A232" s="207">
        <f>'[2]Questionnaire Responses'!A233</f>
        <v>0</v>
      </c>
      <c r="B232" s="198">
        <f>'[2]Questionnaire Responses'!B233</f>
        <v>0</v>
      </c>
      <c r="C232" s="153">
        <f>'[2]Questionnaire Responses'!C233</f>
        <v>0</v>
      </c>
      <c r="D232" s="208"/>
      <c r="E232" s="206"/>
      <c r="F232" s="183" t="str">
        <f t="array" ref="F232">IF(Table133[[#This Row],[Survey?]]="","",IFERROR(INDEX([2]Rubric!$G$3:$G$94,MATCH(1,([2]Rubric!$E$3:$E$94=F$2)*([2]Rubric!$F$3:$F$94='[2]Questionnaire Responses'!F233),0)),"MISSING"))</f>
        <v/>
      </c>
      <c r="G232" s="183" t="str">
        <f t="array" ref="G232">IF(Table133[[#This Row],[Survey?]]="","",IFERROR(INDEX([2]Rubric!$G$3:$G$94,MATCH(1,([2]Rubric!$E$3:$E$94=G$2)*([2]Rubric!$F$3:$F$94='[2]Questionnaire Responses'!G233),0)),"MISSING"))</f>
        <v/>
      </c>
      <c r="H232" s="183" t="str">
        <f t="array" ref="H232">IF(Table133[[#This Row],[Survey?]]="","",IFERROR(INDEX([2]Rubric!$G$3:$G$94,MATCH(1,([2]Rubric!$E$3:$E$94=H$2)*([2]Rubric!$F$3:$F$94='[2]Questionnaire Responses'!H233),0)),"MISSING"))</f>
        <v/>
      </c>
      <c r="I232" s="183" t="str">
        <f t="array" ref="I232">IF(Table133[[#This Row],[Survey?]]="","",IFERROR(INDEX([2]Rubric!$G$3:$G$94,MATCH(1,([2]Rubric!$E$3:$E$94=I$2)*([2]Rubric!$F$3:$F$94='[2]Questionnaire Responses'!I233),0)),"MISSING"))</f>
        <v/>
      </c>
      <c r="J232" s="183" t="str">
        <f t="array" ref="J232">IF(Table133[[#This Row],[Survey?]]="","",IFERROR(INDEX([2]Rubric!$G$3:$G$94,MATCH(1,([2]Rubric!$E$3:$E$94=J$2)*([2]Rubric!$F$3:$F$94='[2]Questionnaire Responses'!J233),0)),"MISSING"))</f>
        <v/>
      </c>
      <c r="K232" s="206"/>
      <c r="L232" s="183" t="str">
        <f t="array" ref="L232">IF(Table133[[#This Row],[Survey?]]="","",IFERROR(INDEX([2]Rubric!$G$3:$G$94,MATCH(1,([2]Rubric!$E$3:$E$94=L$2)*([2]Rubric!$F$3:$F$94='[2]Questionnaire Responses'!L233),0)),"MISSING"))</f>
        <v/>
      </c>
      <c r="M232" s="206"/>
      <c r="N232" s="183" t="str">
        <f t="array" ref="N232">IF(Table133[[#This Row],[Survey?]]="","",IFERROR(INDEX([2]Rubric!$G$3:$G$94,MATCH(1,([2]Rubric!$E$3:$E$94=N$2)*([2]Rubric!$F$3:$F$94='[2]Questionnaire Responses'!N233),0)),"MISSING"))</f>
        <v/>
      </c>
      <c r="O232" s="183" t="str">
        <f t="array" ref="O232">IF(Table133[[#This Row],[Survey?]]="","",IFERROR(INDEX([2]Rubric!$G$3:$G$94,MATCH(1,([2]Rubric!$E$3:$E$94=O$2)*([2]Rubric!$F$3:$F$94='[2]Questionnaire Responses'!O233),0)),"MISSING"))</f>
        <v/>
      </c>
      <c r="P232" s="206"/>
      <c r="Q232" s="183" t="str">
        <f t="array" ref="Q232">IF(Table133[[#This Row],[Survey?]]="","",IFERROR(INDEX([2]Rubric!$G$3:$G$94,MATCH(1,([2]Rubric!$E$3:$E$94=Q$2)*([2]Rubric!$F$3:$F$94='[2]Questionnaire Responses'!Q233),0)),"MISSING"))</f>
        <v/>
      </c>
      <c r="R232" s="183" t="str">
        <f t="array" ref="R232">IF(Table133[[#This Row],[Survey?]]="","",IFERROR(INDEX([2]Rubric!$G$3:$G$94,MATCH(1,([2]Rubric!$E$3:$E$94=R$2)*([2]Rubric!$F$3:$F$94='[2]Questionnaire Responses'!R233),0)),"MISSING"))</f>
        <v/>
      </c>
      <c r="S232" s="183" t="str">
        <f t="array" ref="S232">IF(Table133[[#This Row],[Survey?]]="","",IFERROR(INDEX([2]Rubric!$G$3:$G$94,MATCH(1,([2]Rubric!$E$3:$E$94=S$2)*([2]Rubric!$F$3:$F$94='[2]Questionnaire Responses'!S233),0)),"MISSING"))</f>
        <v/>
      </c>
      <c r="T232" s="183" t="str">
        <f t="array" ref="T232">IF(Table133[[#This Row],[Survey?]]="","",IFERROR(INDEX([2]Rubric!$G$3:$G$94,MATCH(1,([2]Rubric!$E$3:$E$94=T$2)*([2]Rubric!$F$3:$F$94='[2]Questionnaire Responses'!T233),0)),"MISSING"))</f>
        <v/>
      </c>
      <c r="U232" s="206"/>
      <c r="V232" s="183" t="str">
        <f t="array" ref="V232">IF(Table133[[#This Row],[Survey?]]="","",IFERROR(INDEX([2]Rubric!$G$3:$G$94,MATCH(1,([2]Rubric!$E$3:$E$94=V$2)*([2]Rubric!$F$3:$F$94='[2]Questionnaire Responses'!V233),0)),"MISSING"))</f>
        <v/>
      </c>
      <c r="W232" s="206"/>
      <c r="X232" s="183" t="str">
        <f t="array" ref="X232">IF(Table133[[#This Row],[Survey?]]="","",IFERROR(INDEX([2]Rubric!$G$3:$G$94,MATCH(1,([2]Rubric!$E$3:$E$94=X$2)*([2]Rubric!$F$3:$F$94='[2]Questionnaire Responses'!X233),0)),"MISSING"))</f>
        <v/>
      </c>
      <c r="Y232" s="206"/>
      <c r="Z232" s="183" t="str">
        <f t="array" ref="Z232">IF(Table133[[#This Row],[Survey?]]="","",IFERROR(INDEX([2]Rubric!$G$3:$G$94,MATCH(1,([2]Rubric!$E$3:$E$94=Z$2)*([2]Rubric!$F$3:$F$94='[2]Questionnaire Responses'!Z233),0)),"MISSING"))</f>
        <v/>
      </c>
      <c r="AA232" s="183" t="str">
        <f t="array" ref="AA232">IF(Table133[[#This Row],[Survey?]]="","",IFERROR(INDEX([2]Rubric!$G$3:$G$94,MATCH(1,([2]Rubric!$E$3:$E$94=AA$2)*([2]Rubric!$F$3:$F$94='[2]Questionnaire Responses'!AA233),0)),"MISSING"))</f>
        <v/>
      </c>
      <c r="AB232" s="183" t="str">
        <f t="array" ref="AB232">IF(Table133[[#This Row],[Survey?]]="","",IFERROR(INDEX([2]Rubric!$G$3:$G$94,MATCH(1,([2]Rubric!$E$3:$E$94=AB$2)*([2]Rubric!$F$3:$F$94='[2]Questionnaire Responses'!AB233),0)),"MISSING"))</f>
        <v/>
      </c>
      <c r="AC232" s="206"/>
      <c r="AD232" s="183" t="str">
        <f t="array" ref="AD232">IF(Table133[[#This Row],[Survey?]]="","",IFERROR(INDEX([2]Rubric!$G$3:$G$94,MATCH(1,([2]Rubric!$E$3:$E$94=AD$2)*([2]Rubric!$F$3:$F$94='[2]Questionnaire Responses'!AD233),0)),"MISSING"))</f>
        <v/>
      </c>
      <c r="AE232" s="183" t="str">
        <f t="array" ref="AE232">IF(Table133[[#This Row],[Survey?]]="","",IFERROR(INDEX([2]Rubric!$G$3:$G$94,MATCH(1,([2]Rubric!$E$3:$E$94=AE$2)*([2]Rubric!$F$3:$F$94='[2]Questionnaire Responses'!AE233),0)),"MISSING"))</f>
        <v/>
      </c>
      <c r="AF232" s="206"/>
      <c r="AG232" s="183" t="str">
        <f t="array" ref="AG232">IF(Table133[[#This Row],[Survey?]]="","",IFERROR(INDEX([2]Rubric!$G$3:$G$94,MATCH(1,([2]Rubric!$E$3:$E$94=AG$2)*([2]Rubric!$F$3:$F$94='[2]Questionnaire Responses'!AG233),0)),"MISSING"))</f>
        <v/>
      </c>
    </row>
    <row r="233" spans="1:33" ht="12.75" customHeight="1" x14ac:dyDescent="0.25">
      <c r="A233" s="207">
        <f>'[2]Questionnaire Responses'!A234</f>
        <v>0</v>
      </c>
      <c r="B233" s="198">
        <f>'[2]Questionnaire Responses'!B234</f>
        <v>0</v>
      </c>
      <c r="C233" s="153">
        <f>'[2]Questionnaire Responses'!C234</f>
        <v>0</v>
      </c>
      <c r="D233" s="208"/>
      <c r="E233" s="206"/>
      <c r="F233" s="183" t="str">
        <f t="array" ref="F233">IF(Table133[[#This Row],[Survey?]]="","",IFERROR(INDEX([2]Rubric!$G$3:$G$94,MATCH(1,([2]Rubric!$E$3:$E$94=F$2)*([2]Rubric!$F$3:$F$94='[2]Questionnaire Responses'!F234),0)),"MISSING"))</f>
        <v/>
      </c>
      <c r="G233" s="183" t="str">
        <f t="array" ref="G233">IF(Table133[[#This Row],[Survey?]]="","",IFERROR(INDEX([2]Rubric!$G$3:$G$94,MATCH(1,([2]Rubric!$E$3:$E$94=G$2)*([2]Rubric!$F$3:$F$94='[2]Questionnaire Responses'!G234),0)),"MISSING"))</f>
        <v/>
      </c>
      <c r="H233" s="183" t="str">
        <f t="array" ref="H233">IF(Table133[[#This Row],[Survey?]]="","",IFERROR(INDEX([2]Rubric!$G$3:$G$94,MATCH(1,([2]Rubric!$E$3:$E$94=H$2)*([2]Rubric!$F$3:$F$94='[2]Questionnaire Responses'!H234),0)),"MISSING"))</f>
        <v/>
      </c>
      <c r="I233" s="183" t="str">
        <f t="array" ref="I233">IF(Table133[[#This Row],[Survey?]]="","",IFERROR(INDEX([2]Rubric!$G$3:$G$94,MATCH(1,([2]Rubric!$E$3:$E$94=I$2)*([2]Rubric!$F$3:$F$94='[2]Questionnaire Responses'!I234),0)),"MISSING"))</f>
        <v/>
      </c>
      <c r="J233" s="183" t="str">
        <f t="array" ref="J233">IF(Table133[[#This Row],[Survey?]]="","",IFERROR(INDEX([2]Rubric!$G$3:$G$94,MATCH(1,([2]Rubric!$E$3:$E$94=J$2)*([2]Rubric!$F$3:$F$94='[2]Questionnaire Responses'!J234),0)),"MISSING"))</f>
        <v/>
      </c>
      <c r="K233" s="206"/>
      <c r="L233" s="183" t="str">
        <f t="array" ref="L233">IF(Table133[[#This Row],[Survey?]]="","",IFERROR(INDEX([2]Rubric!$G$3:$G$94,MATCH(1,([2]Rubric!$E$3:$E$94=L$2)*([2]Rubric!$F$3:$F$94='[2]Questionnaire Responses'!L234),0)),"MISSING"))</f>
        <v/>
      </c>
      <c r="M233" s="206"/>
      <c r="N233" s="183" t="str">
        <f t="array" ref="N233">IF(Table133[[#This Row],[Survey?]]="","",IFERROR(INDEX([2]Rubric!$G$3:$G$94,MATCH(1,([2]Rubric!$E$3:$E$94=N$2)*([2]Rubric!$F$3:$F$94='[2]Questionnaire Responses'!N234),0)),"MISSING"))</f>
        <v/>
      </c>
      <c r="O233" s="183" t="str">
        <f t="array" ref="O233">IF(Table133[[#This Row],[Survey?]]="","",IFERROR(INDEX([2]Rubric!$G$3:$G$94,MATCH(1,([2]Rubric!$E$3:$E$94=O$2)*([2]Rubric!$F$3:$F$94='[2]Questionnaire Responses'!O234),0)),"MISSING"))</f>
        <v/>
      </c>
      <c r="P233" s="206"/>
      <c r="Q233" s="183" t="str">
        <f t="array" ref="Q233">IF(Table133[[#This Row],[Survey?]]="","",IFERROR(INDEX([2]Rubric!$G$3:$G$94,MATCH(1,([2]Rubric!$E$3:$E$94=Q$2)*([2]Rubric!$F$3:$F$94='[2]Questionnaire Responses'!Q234),0)),"MISSING"))</f>
        <v/>
      </c>
      <c r="R233" s="183" t="str">
        <f t="array" ref="R233">IF(Table133[[#This Row],[Survey?]]="","",IFERROR(INDEX([2]Rubric!$G$3:$G$94,MATCH(1,([2]Rubric!$E$3:$E$94=R$2)*([2]Rubric!$F$3:$F$94='[2]Questionnaire Responses'!R234),0)),"MISSING"))</f>
        <v/>
      </c>
      <c r="S233" s="183" t="str">
        <f t="array" ref="S233">IF(Table133[[#This Row],[Survey?]]="","",IFERROR(INDEX([2]Rubric!$G$3:$G$94,MATCH(1,([2]Rubric!$E$3:$E$94=S$2)*([2]Rubric!$F$3:$F$94='[2]Questionnaire Responses'!S234),0)),"MISSING"))</f>
        <v/>
      </c>
      <c r="T233" s="183" t="str">
        <f t="array" ref="T233">IF(Table133[[#This Row],[Survey?]]="","",IFERROR(INDEX([2]Rubric!$G$3:$G$94,MATCH(1,([2]Rubric!$E$3:$E$94=T$2)*([2]Rubric!$F$3:$F$94='[2]Questionnaire Responses'!T234),0)),"MISSING"))</f>
        <v/>
      </c>
      <c r="U233" s="206"/>
      <c r="V233" s="183" t="str">
        <f t="array" ref="V233">IF(Table133[[#This Row],[Survey?]]="","",IFERROR(INDEX([2]Rubric!$G$3:$G$94,MATCH(1,([2]Rubric!$E$3:$E$94=V$2)*([2]Rubric!$F$3:$F$94='[2]Questionnaire Responses'!V234),0)),"MISSING"))</f>
        <v/>
      </c>
      <c r="W233" s="206"/>
      <c r="X233" s="183" t="str">
        <f t="array" ref="X233">IF(Table133[[#This Row],[Survey?]]="","",IFERROR(INDEX([2]Rubric!$G$3:$G$94,MATCH(1,([2]Rubric!$E$3:$E$94=X$2)*([2]Rubric!$F$3:$F$94='[2]Questionnaire Responses'!X234),0)),"MISSING"))</f>
        <v/>
      </c>
      <c r="Y233" s="206"/>
      <c r="Z233" s="183" t="str">
        <f t="array" ref="Z233">IF(Table133[[#This Row],[Survey?]]="","",IFERROR(INDEX([2]Rubric!$G$3:$G$94,MATCH(1,([2]Rubric!$E$3:$E$94=Z$2)*([2]Rubric!$F$3:$F$94='[2]Questionnaire Responses'!Z234),0)),"MISSING"))</f>
        <v/>
      </c>
      <c r="AA233" s="183" t="str">
        <f t="array" ref="AA233">IF(Table133[[#This Row],[Survey?]]="","",IFERROR(INDEX([2]Rubric!$G$3:$G$94,MATCH(1,([2]Rubric!$E$3:$E$94=AA$2)*([2]Rubric!$F$3:$F$94='[2]Questionnaire Responses'!AA234),0)),"MISSING"))</f>
        <v/>
      </c>
      <c r="AB233" s="183" t="str">
        <f t="array" ref="AB233">IF(Table133[[#This Row],[Survey?]]="","",IFERROR(INDEX([2]Rubric!$G$3:$G$94,MATCH(1,([2]Rubric!$E$3:$E$94=AB$2)*([2]Rubric!$F$3:$F$94='[2]Questionnaire Responses'!AB234),0)),"MISSING"))</f>
        <v/>
      </c>
      <c r="AC233" s="206"/>
      <c r="AD233" s="183" t="str">
        <f t="array" ref="AD233">IF(Table133[[#This Row],[Survey?]]="","",IFERROR(INDEX([2]Rubric!$G$3:$G$94,MATCH(1,([2]Rubric!$E$3:$E$94=AD$2)*([2]Rubric!$F$3:$F$94='[2]Questionnaire Responses'!AD234),0)),"MISSING"))</f>
        <v/>
      </c>
      <c r="AE233" s="183" t="str">
        <f t="array" ref="AE233">IF(Table133[[#This Row],[Survey?]]="","",IFERROR(INDEX([2]Rubric!$G$3:$G$94,MATCH(1,([2]Rubric!$E$3:$E$94=AE$2)*([2]Rubric!$F$3:$F$94='[2]Questionnaire Responses'!AE234),0)),"MISSING"))</f>
        <v/>
      </c>
      <c r="AF233" s="206"/>
      <c r="AG233" s="183" t="str">
        <f t="array" ref="AG233">IF(Table133[[#This Row],[Survey?]]="","",IFERROR(INDEX([2]Rubric!$G$3:$G$94,MATCH(1,([2]Rubric!$E$3:$E$94=AG$2)*([2]Rubric!$F$3:$F$94='[2]Questionnaire Responses'!AG234),0)),"MISSING"))</f>
        <v/>
      </c>
    </row>
    <row r="234" spans="1:33" ht="12.75" customHeight="1" x14ac:dyDescent="0.25">
      <c r="A234" s="207">
        <f>'[2]Questionnaire Responses'!A235</f>
        <v>0</v>
      </c>
      <c r="B234" s="198">
        <f>'[2]Questionnaire Responses'!B235</f>
        <v>0</v>
      </c>
      <c r="C234" s="153">
        <f>'[2]Questionnaire Responses'!C235</f>
        <v>0</v>
      </c>
      <c r="D234" s="208"/>
      <c r="E234" s="206"/>
      <c r="F234" s="183" t="str">
        <f t="array" ref="F234">IF(Table133[[#This Row],[Survey?]]="","",IFERROR(INDEX([2]Rubric!$G$3:$G$94,MATCH(1,([2]Rubric!$E$3:$E$94=F$2)*([2]Rubric!$F$3:$F$94='[2]Questionnaire Responses'!F235),0)),"MISSING"))</f>
        <v/>
      </c>
      <c r="G234" s="183" t="str">
        <f t="array" ref="G234">IF(Table133[[#This Row],[Survey?]]="","",IFERROR(INDEX([2]Rubric!$G$3:$G$94,MATCH(1,([2]Rubric!$E$3:$E$94=G$2)*([2]Rubric!$F$3:$F$94='[2]Questionnaire Responses'!G235),0)),"MISSING"))</f>
        <v/>
      </c>
      <c r="H234" s="183" t="str">
        <f t="array" ref="H234">IF(Table133[[#This Row],[Survey?]]="","",IFERROR(INDEX([2]Rubric!$G$3:$G$94,MATCH(1,([2]Rubric!$E$3:$E$94=H$2)*([2]Rubric!$F$3:$F$94='[2]Questionnaire Responses'!H235),0)),"MISSING"))</f>
        <v/>
      </c>
      <c r="I234" s="183" t="str">
        <f t="array" ref="I234">IF(Table133[[#This Row],[Survey?]]="","",IFERROR(INDEX([2]Rubric!$G$3:$G$94,MATCH(1,([2]Rubric!$E$3:$E$94=I$2)*([2]Rubric!$F$3:$F$94='[2]Questionnaire Responses'!I235),0)),"MISSING"))</f>
        <v/>
      </c>
      <c r="J234" s="183" t="str">
        <f t="array" ref="J234">IF(Table133[[#This Row],[Survey?]]="","",IFERROR(INDEX([2]Rubric!$G$3:$G$94,MATCH(1,([2]Rubric!$E$3:$E$94=J$2)*([2]Rubric!$F$3:$F$94='[2]Questionnaire Responses'!J235),0)),"MISSING"))</f>
        <v/>
      </c>
      <c r="K234" s="206"/>
      <c r="L234" s="183" t="str">
        <f t="array" ref="L234">IF(Table133[[#This Row],[Survey?]]="","",IFERROR(INDEX([2]Rubric!$G$3:$G$94,MATCH(1,([2]Rubric!$E$3:$E$94=L$2)*([2]Rubric!$F$3:$F$94='[2]Questionnaire Responses'!L235),0)),"MISSING"))</f>
        <v/>
      </c>
      <c r="M234" s="206"/>
      <c r="N234" s="183" t="str">
        <f t="array" ref="N234">IF(Table133[[#This Row],[Survey?]]="","",IFERROR(INDEX([2]Rubric!$G$3:$G$94,MATCH(1,([2]Rubric!$E$3:$E$94=N$2)*([2]Rubric!$F$3:$F$94='[2]Questionnaire Responses'!N235),0)),"MISSING"))</f>
        <v/>
      </c>
      <c r="O234" s="183" t="str">
        <f t="array" ref="O234">IF(Table133[[#This Row],[Survey?]]="","",IFERROR(INDEX([2]Rubric!$G$3:$G$94,MATCH(1,([2]Rubric!$E$3:$E$94=O$2)*([2]Rubric!$F$3:$F$94='[2]Questionnaire Responses'!O235),0)),"MISSING"))</f>
        <v/>
      </c>
      <c r="P234" s="206"/>
      <c r="Q234" s="183" t="str">
        <f t="array" ref="Q234">IF(Table133[[#This Row],[Survey?]]="","",IFERROR(INDEX([2]Rubric!$G$3:$G$94,MATCH(1,([2]Rubric!$E$3:$E$94=Q$2)*([2]Rubric!$F$3:$F$94='[2]Questionnaire Responses'!Q235),0)),"MISSING"))</f>
        <v/>
      </c>
      <c r="R234" s="183" t="str">
        <f t="array" ref="R234">IF(Table133[[#This Row],[Survey?]]="","",IFERROR(INDEX([2]Rubric!$G$3:$G$94,MATCH(1,([2]Rubric!$E$3:$E$94=R$2)*([2]Rubric!$F$3:$F$94='[2]Questionnaire Responses'!R235),0)),"MISSING"))</f>
        <v/>
      </c>
      <c r="S234" s="183" t="str">
        <f t="array" ref="S234">IF(Table133[[#This Row],[Survey?]]="","",IFERROR(INDEX([2]Rubric!$G$3:$G$94,MATCH(1,([2]Rubric!$E$3:$E$94=S$2)*([2]Rubric!$F$3:$F$94='[2]Questionnaire Responses'!S235),0)),"MISSING"))</f>
        <v/>
      </c>
      <c r="T234" s="183" t="str">
        <f t="array" ref="T234">IF(Table133[[#This Row],[Survey?]]="","",IFERROR(INDEX([2]Rubric!$G$3:$G$94,MATCH(1,([2]Rubric!$E$3:$E$94=T$2)*([2]Rubric!$F$3:$F$94='[2]Questionnaire Responses'!T235),0)),"MISSING"))</f>
        <v/>
      </c>
      <c r="U234" s="206"/>
      <c r="V234" s="183" t="str">
        <f t="array" ref="V234">IF(Table133[[#This Row],[Survey?]]="","",IFERROR(INDEX([2]Rubric!$G$3:$G$94,MATCH(1,([2]Rubric!$E$3:$E$94=V$2)*([2]Rubric!$F$3:$F$94='[2]Questionnaire Responses'!V235),0)),"MISSING"))</f>
        <v/>
      </c>
      <c r="W234" s="206"/>
      <c r="X234" s="183" t="str">
        <f t="array" ref="X234">IF(Table133[[#This Row],[Survey?]]="","",IFERROR(INDEX([2]Rubric!$G$3:$G$94,MATCH(1,([2]Rubric!$E$3:$E$94=X$2)*([2]Rubric!$F$3:$F$94='[2]Questionnaire Responses'!X235),0)),"MISSING"))</f>
        <v/>
      </c>
      <c r="Y234" s="206"/>
      <c r="Z234" s="183" t="str">
        <f t="array" ref="Z234">IF(Table133[[#This Row],[Survey?]]="","",IFERROR(INDEX([2]Rubric!$G$3:$G$94,MATCH(1,([2]Rubric!$E$3:$E$94=Z$2)*([2]Rubric!$F$3:$F$94='[2]Questionnaire Responses'!Z235),0)),"MISSING"))</f>
        <v/>
      </c>
      <c r="AA234" s="183" t="str">
        <f t="array" ref="AA234">IF(Table133[[#This Row],[Survey?]]="","",IFERROR(INDEX([2]Rubric!$G$3:$G$94,MATCH(1,([2]Rubric!$E$3:$E$94=AA$2)*([2]Rubric!$F$3:$F$94='[2]Questionnaire Responses'!AA235),0)),"MISSING"))</f>
        <v/>
      </c>
      <c r="AB234" s="183" t="str">
        <f t="array" ref="AB234">IF(Table133[[#This Row],[Survey?]]="","",IFERROR(INDEX([2]Rubric!$G$3:$G$94,MATCH(1,([2]Rubric!$E$3:$E$94=AB$2)*([2]Rubric!$F$3:$F$94='[2]Questionnaire Responses'!AB235),0)),"MISSING"))</f>
        <v/>
      </c>
      <c r="AC234" s="206"/>
      <c r="AD234" s="183" t="str">
        <f t="array" ref="AD234">IF(Table133[[#This Row],[Survey?]]="","",IFERROR(INDEX([2]Rubric!$G$3:$G$94,MATCH(1,([2]Rubric!$E$3:$E$94=AD$2)*([2]Rubric!$F$3:$F$94='[2]Questionnaire Responses'!AD235),0)),"MISSING"))</f>
        <v/>
      </c>
      <c r="AE234" s="183" t="str">
        <f t="array" ref="AE234">IF(Table133[[#This Row],[Survey?]]="","",IFERROR(INDEX([2]Rubric!$G$3:$G$94,MATCH(1,([2]Rubric!$E$3:$E$94=AE$2)*([2]Rubric!$F$3:$F$94='[2]Questionnaire Responses'!AE235),0)),"MISSING"))</f>
        <v/>
      </c>
      <c r="AF234" s="206"/>
      <c r="AG234" s="183" t="str">
        <f t="array" ref="AG234">IF(Table133[[#This Row],[Survey?]]="","",IFERROR(INDEX([2]Rubric!$G$3:$G$94,MATCH(1,([2]Rubric!$E$3:$E$94=AG$2)*([2]Rubric!$F$3:$F$94='[2]Questionnaire Responses'!AG235),0)),"MISSING"))</f>
        <v/>
      </c>
    </row>
    <row r="235" spans="1:33" ht="12.75" customHeight="1" x14ac:dyDescent="0.25">
      <c r="A235" s="207">
        <f>'[2]Questionnaire Responses'!A236</f>
        <v>0</v>
      </c>
      <c r="B235" s="198">
        <f>'[2]Questionnaire Responses'!B236</f>
        <v>0</v>
      </c>
      <c r="C235" s="153">
        <f>'[2]Questionnaire Responses'!C236</f>
        <v>0</v>
      </c>
      <c r="D235" s="208"/>
      <c r="E235" s="206"/>
      <c r="F235" s="183" t="str">
        <f t="array" ref="F235">IF(Table133[[#This Row],[Survey?]]="","",IFERROR(INDEX([2]Rubric!$G$3:$G$94,MATCH(1,([2]Rubric!$E$3:$E$94=F$2)*([2]Rubric!$F$3:$F$94='[2]Questionnaire Responses'!F236),0)),"MISSING"))</f>
        <v/>
      </c>
      <c r="G235" s="183" t="str">
        <f t="array" ref="G235">IF(Table133[[#This Row],[Survey?]]="","",IFERROR(INDEX([2]Rubric!$G$3:$G$94,MATCH(1,([2]Rubric!$E$3:$E$94=G$2)*([2]Rubric!$F$3:$F$94='[2]Questionnaire Responses'!G236),0)),"MISSING"))</f>
        <v/>
      </c>
      <c r="H235" s="183" t="str">
        <f t="array" ref="H235">IF(Table133[[#This Row],[Survey?]]="","",IFERROR(INDEX([2]Rubric!$G$3:$G$94,MATCH(1,([2]Rubric!$E$3:$E$94=H$2)*([2]Rubric!$F$3:$F$94='[2]Questionnaire Responses'!H236),0)),"MISSING"))</f>
        <v/>
      </c>
      <c r="I235" s="183" t="str">
        <f t="array" ref="I235">IF(Table133[[#This Row],[Survey?]]="","",IFERROR(INDEX([2]Rubric!$G$3:$G$94,MATCH(1,([2]Rubric!$E$3:$E$94=I$2)*([2]Rubric!$F$3:$F$94='[2]Questionnaire Responses'!I236),0)),"MISSING"))</f>
        <v/>
      </c>
      <c r="J235" s="183" t="str">
        <f t="array" ref="J235">IF(Table133[[#This Row],[Survey?]]="","",IFERROR(INDEX([2]Rubric!$G$3:$G$94,MATCH(1,([2]Rubric!$E$3:$E$94=J$2)*([2]Rubric!$F$3:$F$94='[2]Questionnaire Responses'!J236),0)),"MISSING"))</f>
        <v/>
      </c>
      <c r="K235" s="206"/>
      <c r="L235" s="183" t="str">
        <f t="array" ref="L235">IF(Table133[[#This Row],[Survey?]]="","",IFERROR(INDEX([2]Rubric!$G$3:$G$94,MATCH(1,([2]Rubric!$E$3:$E$94=L$2)*([2]Rubric!$F$3:$F$94='[2]Questionnaire Responses'!L236),0)),"MISSING"))</f>
        <v/>
      </c>
      <c r="M235" s="206"/>
      <c r="N235" s="183" t="str">
        <f t="array" ref="N235">IF(Table133[[#This Row],[Survey?]]="","",IFERROR(INDEX([2]Rubric!$G$3:$G$94,MATCH(1,([2]Rubric!$E$3:$E$94=N$2)*([2]Rubric!$F$3:$F$94='[2]Questionnaire Responses'!N236),0)),"MISSING"))</f>
        <v/>
      </c>
      <c r="O235" s="183" t="str">
        <f t="array" ref="O235">IF(Table133[[#This Row],[Survey?]]="","",IFERROR(INDEX([2]Rubric!$G$3:$G$94,MATCH(1,([2]Rubric!$E$3:$E$94=O$2)*([2]Rubric!$F$3:$F$94='[2]Questionnaire Responses'!O236),0)),"MISSING"))</f>
        <v/>
      </c>
      <c r="P235" s="206"/>
      <c r="Q235" s="183" t="str">
        <f t="array" ref="Q235">IF(Table133[[#This Row],[Survey?]]="","",IFERROR(INDEX([2]Rubric!$G$3:$G$94,MATCH(1,([2]Rubric!$E$3:$E$94=Q$2)*([2]Rubric!$F$3:$F$94='[2]Questionnaire Responses'!Q236),0)),"MISSING"))</f>
        <v/>
      </c>
      <c r="R235" s="183" t="str">
        <f t="array" ref="R235">IF(Table133[[#This Row],[Survey?]]="","",IFERROR(INDEX([2]Rubric!$G$3:$G$94,MATCH(1,([2]Rubric!$E$3:$E$94=R$2)*([2]Rubric!$F$3:$F$94='[2]Questionnaire Responses'!R236),0)),"MISSING"))</f>
        <v/>
      </c>
      <c r="S235" s="183" t="str">
        <f t="array" ref="S235">IF(Table133[[#This Row],[Survey?]]="","",IFERROR(INDEX([2]Rubric!$G$3:$G$94,MATCH(1,([2]Rubric!$E$3:$E$94=S$2)*([2]Rubric!$F$3:$F$94='[2]Questionnaire Responses'!S236),0)),"MISSING"))</f>
        <v/>
      </c>
      <c r="T235" s="183" t="str">
        <f t="array" ref="T235">IF(Table133[[#This Row],[Survey?]]="","",IFERROR(INDEX([2]Rubric!$G$3:$G$94,MATCH(1,([2]Rubric!$E$3:$E$94=T$2)*([2]Rubric!$F$3:$F$94='[2]Questionnaire Responses'!T236),0)),"MISSING"))</f>
        <v/>
      </c>
      <c r="U235" s="206"/>
      <c r="V235" s="183" t="str">
        <f t="array" ref="V235">IF(Table133[[#This Row],[Survey?]]="","",IFERROR(INDEX([2]Rubric!$G$3:$G$94,MATCH(1,([2]Rubric!$E$3:$E$94=V$2)*([2]Rubric!$F$3:$F$94='[2]Questionnaire Responses'!V236),0)),"MISSING"))</f>
        <v/>
      </c>
      <c r="W235" s="206"/>
      <c r="X235" s="183" t="str">
        <f t="array" ref="X235">IF(Table133[[#This Row],[Survey?]]="","",IFERROR(INDEX([2]Rubric!$G$3:$G$94,MATCH(1,([2]Rubric!$E$3:$E$94=X$2)*([2]Rubric!$F$3:$F$94='[2]Questionnaire Responses'!X236),0)),"MISSING"))</f>
        <v/>
      </c>
      <c r="Y235" s="206"/>
      <c r="Z235" s="183" t="str">
        <f t="array" ref="Z235">IF(Table133[[#This Row],[Survey?]]="","",IFERROR(INDEX([2]Rubric!$G$3:$G$94,MATCH(1,([2]Rubric!$E$3:$E$94=Z$2)*([2]Rubric!$F$3:$F$94='[2]Questionnaire Responses'!Z236),0)),"MISSING"))</f>
        <v/>
      </c>
      <c r="AA235" s="183" t="str">
        <f t="array" ref="AA235">IF(Table133[[#This Row],[Survey?]]="","",IFERROR(INDEX([2]Rubric!$G$3:$G$94,MATCH(1,([2]Rubric!$E$3:$E$94=AA$2)*([2]Rubric!$F$3:$F$94='[2]Questionnaire Responses'!AA236),0)),"MISSING"))</f>
        <v/>
      </c>
      <c r="AB235" s="183" t="str">
        <f t="array" ref="AB235">IF(Table133[[#This Row],[Survey?]]="","",IFERROR(INDEX([2]Rubric!$G$3:$G$94,MATCH(1,([2]Rubric!$E$3:$E$94=AB$2)*([2]Rubric!$F$3:$F$94='[2]Questionnaire Responses'!AB236),0)),"MISSING"))</f>
        <v/>
      </c>
      <c r="AC235" s="206"/>
      <c r="AD235" s="183" t="str">
        <f t="array" ref="AD235">IF(Table133[[#This Row],[Survey?]]="","",IFERROR(INDEX([2]Rubric!$G$3:$G$94,MATCH(1,([2]Rubric!$E$3:$E$94=AD$2)*([2]Rubric!$F$3:$F$94='[2]Questionnaire Responses'!AD236),0)),"MISSING"))</f>
        <v/>
      </c>
      <c r="AE235" s="183" t="str">
        <f t="array" ref="AE235">IF(Table133[[#This Row],[Survey?]]="","",IFERROR(INDEX([2]Rubric!$G$3:$G$94,MATCH(1,([2]Rubric!$E$3:$E$94=AE$2)*([2]Rubric!$F$3:$F$94='[2]Questionnaire Responses'!AE236),0)),"MISSING"))</f>
        <v/>
      </c>
      <c r="AF235" s="206"/>
      <c r="AG235" s="183" t="str">
        <f t="array" ref="AG235">IF(Table133[[#This Row],[Survey?]]="","",IFERROR(INDEX([2]Rubric!$G$3:$G$94,MATCH(1,([2]Rubric!$E$3:$E$94=AG$2)*([2]Rubric!$F$3:$F$94='[2]Questionnaire Responses'!AG236),0)),"MISSING"))</f>
        <v/>
      </c>
    </row>
    <row r="236" spans="1:33" ht="12.75" customHeight="1" x14ac:dyDescent="0.25">
      <c r="A236" s="207">
        <f>'[2]Questionnaire Responses'!A237</f>
        <v>0</v>
      </c>
      <c r="B236" s="198">
        <f>'[2]Questionnaire Responses'!B237</f>
        <v>0</v>
      </c>
      <c r="C236" s="153">
        <f>'[2]Questionnaire Responses'!C237</f>
        <v>0</v>
      </c>
      <c r="D236" s="208"/>
      <c r="E236" s="206"/>
      <c r="F236" s="183" t="str">
        <f t="array" ref="F236">IF(Table133[[#This Row],[Survey?]]="","",IFERROR(INDEX([2]Rubric!$G$3:$G$94,MATCH(1,([2]Rubric!$E$3:$E$94=F$2)*([2]Rubric!$F$3:$F$94='[2]Questionnaire Responses'!F237),0)),"MISSING"))</f>
        <v/>
      </c>
      <c r="G236" s="183" t="str">
        <f t="array" ref="G236">IF(Table133[[#This Row],[Survey?]]="","",IFERROR(INDEX([2]Rubric!$G$3:$G$94,MATCH(1,([2]Rubric!$E$3:$E$94=G$2)*([2]Rubric!$F$3:$F$94='[2]Questionnaire Responses'!G237),0)),"MISSING"))</f>
        <v/>
      </c>
      <c r="H236" s="183" t="str">
        <f t="array" ref="H236">IF(Table133[[#This Row],[Survey?]]="","",IFERROR(INDEX([2]Rubric!$G$3:$G$94,MATCH(1,([2]Rubric!$E$3:$E$94=H$2)*([2]Rubric!$F$3:$F$94='[2]Questionnaire Responses'!H237),0)),"MISSING"))</f>
        <v/>
      </c>
      <c r="I236" s="183" t="str">
        <f t="array" ref="I236">IF(Table133[[#This Row],[Survey?]]="","",IFERROR(INDEX([2]Rubric!$G$3:$G$94,MATCH(1,([2]Rubric!$E$3:$E$94=I$2)*([2]Rubric!$F$3:$F$94='[2]Questionnaire Responses'!I237),0)),"MISSING"))</f>
        <v/>
      </c>
      <c r="J236" s="183" t="str">
        <f t="array" ref="J236">IF(Table133[[#This Row],[Survey?]]="","",IFERROR(INDEX([2]Rubric!$G$3:$G$94,MATCH(1,([2]Rubric!$E$3:$E$94=J$2)*([2]Rubric!$F$3:$F$94='[2]Questionnaire Responses'!J237),0)),"MISSING"))</f>
        <v/>
      </c>
      <c r="K236" s="206"/>
      <c r="L236" s="183" t="str">
        <f t="array" ref="L236">IF(Table133[[#This Row],[Survey?]]="","",IFERROR(INDEX([2]Rubric!$G$3:$G$94,MATCH(1,([2]Rubric!$E$3:$E$94=L$2)*([2]Rubric!$F$3:$F$94='[2]Questionnaire Responses'!L237),0)),"MISSING"))</f>
        <v/>
      </c>
      <c r="M236" s="206"/>
      <c r="N236" s="183" t="str">
        <f t="array" ref="N236">IF(Table133[[#This Row],[Survey?]]="","",IFERROR(INDEX([2]Rubric!$G$3:$G$94,MATCH(1,([2]Rubric!$E$3:$E$94=N$2)*([2]Rubric!$F$3:$F$94='[2]Questionnaire Responses'!N237),0)),"MISSING"))</f>
        <v/>
      </c>
      <c r="O236" s="183" t="str">
        <f t="array" ref="O236">IF(Table133[[#This Row],[Survey?]]="","",IFERROR(INDEX([2]Rubric!$G$3:$G$94,MATCH(1,([2]Rubric!$E$3:$E$94=O$2)*([2]Rubric!$F$3:$F$94='[2]Questionnaire Responses'!O237),0)),"MISSING"))</f>
        <v/>
      </c>
      <c r="P236" s="206"/>
      <c r="Q236" s="183" t="str">
        <f t="array" ref="Q236">IF(Table133[[#This Row],[Survey?]]="","",IFERROR(INDEX([2]Rubric!$G$3:$G$94,MATCH(1,([2]Rubric!$E$3:$E$94=Q$2)*([2]Rubric!$F$3:$F$94='[2]Questionnaire Responses'!Q237),0)),"MISSING"))</f>
        <v/>
      </c>
      <c r="R236" s="183" t="str">
        <f t="array" ref="R236">IF(Table133[[#This Row],[Survey?]]="","",IFERROR(INDEX([2]Rubric!$G$3:$G$94,MATCH(1,([2]Rubric!$E$3:$E$94=R$2)*([2]Rubric!$F$3:$F$94='[2]Questionnaire Responses'!R237),0)),"MISSING"))</f>
        <v/>
      </c>
      <c r="S236" s="183" t="str">
        <f t="array" ref="S236">IF(Table133[[#This Row],[Survey?]]="","",IFERROR(INDEX([2]Rubric!$G$3:$G$94,MATCH(1,([2]Rubric!$E$3:$E$94=S$2)*([2]Rubric!$F$3:$F$94='[2]Questionnaire Responses'!S237),0)),"MISSING"))</f>
        <v/>
      </c>
      <c r="T236" s="183" t="str">
        <f t="array" ref="T236">IF(Table133[[#This Row],[Survey?]]="","",IFERROR(INDEX([2]Rubric!$G$3:$G$94,MATCH(1,([2]Rubric!$E$3:$E$94=T$2)*([2]Rubric!$F$3:$F$94='[2]Questionnaire Responses'!T237),0)),"MISSING"))</f>
        <v/>
      </c>
      <c r="U236" s="206"/>
      <c r="V236" s="183" t="str">
        <f t="array" ref="V236">IF(Table133[[#This Row],[Survey?]]="","",IFERROR(INDEX([2]Rubric!$G$3:$G$94,MATCH(1,([2]Rubric!$E$3:$E$94=V$2)*([2]Rubric!$F$3:$F$94='[2]Questionnaire Responses'!V237),0)),"MISSING"))</f>
        <v/>
      </c>
      <c r="W236" s="206"/>
      <c r="X236" s="183" t="str">
        <f t="array" ref="X236">IF(Table133[[#This Row],[Survey?]]="","",IFERROR(INDEX([2]Rubric!$G$3:$G$94,MATCH(1,([2]Rubric!$E$3:$E$94=X$2)*([2]Rubric!$F$3:$F$94='[2]Questionnaire Responses'!X237),0)),"MISSING"))</f>
        <v/>
      </c>
      <c r="Y236" s="206"/>
      <c r="Z236" s="183" t="str">
        <f t="array" ref="Z236">IF(Table133[[#This Row],[Survey?]]="","",IFERROR(INDEX([2]Rubric!$G$3:$G$94,MATCH(1,([2]Rubric!$E$3:$E$94=Z$2)*([2]Rubric!$F$3:$F$94='[2]Questionnaire Responses'!Z237),0)),"MISSING"))</f>
        <v/>
      </c>
      <c r="AA236" s="183" t="str">
        <f t="array" ref="AA236">IF(Table133[[#This Row],[Survey?]]="","",IFERROR(INDEX([2]Rubric!$G$3:$G$94,MATCH(1,([2]Rubric!$E$3:$E$94=AA$2)*([2]Rubric!$F$3:$F$94='[2]Questionnaire Responses'!AA237),0)),"MISSING"))</f>
        <v/>
      </c>
      <c r="AB236" s="183" t="str">
        <f t="array" ref="AB236">IF(Table133[[#This Row],[Survey?]]="","",IFERROR(INDEX([2]Rubric!$G$3:$G$94,MATCH(1,([2]Rubric!$E$3:$E$94=AB$2)*([2]Rubric!$F$3:$F$94='[2]Questionnaire Responses'!AB237),0)),"MISSING"))</f>
        <v/>
      </c>
      <c r="AC236" s="206"/>
      <c r="AD236" s="183" t="str">
        <f t="array" ref="AD236">IF(Table133[[#This Row],[Survey?]]="","",IFERROR(INDEX([2]Rubric!$G$3:$G$94,MATCH(1,([2]Rubric!$E$3:$E$94=AD$2)*([2]Rubric!$F$3:$F$94='[2]Questionnaire Responses'!AD237),0)),"MISSING"))</f>
        <v/>
      </c>
      <c r="AE236" s="183" t="str">
        <f t="array" ref="AE236">IF(Table133[[#This Row],[Survey?]]="","",IFERROR(INDEX([2]Rubric!$G$3:$G$94,MATCH(1,([2]Rubric!$E$3:$E$94=AE$2)*([2]Rubric!$F$3:$F$94='[2]Questionnaire Responses'!AE237),0)),"MISSING"))</f>
        <v/>
      </c>
      <c r="AF236" s="206"/>
      <c r="AG236" s="183" t="str">
        <f t="array" ref="AG236">IF(Table133[[#This Row],[Survey?]]="","",IFERROR(INDEX([2]Rubric!$G$3:$G$94,MATCH(1,([2]Rubric!$E$3:$E$94=AG$2)*([2]Rubric!$F$3:$F$94='[2]Questionnaire Responses'!AG237),0)),"MISSING"))</f>
        <v/>
      </c>
    </row>
    <row r="237" spans="1:33" ht="12.75" customHeight="1" x14ac:dyDescent="0.25">
      <c r="A237" s="207">
        <f>'[2]Questionnaire Responses'!A238</f>
        <v>0</v>
      </c>
      <c r="B237" s="198">
        <f>'[2]Questionnaire Responses'!B238</f>
        <v>0</v>
      </c>
      <c r="C237" s="153">
        <f>'[2]Questionnaire Responses'!C238</f>
        <v>0</v>
      </c>
      <c r="D237" s="208"/>
      <c r="E237" s="206"/>
      <c r="F237" s="183" t="str">
        <f t="array" ref="F237">IF(Table133[[#This Row],[Survey?]]="","",IFERROR(INDEX([2]Rubric!$G$3:$G$94,MATCH(1,([2]Rubric!$E$3:$E$94=F$2)*([2]Rubric!$F$3:$F$94='[2]Questionnaire Responses'!F238),0)),"MISSING"))</f>
        <v/>
      </c>
      <c r="G237" s="183" t="str">
        <f t="array" ref="G237">IF(Table133[[#This Row],[Survey?]]="","",IFERROR(INDEX([2]Rubric!$G$3:$G$94,MATCH(1,([2]Rubric!$E$3:$E$94=G$2)*([2]Rubric!$F$3:$F$94='[2]Questionnaire Responses'!G238),0)),"MISSING"))</f>
        <v/>
      </c>
      <c r="H237" s="183" t="str">
        <f t="array" ref="H237">IF(Table133[[#This Row],[Survey?]]="","",IFERROR(INDEX([2]Rubric!$G$3:$G$94,MATCH(1,([2]Rubric!$E$3:$E$94=H$2)*([2]Rubric!$F$3:$F$94='[2]Questionnaire Responses'!H238),0)),"MISSING"))</f>
        <v/>
      </c>
      <c r="I237" s="183" t="str">
        <f t="array" ref="I237">IF(Table133[[#This Row],[Survey?]]="","",IFERROR(INDEX([2]Rubric!$G$3:$G$94,MATCH(1,([2]Rubric!$E$3:$E$94=I$2)*([2]Rubric!$F$3:$F$94='[2]Questionnaire Responses'!I238),0)),"MISSING"))</f>
        <v/>
      </c>
      <c r="J237" s="183" t="str">
        <f t="array" ref="J237">IF(Table133[[#This Row],[Survey?]]="","",IFERROR(INDEX([2]Rubric!$G$3:$G$94,MATCH(1,([2]Rubric!$E$3:$E$94=J$2)*([2]Rubric!$F$3:$F$94='[2]Questionnaire Responses'!J238),0)),"MISSING"))</f>
        <v/>
      </c>
      <c r="K237" s="206"/>
      <c r="L237" s="183" t="str">
        <f t="array" ref="L237">IF(Table133[[#This Row],[Survey?]]="","",IFERROR(INDEX([2]Rubric!$G$3:$G$94,MATCH(1,([2]Rubric!$E$3:$E$94=L$2)*([2]Rubric!$F$3:$F$94='[2]Questionnaire Responses'!L238),0)),"MISSING"))</f>
        <v/>
      </c>
      <c r="M237" s="206"/>
      <c r="N237" s="183" t="str">
        <f t="array" ref="N237">IF(Table133[[#This Row],[Survey?]]="","",IFERROR(INDEX([2]Rubric!$G$3:$G$94,MATCH(1,([2]Rubric!$E$3:$E$94=N$2)*([2]Rubric!$F$3:$F$94='[2]Questionnaire Responses'!N238),0)),"MISSING"))</f>
        <v/>
      </c>
      <c r="O237" s="183" t="str">
        <f t="array" ref="O237">IF(Table133[[#This Row],[Survey?]]="","",IFERROR(INDEX([2]Rubric!$G$3:$G$94,MATCH(1,([2]Rubric!$E$3:$E$94=O$2)*([2]Rubric!$F$3:$F$94='[2]Questionnaire Responses'!O238),0)),"MISSING"))</f>
        <v/>
      </c>
      <c r="P237" s="206"/>
      <c r="Q237" s="183" t="str">
        <f t="array" ref="Q237">IF(Table133[[#This Row],[Survey?]]="","",IFERROR(INDEX([2]Rubric!$G$3:$G$94,MATCH(1,([2]Rubric!$E$3:$E$94=Q$2)*([2]Rubric!$F$3:$F$94='[2]Questionnaire Responses'!Q238),0)),"MISSING"))</f>
        <v/>
      </c>
      <c r="R237" s="183" t="str">
        <f t="array" ref="R237">IF(Table133[[#This Row],[Survey?]]="","",IFERROR(INDEX([2]Rubric!$G$3:$G$94,MATCH(1,([2]Rubric!$E$3:$E$94=R$2)*([2]Rubric!$F$3:$F$94='[2]Questionnaire Responses'!R238),0)),"MISSING"))</f>
        <v/>
      </c>
      <c r="S237" s="183" t="str">
        <f t="array" ref="S237">IF(Table133[[#This Row],[Survey?]]="","",IFERROR(INDEX([2]Rubric!$G$3:$G$94,MATCH(1,([2]Rubric!$E$3:$E$94=S$2)*([2]Rubric!$F$3:$F$94='[2]Questionnaire Responses'!S238),0)),"MISSING"))</f>
        <v/>
      </c>
      <c r="T237" s="183" t="str">
        <f t="array" ref="T237">IF(Table133[[#This Row],[Survey?]]="","",IFERROR(INDEX([2]Rubric!$G$3:$G$94,MATCH(1,([2]Rubric!$E$3:$E$94=T$2)*([2]Rubric!$F$3:$F$94='[2]Questionnaire Responses'!T238),0)),"MISSING"))</f>
        <v/>
      </c>
      <c r="U237" s="206"/>
      <c r="V237" s="183" t="str">
        <f t="array" ref="V237">IF(Table133[[#This Row],[Survey?]]="","",IFERROR(INDEX([2]Rubric!$G$3:$G$94,MATCH(1,([2]Rubric!$E$3:$E$94=V$2)*([2]Rubric!$F$3:$F$94='[2]Questionnaire Responses'!V238),0)),"MISSING"))</f>
        <v/>
      </c>
      <c r="W237" s="206"/>
      <c r="X237" s="183" t="str">
        <f t="array" ref="X237">IF(Table133[[#This Row],[Survey?]]="","",IFERROR(INDEX([2]Rubric!$G$3:$G$94,MATCH(1,([2]Rubric!$E$3:$E$94=X$2)*([2]Rubric!$F$3:$F$94='[2]Questionnaire Responses'!X238),0)),"MISSING"))</f>
        <v/>
      </c>
      <c r="Y237" s="206"/>
      <c r="Z237" s="183" t="str">
        <f t="array" ref="Z237">IF(Table133[[#This Row],[Survey?]]="","",IFERROR(INDEX([2]Rubric!$G$3:$G$94,MATCH(1,([2]Rubric!$E$3:$E$94=Z$2)*([2]Rubric!$F$3:$F$94='[2]Questionnaire Responses'!Z238),0)),"MISSING"))</f>
        <v/>
      </c>
      <c r="AA237" s="183" t="str">
        <f t="array" ref="AA237">IF(Table133[[#This Row],[Survey?]]="","",IFERROR(INDEX([2]Rubric!$G$3:$G$94,MATCH(1,([2]Rubric!$E$3:$E$94=AA$2)*([2]Rubric!$F$3:$F$94='[2]Questionnaire Responses'!AA238),0)),"MISSING"))</f>
        <v/>
      </c>
      <c r="AB237" s="183" t="str">
        <f t="array" ref="AB237">IF(Table133[[#This Row],[Survey?]]="","",IFERROR(INDEX([2]Rubric!$G$3:$G$94,MATCH(1,([2]Rubric!$E$3:$E$94=AB$2)*([2]Rubric!$F$3:$F$94='[2]Questionnaire Responses'!AB238),0)),"MISSING"))</f>
        <v/>
      </c>
      <c r="AC237" s="206"/>
      <c r="AD237" s="183" t="str">
        <f t="array" ref="AD237">IF(Table133[[#This Row],[Survey?]]="","",IFERROR(INDEX([2]Rubric!$G$3:$G$94,MATCH(1,([2]Rubric!$E$3:$E$94=AD$2)*([2]Rubric!$F$3:$F$94='[2]Questionnaire Responses'!AD238),0)),"MISSING"))</f>
        <v/>
      </c>
      <c r="AE237" s="183" t="str">
        <f t="array" ref="AE237">IF(Table133[[#This Row],[Survey?]]="","",IFERROR(INDEX([2]Rubric!$G$3:$G$94,MATCH(1,([2]Rubric!$E$3:$E$94=AE$2)*([2]Rubric!$F$3:$F$94='[2]Questionnaire Responses'!AE238),0)),"MISSING"))</f>
        <v/>
      </c>
      <c r="AF237" s="206"/>
      <c r="AG237" s="183" t="str">
        <f t="array" ref="AG237">IF(Table133[[#This Row],[Survey?]]="","",IFERROR(INDEX([2]Rubric!$G$3:$G$94,MATCH(1,([2]Rubric!$E$3:$E$94=AG$2)*([2]Rubric!$F$3:$F$94='[2]Questionnaire Responses'!AG238),0)),"MISSING"))</f>
        <v/>
      </c>
    </row>
    <row r="238" spans="1:33" ht="12.75" customHeight="1" x14ac:dyDescent="0.25">
      <c r="A238" s="207">
        <f>'[2]Questionnaire Responses'!A239</f>
        <v>0</v>
      </c>
      <c r="B238" s="198">
        <f>'[2]Questionnaire Responses'!B239</f>
        <v>0</v>
      </c>
      <c r="C238" s="153">
        <f>'[2]Questionnaire Responses'!C239</f>
        <v>0</v>
      </c>
      <c r="D238" s="208"/>
      <c r="E238" s="206"/>
      <c r="F238" s="183" t="str">
        <f t="array" ref="F238">IF(Table133[[#This Row],[Survey?]]="","",IFERROR(INDEX([2]Rubric!$G$3:$G$94,MATCH(1,([2]Rubric!$E$3:$E$94=F$2)*([2]Rubric!$F$3:$F$94='[2]Questionnaire Responses'!F239),0)),"MISSING"))</f>
        <v/>
      </c>
      <c r="G238" s="183" t="str">
        <f t="array" ref="G238">IF(Table133[[#This Row],[Survey?]]="","",IFERROR(INDEX([2]Rubric!$G$3:$G$94,MATCH(1,([2]Rubric!$E$3:$E$94=G$2)*([2]Rubric!$F$3:$F$94='[2]Questionnaire Responses'!G239),0)),"MISSING"))</f>
        <v/>
      </c>
      <c r="H238" s="183" t="str">
        <f t="array" ref="H238">IF(Table133[[#This Row],[Survey?]]="","",IFERROR(INDEX([2]Rubric!$G$3:$G$94,MATCH(1,([2]Rubric!$E$3:$E$94=H$2)*([2]Rubric!$F$3:$F$94='[2]Questionnaire Responses'!H239),0)),"MISSING"))</f>
        <v/>
      </c>
      <c r="I238" s="183" t="str">
        <f t="array" ref="I238">IF(Table133[[#This Row],[Survey?]]="","",IFERROR(INDEX([2]Rubric!$G$3:$G$94,MATCH(1,([2]Rubric!$E$3:$E$94=I$2)*([2]Rubric!$F$3:$F$94='[2]Questionnaire Responses'!I239),0)),"MISSING"))</f>
        <v/>
      </c>
      <c r="J238" s="183" t="str">
        <f t="array" ref="J238">IF(Table133[[#This Row],[Survey?]]="","",IFERROR(INDEX([2]Rubric!$G$3:$G$94,MATCH(1,([2]Rubric!$E$3:$E$94=J$2)*([2]Rubric!$F$3:$F$94='[2]Questionnaire Responses'!J239),0)),"MISSING"))</f>
        <v/>
      </c>
      <c r="K238" s="206"/>
      <c r="L238" s="183" t="str">
        <f t="array" ref="L238">IF(Table133[[#This Row],[Survey?]]="","",IFERROR(INDEX([2]Rubric!$G$3:$G$94,MATCH(1,([2]Rubric!$E$3:$E$94=L$2)*([2]Rubric!$F$3:$F$94='[2]Questionnaire Responses'!L239),0)),"MISSING"))</f>
        <v/>
      </c>
      <c r="M238" s="206"/>
      <c r="N238" s="183" t="str">
        <f t="array" ref="N238">IF(Table133[[#This Row],[Survey?]]="","",IFERROR(INDEX([2]Rubric!$G$3:$G$94,MATCH(1,([2]Rubric!$E$3:$E$94=N$2)*([2]Rubric!$F$3:$F$94='[2]Questionnaire Responses'!N239),0)),"MISSING"))</f>
        <v/>
      </c>
      <c r="O238" s="183" t="str">
        <f t="array" ref="O238">IF(Table133[[#This Row],[Survey?]]="","",IFERROR(INDEX([2]Rubric!$G$3:$G$94,MATCH(1,([2]Rubric!$E$3:$E$94=O$2)*([2]Rubric!$F$3:$F$94='[2]Questionnaire Responses'!O239),0)),"MISSING"))</f>
        <v/>
      </c>
      <c r="P238" s="206"/>
      <c r="Q238" s="183" t="str">
        <f t="array" ref="Q238">IF(Table133[[#This Row],[Survey?]]="","",IFERROR(INDEX([2]Rubric!$G$3:$G$94,MATCH(1,([2]Rubric!$E$3:$E$94=Q$2)*([2]Rubric!$F$3:$F$94='[2]Questionnaire Responses'!Q239),0)),"MISSING"))</f>
        <v/>
      </c>
      <c r="R238" s="183" t="str">
        <f t="array" ref="R238">IF(Table133[[#This Row],[Survey?]]="","",IFERROR(INDEX([2]Rubric!$G$3:$G$94,MATCH(1,([2]Rubric!$E$3:$E$94=R$2)*([2]Rubric!$F$3:$F$94='[2]Questionnaire Responses'!R239),0)),"MISSING"))</f>
        <v/>
      </c>
      <c r="S238" s="183" t="str">
        <f t="array" ref="S238">IF(Table133[[#This Row],[Survey?]]="","",IFERROR(INDEX([2]Rubric!$G$3:$G$94,MATCH(1,([2]Rubric!$E$3:$E$94=S$2)*([2]Rubric!$F$3:$F$94='[2]Questionnaire Responses'!S239),0)),"MISSING"))</f>
        <v/>
      </c>
      <c r="T238" s="183" t="str">
        <f t="array" ref="T238">IF(Table133[[#This Row],[Survey?]]="","",IFERROR(INDEX([2]Rubric!$G$3:$G$94,MATCH(1,([2]Rubric!$E$3:$E$94=T$2)*([2]Rubric!$F$3:$F$94='[2]Questionnaire Responses'!T239),0)),"MISSING"))</f>
        <v/>
      </c>
      <c r="U238" s="206"/>
      <c r="V238" s="183" t="str">
        <f t="array" ref="V238">IF(Table133[[#This Row],[Survey?]]="","",IFERROR(INDEX([2]Rubric!$G$3:$G$94,MATCH(1,([2]Rubric!$E$3:$E$94=V$2)*([2]Rubric!$F$3:$F$94='[2]Questionnaire Responses'!V239),0)),"MISSING"))</f>
        <v/>
      </c>
      <c r="W238" s="206"/>
      <c r="X238" s="183" t="str">
        <f t="array" ref="X238">IF(Table133[[#This Row],[Survey?]]="","",IFERROR(INDEX([2]Rubric!$G$3:$G$94,MATCH(1,([2]Rubric!$E$3:$E$94=X$2)*([2]Rubric!$F$3:$F$94='[2]Questionnaire Responses'!X239),0)),"MISSING"))</f>
        <v/>
      </c>
      <c r="Y238" s="206"/>
      <c r="Z238" s="183" t="str">
        <f t="array" ref="Z238">IF(Table133[[#This Row],[Survey?]]="","",IFERROR(INDEX([2]Rubric!$G$3:$G$94,MATCH(1,([2]Rubric!$E$3:$E$94=Z$2)*([2]Rubric!$F$3:$F$94='[2]Questionnaire Responses'!Z239),0)),"MISSING"))</f>
        <v/>
      </c>
      <c r="AA238" s="183" t="str">
        <f t="array" ref="AA238">IF(Table133[[#This Row],[Survey?]]="","",IFERROR(INDEX([2]Rubric!$G$3:$G$94,MATCH(1,([2]Rubric!$E$3:$E$94=AA$2)*([2]Rubric!$F$3:$F$94='[2]Questionnaire Responses'!AA239),0)),"MISSING"))</f>
        <v/>
      </c>
      <c r="AB238" s="183" t="str">
        <f t="array" ref="AB238">IF(Table133[[#This Row],[Survey?]]="","",IFERROR(INDEX([2]Rubric!$G$3:$G$94,MATCH(1,([2]Rubric!$E$3:$E$94=AB$2)*([2]Rubric!$F$3:$F$94='[2]Questionnaire Responses'!AB239),0)),"MISSING"))</f>
        <v/>
      </c>
      <c r="AC238" s="206"/>
      <c r="AD238" s="183" t="str">
        <f t="array" ref="AD238">IF(Table133[[#This Row],[Survey?]]="","",IFERROR(INDEX([2]Rubric!$G$3:$G$94,MATCH(1,([2]Rubric!$E$3:$E$94=AD$2)*([2]Rubric!$F$3:$F$94='[2]Questionnaire Responses'!AD239),0)),"MISSING"))</f>
        <v/>
      </c>
      <c r="AE238" s="183" t="str">
        <f t="array" ref="AE238">IF(Table133[[#This Row],[Survey?]]="","",IFERROR(INDEX([2]Rubric!$G$3:$G$94,MATCH(1,([2]Rubric!$E$3:$E$94=AE$2)*([2]Rubric!$F$3:$F$94='[2]Questionnaire Responses'!AE239),0)),"MISSING"))</f>
        <v/>
      </c>
      <c r="AF238" s="206"/>
      <c r="AG238" s="183" t="str">
        <f t="array" ref="AG238">IF(Table133[[#This Row],[Survey?]]="","",IFERROR(INDEX([2]Rubric!$G$3:$G$94,MATCH(1,([2]Rubric!$E$3:$E$94=AG$2)*([2]Rubric!$F$3:$F$94='[2]Questionnaire Responses'!AG239),0)),"MISSING"))</f>
        <v/>
      </c>
    </row>
    <row r="239" spans="1:33" ht="12.75" customHeight="1" x14ac:dyDescent="0.25">
      <c r="A239" s="207">
        <f>'[2]Questionnaire Responses'!A240</f>
        <v>0</v>
      </c>
      <c r="B239" s="198">
        <f>'[2]Questionnaire Responses'!B240</f>
        <v>0</v>
      </c>
      <c r="C239" s="153">
        <f>'[2]Questionnaire Responses'!C240</f>
        <v>0</v>
      </c>
      <c r="D239" s="208"/>
      <c r="E239" s="206"/>
      <c r="F239" s="183" t="str">
        <f t="array" ref="F239">IF(Table133[[#This Row],[Survey?]]="","",IFERROR(INDEX([2]Rubric!$G$3:$G$94,MATCH(1,([2]Rubric!$E$3:$E$94=F$2)*([2]Rubric!$F$3:$F$94='[2]Questionnaire Responses'!F240),0)),"MISSING"))</f>
        <v/>
      </c>
      <c r="G239" s="183" t="str">
        <f t="array" ref="G239">IF(Table133[[#This Row],[Survey?]]="","",IFERROR(INDEX([2]Rubric!$G$3:$G$94,MATCH(1,([2]Rubric!$E$3:$E$94=G$2)*([2]Rubric!$F$3:$F$94='[2]Questionnaire Responses'!G240),0)),"MISSING"))</f>
        <v/>
      </c>
      <c r="H239" s="183" t="str">
        <f t="array" ref="H239">IF(Table133[[#This Row],[Survey?]]="","",IFERROR(INDEX([2]Rubric!$G$3:$G$94,MATCH(1,([2]Rubric!$E$3:$E$94=H$2)*([2]Rubric!$F$3:$F$94='[2]Questionnaire Responses'!H240),0)),"MISSING"))</f>
        <v/>
      </c>
      <c r="I239" s="183" t="str">
        <f t="array" ref="I239">IF(Table133[[#This Row],[Survey?]]="","",IFERROR(INDEX([2]Rubric!$G$3:$G$94,MATCH(1,([2]Rubric!$E$3:$E$94=I$2)*([2]Rubric!$F$3:$F$94='[2]Questionnaire Responses'!I240),0)),"MISSING"))</f>
        <v/>
      </c>
      <c r="J239" s="183" t="str">
        <f t="array" ref="J239">IF(Table133[[#This Row],[Survey?]]="","",IFERROR(INDEX([2]Rubric!$G$3:$G$94,MATCH(1,([2]Rubric!$E$3:$E$94=J$2)*([2]Rubric!$F$3:$F$94='[2]Questionnaire Responses'!J240),0)),"MISSING"))</f>
        <v/>
      </c>
      <c r="K239" s="206"/>
      <c r="L239" s="183" t="str">
        <f t="array" ref="L239">IF(Table133[[#This Row],[Survey?]]="","",IFERROR(INDEX([2]Rubric!$G$3:$G$94,MATCH(1,([2]Rubric!$E$3:$E$94=L$2)*([2]Rubric!$F$3:$F$94='[2]Questionnaire Responses'!L240),0)),"MISSING"))</f>
        <v/>
      </c>
      <c r="M239" s="206"/>
      <c r="N239" s="183" t="str">
        <f t="array" ref="N239">IF(Table133[[#This Row],[Survey?]]="","",IFERROR(INDEX([2]Rubric!$G$3:$G$94,MATCH(1,([2]Rubric!$E$3:$E$94=N$2)*([2]Rubric!$F$3:$F$94='[2]Questionnaire Responses'!N240),0)),"MISSING"))</f>
        <v/>
      </c>
      <c r="O239" s="183" t="str">
        <f t="array" ref="O239">IF(Table133[[#This Row],[Survey?]]="","",IFERROR(INDEX([2]Rubric!$G$3:$G$94,MATCH(1,([2]Rubric!$E$3:$E$94=O$2)*([2]Rubric!$F$3:$F$94='[2]Questionnaire Responses'!O240),0)),"MISSING"))</f>
        <v/>
      </c>
      <c r="P239" s="206"/>
      <c r="Q239" s="183" t="str">
        <f t="array" ref="Q239">IF(Table133[[#This Row],[Survey?]]="","",IFERROR(INDEX([2]Rubric!$G$3:$G$94,MATCH(1,([2]Rubric!$E$3:$E$94=Q$2)*([2]Rubric!$F$3:$F$94='[2]Questionnaire Responses'!Q240),0)),"MISSING"))</f>
        <v/>
      </c>
      <c r="R239" s="183" t="str">
        <f t="array" ref="R239">IF(Table133[[#This Row],[Survey?]]="","",IFERROR(INDEX([2]Rubric!$G$3:$G$94,MATCH(1,([2]Rubric!$E$3:$E$94=R$2)*([2]Rubric!$F$3:$F$94='[2]Questionnaire Responses'!R240),0)),"MISSING"))</f>
        <v/>
      </c>
      <c r="S239" s="183" t="str">
        <f t="array" ref="S239">IF(Table133[[#This Row],[Survey?]]="","",IFERROR(INDEX([2]Rubric!$G$3:$G$94,MATCH(1,([2]Rubric!$E$3:$E$94=S$2)*([2]Rubric!$F$3:$F$94='[2]Questionnaire Responses'!S240),0)),"MISSING"))</f>
        <v/>
      </c>
      <c r="T239" s="183" t="str">
        <f t="array" ref="T239">IF(Table133[[#This Row],[Survey?]]="","",IFERROR(INDEX([2]Rubric!$G$3:$G$94,MATCH(1,([2]Rubric!$E$3:$E$94=T$2)*([2]Rubric!$F$3:$F$94='[2]Questionnaire Responses'!T240),0)),"MISSING"))</f>
        <v/>
      </c>
      <c r="U239" s="206"/>
      <c r="V239" s="183" t="str">
        <f t="array" ref="V239">IF(Table133[[#This Row],[Survey?]]="","",IFERROR(INDEX([2]Rubric!$G$3:$G$94,MATCH(1,([2]Rubric!$E$3:$E$94=V$2)*([2]Rubric!$F$3:$F$94='[2]Questionnaire Responses'!V240),0)),"MISSING"))</f>
        <v/>
      </c>
      <c r="W239" s="206"/>
      <c r="X239" s="183" t="str">
        <f t="array" ref="X239">IF(Table133[[#This Row],[Survey?]]="","",IFERROR(INDEX([2]Rubric!$G$3:$G$94,MATCH(1,([2]Rubric!$E$3:$E$94=X$2)*([2]Rubric!$F$3:$F$94='[2]Questionnaire Responses'!X240),0)),"MISSING"))</f>
        <v/>
      </c>
      <c r="Y239" s="206"/>
      <c r="Z239" s="183" t="str">
        <f t="array" ref="Z239">IF(Table133[[#This Row],[Survey?]]="","",IFERROR(INDEX([2]Rubric!$G$3:$G$94,MATCH(1,([2]Rubric!$E$3:$E$94=Z$2)*([2]Rubric!$F$3:$F$94='[2]Questionnaire Responses'!Z240),0)),"MISSING"))</f>
        <v/>
      </c>
      <c r="AA239" s="183" t="str">
        <f t="array" ref="AA239">IF(Table133[[#This Row],[Survey?]]="","",IFERROR(INDEX([2]Rubric!$G$3:$G$94,MATCH(1,([2]Rubric!$E$3:$E$94=AA$2)*([2]Rubric!$F$3:$F$94='[2]Questionnaire Responses'!AA240),0)),"MISSING"))</f>
        <v/>
      </c>
      <c r="AB239" s="183" t="str">
        <f t="array" ref="AB239">IF(Table133[[#This Row],[Survey?]]="","",IFERROR(INDEX([2]Rubric!$G$3:$G$94,MATCH(1,([2]Rubric!$E$3:$E$94=AB$2)*([2]Rubric!$F$3:$F$94='[2]Questionnaire Responses'!AB240),0)),"MISSING"))</f>
        <v/>
      </c>
      <c r="AC239" s="206"/>
      <c r="AD239" s="183" t="str">
        <f t="array" ref="AD239">IF(Table133[[#This Row],[Survey?]]="","",IFERROR(INDEX([2]Rubric!$G$3:$G$94,MATCH(1,([2]Rubric!$E$3:$E$94=AD$2)*([2]Rubric!$F$3:$F$94='[2]Questionnaire Responses'!AD240),0)),"MISSING"))</f>
        <v/>
      </c>
      <c r="AE239" s="183" t="str">
        <f t="array" ref="AE239">IF(Table133[[#This Row],[Survey?]]="","",IFERROR(INDEX([2]Rubric!$G$3:$G$94,MATCH(1,([2]Rubric!$E$3:$E$94=AE$2)*([2]Rubric!$F$3:$F$94='[2]Questionnaire Responses'!AE240),0)),"MISSING"))</f>
        <v/>
      </c>
      <c r="AF239" s="206"/>
      <c r="AG239" s="183" t="str">
        <f t="array" ref="AG239">IF(Table133[[#This Row],[Survey?]]="","",IFERROR(INDEX([2]Rubric!$G$3:$G$94,MATCH(1,([2]Rubric!$E$3:$E$94=AG$2)*([2]Rubric!$F$3:$F$94='[2]Questionnaire Responses'!AG240),0)),"MISSING"))</f>
        <v/>
      </c>
    </row>
    <row r="240" spans="1:33" ht="12.75" customHeight="1" x14ac:dyDescent="0.25">
      <c r="A240" s="207">
        <f>'[2]Questionnaire Responses'!A241</f>
        <v>0</v>
      </c>
      <c r="B240" s="198">
        <f>'[2]Questionnaire Responses'!B241</f>
        <v>0</v>
      </c>
      <c r="C240" s="153">
        <f>'[2]Questionnaire Responses'!C241</f>
        <v>0</v>
      </c>
      <c r="D240" s="208"/>
      <c r="E240" s="206"/>
      <c r="F240" s="183" t="str">
        <f t="array" ref="F240">IF(Table133[[#This Row],[Survey?]]="","",IFERROR(INDEX([2]Rubric!$G$3:$G$94,MATCH(1,([2]Rubric!$E$3:$E$94=F$2)*([2]Rubric!$F$3:$F$94='[2]Questionnaire Responses'!F241),0)),"MISSING"))</f>
        <v/>
      </c>
      <c r="G240" s="183" t="str">
        <f t="array" ref="G240">IF(Table133[[#This Row],[Survey?]]="","",IFERROR(INDEX([2]Rubric!$G$3:$G$94,MATCH(1,([2]Rubric!$E$3:$E$94=G$2)*([2]Rubric!$F$3:$F$94='[2]Questionnaire Responses'!G241),0)),"MISSING"))</f>
        <v/>
      </c>
      <c r="H240" s="183" t="str">
        <f t="array" ref="H240">IF(Table133[[#This Row],[Survey?]]="","",IFERROR(INDEX([2]Rubric!$G$3:$G$94,MATCH(1,([2]Rubric!$E$3:$E$94=H$2)*([2]Rubric!$F$3:$F$94='[2]Questionnaire Responses'!H241),0)),"MISSING"))</f>
        <v/>
      </c>
      <c r="I240" s="183" t="str">
        <f t="array" ref="I240">IF(Table133[[#This Row],[Survey?]]="","",IFERROR(INDEX([2]Rubric!$G$3:$G$94,MATCH(1,([2]Rubric!$E$3:$E$94=I$2)*([2]Rubric!$F$3:$F$94='[2]Questionnaire Responses'!I241),0)),"MISSING"))</f>
        <v/>
      </c>
      <c r="J240" s="183" t="str">
        <f t="array" ref="J240">IF(Table133[[#This Row],[Survey?]]="","",IFERROR(INDEX([2]Rubric!$G$3:$G$94,MATCH(1,([2]Rubric!$E$3:$E$94=J$2)*([2]Rubric!$F$3:$F$94='[2]Questionnaire Responses'!J241),0)),"MISSING"))</f>
        <v/>
      </c>
      <c r="K240" s="206"/>
      <c r="L240" s="183" t="str">
        <f t="array" ref="L240">IF(Table133[[#This Row],[Survey?]]="","",IFERROR(INDEX([2]Rubric!$G$3:$G$94,MATCH(1,([2]Rubric!$E$3:$E$94=L$2)*([2]Rubric!$F$3:$F$94='[2]Questionnaire Responses'!L241),0)),"MISSING"))</f>
        <v/>
      </c>
      <c r="M240" s="206"/>
      <c r="N240" s="183" t="str">
        <f t="array" ref="N240">IF(Table133[[#This Row],[Survey?]]="","",IFERROR(INDEX([2]Rubric!$G$3:$G$94,MATCH(1,([2]Rubric!$E$3:$E$94=N$2)*([2]Rubric!$F$3:$F$94='[2]Questionnaire Responses'!N241),0)),"MISSING"))</f>
        <v/>
      </c>
      <c r="O240" s="183" t="str">
        <f t="array" ref="O240">IF(Table133[[#This Row],[Survey?]]="","",IFERROR(INDEX([2]Rubric!$G$3:$G$94,MATCH(1,([2]Rubric!$E$3:$E$94=O$2)*([2]Rubric!$F$3:$F$94='[2]Questionnaire Responses'!O241),0)),"MISSING"))</f>
        <v/>
      </c>
      <c r="P240" s="206"/>
      <c r="Q240" s="183" t="str">
        <f t="array" ref="Q240">IF(Table133[[#This Row],[Survey?]]="","",IFERROR(INDEX([2]Rubric!$G$3:$G$94,MATCH(1,([2]Rubric!$E$3:$E$94=Q$2)*([2]Rubric!$F$3:$F$94='[2]Questionnaire Responses'!Q241),0)),"MISSING"))</f>
        <v/>
      </c>
      <c r="R240" s="183" t="str">
        <f t="array" ref="R240">IF(Table133[[#This Row],[Survey?]]="","",IFERROR(INDEX([2]Rubric!$G$3:$G$94,MATCH(1,([2]Rubric!$E$3:$E$94=R$2)*([2]Rubric!$F$3:$F$94='[2]Questionnaire Responses'!R241),0)),"MISSING"))</f>
        <v/>
      </c>
      <c r="S240" s="183" t="str">
        <f t="array" ref="S240">IF(Table133[[#This Row],[Survey?]]="","",IFERROR(INDEX([2]Rubric!$G$3:$G$94,MATCH(1,([2]Rubric!$E$3:$E$94=S$2)*([2]Rubric!$F$3:$F$94='[2]Questionnaire Responses'!S241),0)),"MISSING"))</f>
        <v/>
      </c>
      <c r="T240" s="183" t="str">
        <f t="array" ref="T240">IF(Table133[[#This Row],[Survey?]]="","",IFERROR(INDEX([2]Rubric!$G$3:$G$94,MATCH(1,([2]Rubric!$E$3:$E$94=T$2)*([2]Rubric!$F$3:$F$94='[2]Questionnaire Responses'!T241),0)),"MISSING"))</f>
        <v/>
      </c>
      <c r="U240" s="206"/>
      <c r="V240" s="183" t="str">
        <f t="array" ref="V240">IF(Table133[[#This Row],[Survey?]]="","",IFERROR(INDEX([2]Rubric!$G$3:$G$94,MATCH(1,([2]Rubric!$E$3:$E$94=V$2)*([2]Rubric!$F$3:$F$94='[2]Questionnaire Responses'!V241),0)),"MISSING"))</f>
        <v/>
      </c>
      <c r="W240" s="206"/>
      <c r="X240" s="183" t="str">
        <f t="array" ref="X240">IF(Table133[[#This Row],[Survey?]]="","",IFERROR(INDEX([2]Rubric!$G$3:$G$94,MATCH(1,([2]Rubric!$E$3:$E$94=X$2)*([2]Rubric!$F$3:$F$94='[2]Questionnaire Responses'!X241),0)),"MISSING"))</f>
        <v/>
      </c>
      <c r="Y240" s="206"/>
      <c r="Z240" s="183" t="str">
        <f t="array" ref="Z240">IF(Table133[[#This Row],[Survey?]]="","",IFERROR(INDEX([2]Rubric!$G$3:$G$94,MATCH(1,([2]Rubric!$E$3:$E$94=Z$2)*([2]Rubric!$F$3:$F$94='[2]Questionnaire Responses'!Z241),0)),"MISSING"))</f>
        <v/>
      </c>
      <c r="AA240" s="183" t="str">
        <f t="array" ref="AA240">IF(Table133[[#This Row],[Survey?]]="","",IFERROR(INDEX([2]Rubric!$G$3:$G$94,MATCH(1,([2]Rubric!$E$3:$E$94=AA$2)*([2]Rubric!$F$3:$F$94='[2]Questionnaire Responses'!AA241),0)),"MISSING"))</f>
        <v/>
      </c>
      <c r="AB240" s="183" t="str">
        <f t="array" ref="AB240">IF(Table133[[#This Row],[Survey?]]="","",IFERROR(INDEX([2]Rubric!$G$3:$G$94,MATCH(1,([2]Rubric!$E$3:$E$94=AB$2)*([2]Rubric!$F$3:$F$94='[2]Questionnaire Responses'!AB241),0)),"MISSING"))</f>
        <v/>
      </c>
      <c r="AC240" s="206"/>
      <c r="AD240" s="183" t="str">
        <f t="array" ref="AD240">IF(Table133[[#This Row],[Survey?]]="","",IFERROR(INDEX([2]Rubric!$G$3:$G$94,MATCH(1,([2]Rubric!$E$3:$E$94=AD$2)*([2]Rubric!$F$3:$F$94='[2]Questionnaire Responses'!AD241),0)),"MISSING"))</f>
        <v/>
      </c>
      <c r="AE240" s="183" t="str">
        <f t="array" ref="AE240">IF(Table133[[#This Row],[Survey?]]="","",IFERROR(INDEX([2]Rubric!$G$3:$G$94,MATCH(1,([2]Rubric!$E$3:$E$94=AE$2)*([2]Rubric!$F$3:$F$94='[2]Questionnaire Responses'!AE241),0)),"MISSING"))</f>
        <v/>
      </c>
      <c r="AF240" s="206"/>
      <c r="AG240" s="183" t="str">
        <f t="array" ref="AG240">IF(Table133[[#This Row],[Survey?]]="","",IFERROR(INDEX([2]Rubric!$G$3:$G$94,MATCH(1,([2]Rubric!$E$3:$E$94=AG$2)*([2]Rubric!$F$3:$F$94='[2]Questionnaire Responses'!AG241),0)),"MISSING"))</f>
        <v/>
      </c>
    </row>
    <row r="241" spans="1:33" ht="12.75" customHeight="1" x14ac:dyDescent="0.25">
      <c r="A241" s="207">
        <f>'[2]Questionnaire Responses'!A242</f>
        <v>0</v>
      </c>
      <c r="B241" s="198">
        <f>'[2]Questionnaire Responses'!B242</f>
        <v>0</v>
      </c>
      <c r="C241" s="153">
        <f>'[2]Questionnaire Responses'!C242</f>
        <v>0</v>
      </c>
      <c r="D241" s="208"/>
      <c r="E241" s="206"/>
      <c r="F241" s="183" t="str">
        <f t="array" ref="F241">IF(Table133[[#This Row],[Survey?]]="","",IFERROR(INDEX([2]Rubric!$G$3:$G$94,MATCH(1,([2]Rubric!$E$3:$E$94=F$2)*([2]Rubric!$F$3:$F$94='[2]Questionnaire Responses'!F242),0)),"MISSING"))</f>
        <v/>
      </c>
      <c r="G241" s="183" t="str">
        <f t="array" ref="G241">IF(Table133[[#This Row],[Survey?]]="","",IFERROR(INDEX([2]Rubric!$G$3:$G$94,MATCH(1,([2]Rubric!$E$3:$E$94=G$2)*([2]Rubric!$F$3:$F$94='[2]Questionnaire Responses'!G242),0)),"MISSING"))</f>
        <v/>
      </c>
      <c r="H241" s="183" t="str">
        <f t="array" ref="H241">IF(Table133[[#This Row],[Survey?]]="","",IFERROR(INDEX([2]Rubric!$G$3:$G$94,MATCH(1,([2]Rubric!$E$3:$E$94=H$2)*([2]Rubric!$F$3:$F$94='[2]Questionnaire Responses'!H242),0)),"MISSING"))</f>
        <v/>
      </c>
      <c r="I241" s="183" t="str">
        <f t="array" ref="I241">IF(Table133[[#This Row],[Survey?]]="","",IFERROR(INDEX([2]Rubric!$G$3:$G$94,MATCH(1,([2]Rubric!$E$3:$E$94=I$2)*([2]Rubric!$F$3:$F$94='[2]Questionnaire Responses'!I242),0)),"MISSING"))</f>
        <v/>
      </c>
      <c r="J241" s="183" t="str">
        <f t="array" ref="J241">IF(Table133[[#This Row],[Survey?]]="","",IFERROR(INDEX([2]Rubric!$G$3:$G$94,MATCH(1,([2]Rubric!$E$3:$E$94=J$2)*([2]Rubric!$F$3:$F$94='[2]Questionnaire Responses'!J242),0)),"MISSING"))</f>
        <v/>
      </c>
      <c r="K241" s="206"/>
      <c r="L241" s="183" t="str">
        <f t="array" ref="L241">IF(Table133[[#This Row],[Survey?]]="","",IFERROR(INDEX([2]Rubric!$G$3:$G$94,MATCH(1,([2]Rubric!$E$3:$E$94=L$2)*([2]Rubric!$F$3:$F$94='[2]Questionnaire Responses'!L242),0)),"MISSING"))</f>
        <v/>
      </c>
      <c r="M241" s="206"/>
      <c r="N241" s="183" t="str">
        <f t="array" ref="N241">IF(Table133[[#This Row],[Survey?]]="","",IFERROR(INDEX([2]Rubric!$G$3:$G$94,MATCH(1,([2]Rubric!$E$3:$E$94=N$2)*([2]Rubric!$F$3:$F$94='[2]Questionnaire Responses'!N242),0)),"MISSING"))</f>
        <v/>
      </c>
      <c r="O241" s="183" t="str">
        <f t="array" ref="O241">IF(Table133[[#This Row],[Survey?]]="","",IFERROR(INDEX([2]Rubric!$G$3:$G$94,MATCH(1,([2]Rubric!$E$3:$E$94=O$2)*([2]Rubric!$F$3:$F$94='[2]Questionnaire Responses'!O242),0)),"MISSING"))</f>
        <v/>
      </c>
      <c r="P241" s="206"/>
      <c r="Q241" s="183" t="str">
        <f t="array" ref="Q241">IF(Table133[[#This Row],[Survey?]]="","",IFERROR(INDEX([2]Rubric!$G$3:$G$94,MATCH(1,([2]Rubric!$E$3:$E$94=Q$2)*([2]Rubric!$F$3:$F$94='[2]Questionnaire Responses'!Q242),0)),"MISSING"))</f>
        <v/>
      </c>
      <c r="R241" s="183" t="str">
        <f t="array" ref="R241">IF(Table133[[#This Row],[Survey?]]="","",IFERROR(INDEX([2]Rubric!$G$3:$G$94,MATCH(1,([2]Rubric!$E$3:$E$94=R$2)*([2]Rubric!$F$3:$F$94='[2]Questionnaire Responses'!R242),0)),"MISSING"))</f>
        <v/>
      </c>
      <c r="S241" s="183" t="str">
        <f t="array" ref="S241">IF(Table133[[#This Row],[Survey?]]="","",IFERROR(INDEX([2]Rubric!$G$3:$G$94,MATCH(1,([2]Rubric!$E$3:$E$94=S$2)*([2]Rubric!$F$3:$F$94='[2]Questionnaire Responses'!S242),0)),"MISSING"))</f>
        <v/>
      </c>
      <c r="T241" s="183" t="str">
        <f t="array" ref="T241">IF(Table133[[#This Row],[Survey?]]="","",IFERROR(INDEX([2]Rubric!$G$3:$G$94,MATCH(1,([2]Rubric!$E$3:$E$94=T$2)*([2]Rubric!$F$3:$F$94='[2]Questionnaire Responses'!T242),0)),"MISSING"))</f>
        <v/>
      </c>
      <c r="U241" s="206"/>
      <c r="V241" s="183" t="str">
        <f t="array" ref="V241">IF(Table133[[#This Row],[Survey?]]="","",IFERROR(INDEX([2]Rubric!$G$3:$G$94,MATCH(1,([2]Rubric!$E$3:$E$94=V$2)*([2]Rubric!$F$3:$F$94='[2]Questionnaire Responses'!V242),0)),"MISSING"))</f>
        <v/>
      </c>
      <c r="W241" s="206"/>
      <c r="X241" s="183" t="str">
        <f t="array" ref="X241">IF(Table133[[#This Row],[Survey?]]="","",IFERROR(INDEX([2]Rubric!$G$3:$G$94,MATCH(1,([2]Rubric!$E$3:$E$94=X$2)*([2]Rubric!$F$3:$F$94='[2]Questionnaire Responses'!X242),0)),"MISSING"))</f>
        <v/>
      </c>
      <c r="Y241" s="206"/>
      <c r="Z241" s="183" t="str">
        <f t="array" ref="Z241">IF(Table133[[#This Row],[Survey?]]="","",IFERROR(INDEX([2]Rubric!$G$3:$G$94,MATCH(1,([2]Rubric!$E$3:$E$94=Z$2)*([2]Rubric!$F$3:$F$94='[2]Questionnaire Responses'!Z242),0)),"MISSING"))</f>
        <v/>
      </c>
      <c r="AA241" s="183" t="str">
        <f t="array" ref="AA241">IF(Table133[[#This Row],[Survey?]]="","",IFERROR(INDEX([2]Rubric!$G$3:$G$94,MATCH(1,([2]Rubric!$E$3:$E$94=AA$2)*([2]Rubric!$F$3:$F$94='[2]Questionnaire Responses'!AA242),0)),"MISSING"))</f>
        <v/>
      </c>
      <c r="AB241" s="183" t="str">
        <f t="array" ref="AB241">IF(Table133[[#This Row],[Survey?]]="","",IFERROR(INDEX([2]Rubric!$G$3:$G$94,MATCH(1,([2]Rubric!$E$3:$E$94=AB$2)*([2]Rubric!$F$3:$F$94='[2]Questionnaire Responses'!AB242),0)),"MISSING"))</f>
        <v/>
      </c>
      <c r="AC241" s="206"/>
      <c r="AD241" s="183" t="str">
        <f t="array" ref="AD241">IF(Table133[[#This Row],[Survey?]]="","",IFERROR(INDEX([2]Rubric!$G$3:$G$94,MATCH(1,([2]Rubric!$E$3:$E$94=AD$2)*([2]Rubric!$F$3:$F$94='[2]Questionnaire Responses'!AD242),0)),"MISSING"))</f>
        <v/>
      </c>
      <c r="AE241" s="183" t="str">
        <f t="array" ref="AE241">IF(Table133[[#This Row],[Survey?]]="","",IFERROR(INDEX([2]Rubric!$G$3:$G$94,MATCH(1,([2]Rubric!$E$3:$E$94=AE$2)*([2]Rubric!$F$3:$F$94='[2]Questionnaire Responses'!AE242),0)),"MISSING"))</f>
        <v/>
      </c>
      <c r="AF241" s="206"/>
      <c r="AG241" s="183" t="str">
        <f t="array" ref="AG241">IF(Table133[[#This Row],[Survey?]]="","",IFERROR(INDEX([2]Rubric!$G$3:$G$94,MATCH(1,([2]Rubric!$E$3:$E$94=AG$2)*([2]Rubric!$F$3:$F$94='[2]Questionnaire Responses'!AG242),0)),"MISSING"))</f>
        <v/>
      </c>
    </row>
    <row r="242" spans="1:33" ht="12.75" customHeight="1" x14ac:dyDescent="0.25">
      <c r="A242" s="207">
        <f>'[2]Questionnaire Responses'!A243</f>
        <v>0</v>
      </c>
      <c r="B242" s="198">
        <f>'[2]Questionnaire Responses'!B243</f>
        <v>0</v>
      </c>
      <c r="C242" s="153">
        <f>'[2]Questionnaire Responses'!C243</f>
        <v>0</v>
      </c>
      <c r="D242" s="208"/>
      <c r="E242" s="206"/>
      <c r="F242" s="183" t="str">
        <f t="array" ref="F242">IF(Table133[[#This Row],[Survey?]]="","",IFERROR(INDEX([2]Rubric!$G$3:$G$94,MATCH(1,([2]Rubric!$E$3:$E$94=F$2)*([2]Rubric!$F$3:$F$94='[2]Questionnaire Responses'!F243),0)),"MISSING"))</f>
        <v/>
      </c>
      <c r="G242" s="183" t="str">
        <f t="array" ref="G242">IF(Table133[[#This Row],[Survey?]]="","",IFERROR(INDEX([2]Rubric!$G$3:$G$94,MATCH(1,([2]Rubric!$E$3:$E$94=G$2)*([2]Rubric!$F$3:$F$94='[2]Questionnaire Responses'!G243),0)),"MISSING"))</f>
        <v/>
      </c>
      <c r="H242" s="183" t="str">
        <f t="array" ref="H242">IF(Table133[[#This Row],[Survey?]]="","",IFERROR(INDEX([2]Rubric!$G$3:$G$94,MATCH(1,([2]Rubric!$E$3:$E$94=H$2)*([2]Rubric!$F$3:$F$94='[2]Questionnaire Responses'!H243),0)),"MISSING"))</f>
        <v/>
      </c>
      <c r="I242" s="183" t="str">
        <f t="array" ref="I242">IF(Table133[[#This Row],[Survey?]]="","",IFERROR(INDEX([2]Rubric!$G$3:$G$94,MATCH(1,([2]Rubric!$E$3:$E$94=I$2)*([2]Rubric!$F$3:$F$94='[2]Questionnaire Responses'!I243),0)),"MISSING"))</f>
        <v/>
      </c>
      <c r="J242" s="183" t="str">
        <f t="array" ref="J242">IF(Table133[[#This Row],[Survey?]]="","",IFERROR(INDEX([2]Rubric!$G$3:$G$94,MATCH(1,([2]Rubric!$E$3:$E$94=J$2)*([2]Rubric!$F$3:$F$94='[2]Questionnaire Responses'!J243),0)),"MISSING"))</f>
        <v/>
      </c>
      <c r="K242" s="206"/>
      <c r="L242" s="183" t="str">
        <f t="array" ref="L242">IF(Table133[[#This Row],[Survey?]]="","",IFERROR(INDEX([2]Rubric!$G$3:$G$94,MATCH(1,([2]Rubric!$E$3:$E$94=L$2)*([2]Rubric!$F$3:$F$94='[2]Questionnaire Responses'!L243),0)),"MISSING"))</f>
        <v/>
      </c>
      <c r="M242" s="206"/>
      <c r="N242" s="183" t="str">
        <f t="array" ref="N242">IF(Table133[[#This Row],[Survey?]]="","",IFERROR(INDEX([2]Rubric!$G$3:$G$94,MATCH(1,([2]Rubric!$E$3:$E$94=N$2)*([2]Rubric!$F$3:$F$94='[2]Questionnaire Responses'!N243),0)),"MISSING"))</f>
        <v/>
      </c>
      <c r="O242" s="183" t="str">
        <f t="array" ref="O242">IF(Table133[[#This Row],[Survey?]]="","",IFERROR(INDEX([2]Rubric!$G$3:$G$94,MATCH(1,([2]Rubric!$E$3:$E$94=O$2)*([2]Rubric!$F$3:$F$94='[2]Questionnaire Responses'!O243),0)),"MISSING"))</f>
        <v/>
      </c>
      <c r="P242" s="206"/>
      <c r="Q242" s="183" t="str">
        <f t="array" ref="Q242">IF(Table133[[#This Row],[Survey?]]="","",IFERROR(INDEX([2]Rubric!$G$3:$G$94,MATCH(1,([2]Rubric!$E$3:$E$94=Q$2)*([2]Rubric!$F$3:$F$94='[2]Questionnaire Responses'!Q243),0)),"MISSING"))</f>
        <v/>
      </c>
      <c r="R242" s="183" t="str">
        <f t="array" ref="R242">IF(Table133[[#This Row],[Survey?]]="","",IFERROR(INDEX([2]Rubric!$G$3:$G$94,MATCH(1,([2]Rubric!$E$3:$E$94=R$2)*([2]Rubric!$F$3:$F$94='[2]Questionnaire Responses'!R243),0)),"MISSING"))</f>
        <v/>
      </c>
      <c r="S242" s="183" t="str">
        <f t="array" ref="S242">IF(Table133[[#This Row],[Survey?]]="","",IFERROR(INDEX([2]Rubric!$G$3:$G$94,MATCH(1,([2]Rubric!$E$3:$E$94=S$2)*([2]Rubric!$F$3:$F$94='[2]Questionnaire Responses'!S243),0)),"MISSING"))</f>
        <v/>
      </c>
      <c r="T242" s="183" t="str">
        <f t="array" ref="T242">IF(Table133[[#This Row],[Survey?]]="","",IFERROR(INDEX([2]Rubric!$G$3:$G$94,MATCH(1,([2]Rubric!$E$3:$E$94=T$2)*([2]Rubric!$F$3:$F$94='[2]Questionnaire Responses'!T243),0)),"MISSING"))</f>
        <v/>
      </c>
      <c r="U242" s="206"/>
      <c r="V242" s="183" t="str">
        <f t="array" ref="V242">IF(Table133[[#This Row],[Survey?]]="","",IFERROR(INDEX([2]Rubric!$G$3:$G$94,MATCH(1,([2]Rubric!$E$3:$E$94=V$2)*([2]Rubric!$F$3:$F$94='[2]Questionnaire Responses'!V243),0)),"MISSING"))</f>
        <v/>
      </c>
      <c r="W242" s="206"/>
      <c r="X242" s="183" t="str">
        <f t="array" ref="X242">IF(Table133[[#This Row],[Survey?]]="","",IFERROR(INDEX([2]Rubric!$G$3:$G$94,MATCH(1,([2]Rubric!$E$3:$E$94=X$2)*([2]Rubric!$F$3:$F$94='[2]Questionnaire Responses'!X243),0)),"MISSING"))</f>
        <v/>
      </c>
      <c r="Y242" s="206"/>
      <c r="Z242" s="183" t="str">
        <f t="array" ref="Z242">IF(Table133[[#This Row],[Survey?]]="","",IFERROR(INDEX([2]Rubric!$G$3:$G$94,MATCH(1,([2]Rubric!$E$3:$E$94=Z$2)*([2]Rubric!$F$3:$F$94='[2]Questionnaire Responses'!Z243),0)),"MISSING"))</f>
        <v/>
      </c>
      <c r="AA242" s="183" t="str">
        <f t="array" ref="AA242">IF(Table133[[#This Row],[Survey?]]="","",IFERROR(INDEX([2]Rubric!$G$3:$G$94,MATCH(1,([2]Rubric!$E$3:$E$94=AA$2)*([2]Rubric!$F$3:$F$94='[2]Questionnaire Responses'!AA243),0)),"MISSING"))</f>
        <v/>
      </c>
      <c r="AB242" s="183" t="str">
        <f t="array" ref="AB242">IF(Table133[[#This Row],[Survey?]]="","",IFERROR(INDEX([2]Rubric!$G$3:$G$94,MATCH(1,([2]Rubric!$E$3:$E$94=AB$2)*([2]Rubric!$F$3:$F$94='[2]Questionnaire Responses'!AB243),0)),"MISSING"))</f>
        <v/>
      </c>
      <c r="AC242" s="206"/>
      <c r="AD242" s="183" t="str">
        <f t="array" ref="AD242">IF(Table133[[#This Row],[Survey?]]="","",IFERROR(INDEX([2]Rubric!$G$3:$G$94,MATCH(1,([2]Rubric!$E$3:$E$94=AD$2)*([2]Rubric!$F$3:$F$94='[2]Questionnaire Responses'!AD243),0)),"MISSING"))</f>
        <v/>
      </c>
      <c r="AE242" s="183" t="str">
        <f t="array" ref="AE242">IF(Table133[[#This Row],[Survey?]]="","",IFERROR(INDEX([2]Rubric!$G$3:$G$94,MATCH(1,([2]Rubric!$E$3:$E$94=AE$2)*([2]Rubric!$F$3:$F$94='[2]Questionnaire Responses'!AE243),0)),"MISSING"))</f>
        <v/>
      </c>
      <c r="AF242" s="206"/>
      <c r="AG242" s="183" t="str">
        <f t="array" ref="AG242">IF(Table133[[#This Row],[Survey?]]="","",IFERROR(INDEX([2]Rubric!$G$3:$G$94,MATCH(1,([2]Rubric!$E$3:$E$94=AG$2)*([2]Rubric!$F$3:$F$94='[2]Questionnaire Responses'!AG243),0)),"MISSING"))</f>
        <v/>
      </c>
    </row>
    <row r="243" spans="1:33" ht="12.75" customHeight="1" x14ac:dyDescent="0.25">
      <c r="A243" s="207">
        <f>'[2]Questionnaire Responses'!A244</f>
        <v>0</v>
      </c>
      <c r="B243" s="198">
        <f>'[2]Questionnaire Responses'!B244</f>
        <v>0</v>
      </c>
      <c r="C243" s="153">
        <f>'[2]Questionnaire Responses'!C244</f>
        <v>0</v>
      </c>
      <c r="D243" s="208"/>
      <c r="E243" s="206"/>
      <c r="F243" s="183" t="str">
        <f t="array" ref="F243">IF(Table133[[#This Row],[Survey?]]="","",IFERROR(INDEX([2]Rubric!$G$3:$G$94,MATCH(1,([2]Rubric!$E$3:$E$94=F$2)*([2]Rubric!$F$3:$F$94='[2]Questionnaire Responses'!F244),0)),"MISSING"))</f>
        <v/>
      </c>
      <c r="G243" s="183" t="str">
        <f t="array" ref="G243">IF(Table133[[#This Row],[Survey?]]="","",IFERROR(INDEX([2]Rubric!$G$3:$G$94,MATCH(1,([2]Rubric!$E$3:$E$94=G$2)*([2]Rubric!$F$3:$F$94='[2]Questionnaire Responses'!G244),0)),"MISSING"))</f>
        <v/>
      </c>
      <c r="H243" s="183" t="str">
        <f t="array" ref="H243">IF(Table133[[#This Row],[Survey?]]="","",IFERROR(INDEX([2]Rubric!$G$3:$G$94,MATCH(1,([2]Rubric!$E$3:$E$94=H$2)*([2]Rubric!$F$3:$F$94='[2]Questionnaire Responses'!H244),0)),"MISSING"))</f>
        <v/>
      </c>
      <c r="I243" s="183" t="str">
        <f t="array" ref="I243">IF(Table133[[#This Row],[Survey?]]="","",IFERROR(INDEX([2]Rubric!$G$3:$G$94,MATCH(1,([2]Rubric!$E$3:$E$94=I$2)*([2]Rubric!$F$3:$F$94='[2]Questionnaire Responses'!I244),0)),"MISSING"))</f>
        <v/>
      </c>
      <c r="J243" s="183" t="str">
        <f t="array" ref="J243">IF(Table133[[#This Row],[Survey?]]="","",IFERROR(INDEX([2]Rubric!$G$3:$G$94,MATCH(1,([2]Rubric!$E$3:$E$94=J$2)*([2]Rubric!$F$3:$F$94='[2]Questionnaire Responses'!J244),0)),"MISSING"))</f>
        <v/>
      </c>
      <c r="K243" s="206"/>
      <c r="L243" s="183" t="str">
        <f t="array" ref="L243">IF(Table133[[#This Row],[Survey?]]="","",IFERROR(INDEX([2]Rubric!$G$3:$G$94,MATCH(1,([2]Rubric!$E$3:$E$94=L$2)*([2]Rubric!$F$3:$F$94='[2]Questionnaire Responses'!L244),0)),"MISSING"))</f>
        <v/>
      </c>
      <c r="M243" s="206"/>
      <c r="N243" s="183" t="str">
        <f t="array" ref="N243">IF(Table133[[#This Row],[Survey?]]="","",IFERROR(INDEX([2]Rubric!$G$3:$G$94,MATCH(1,([2]Rubric!$E$3:$E$94=N$2)*([2]Rubric!$F$3:$F$94='[2]Questionnaire Responses'!N244),0)),"MISSING"))</f>
        <v/>
      </c>
      <c r="O243" s="183" t="str">
        <f t="array" ref="O243">IF(Table133[[#This Row],[Survey?]]="","",IFERROR(INDEX([2]Rubric!$G$3:$G$94,MATCH(1,([2]Rubric!$E$3:$E$94=O$2)*([2]Rubric!$F$3:$F$94='[2]Questionnaire Responses'!O244),0)),"MISSING"))</f>
        <v/>
      </c>
      <c r="P243" s="206"/>
      <c r="Q243" s="183" t="str">
        <f t="array" ref="Q243">IF(Table133[[#This Row],[Survey?]]="","",IFERROR(INDEX([2]Rubric!$G$3:$G$94,MATCH(1,([2]Rubric!$E$3:$E$94=Q$2)*([2]Rubric!$F$3:$F$94='[2]Questionnaire Responses'!Q244),0)),"MISSING"))</f>
        <v/>
      </c>
      <c r="R243" s="183" t="str">
        <f t="array" ref="R243">IF(Table133[[#This Row],[Survey?]]="","",IFERROR(INDEX([2]Rubric!$G$3:$G$94,MATCH(1,([2]Rubric!$E$3:$E$94=R$2)*([2]Rubric!$F$3:$F$94='[2]Questionnaire Responses'!R244),0)),"MISSING"))</f>
        <v/>
      </c>
      <c r="S243" s="183" t="str">
        <f t="array" ref="S243">IF(Table133[[#This Row],[Survey?]]="","",IFERROR(INDEX([2]Rubric!$G$3:$G$94,MATCH(1,([2]Rubric!$E$3:$E$94=S$2)*([2]Rubric!$F$3:$F$94='[2]Questionnaire Responses'!S244),0)),"MISSING"))</f>
        <v/>
      </c>
      <c r="T243" s="183" t="str">
        <f t="array" ref="T243">IF(Table133[[#This Row],[Survey?]]="","",IFERROR(INDEX([2]Rubric!$G$3:$G$94,MATCH(1,([2]Rubric!$E$3:$E$94=T$2)*([2]Rubric!$F$3:$F$94='[2]Questionnaire Responses'!T244),0)),"MISSING"))</f>
        <v/>
      </c>
      <c r="U243" s="206"/>
      <c r="V243" s="183" t="str">
        <f t="array" ref="V243">IF(Table133[[#This Row],[Survey?]]="","",IFERROR(INDEX([2]Rubric!$G$3:$G$94,MATCH(1,([2]Rubric!$E$3:$E$94=V$2)*([2]Rubric!$F$3:$F$94='[2]Questionnaire Responses'!V244),0)),"MISSING"))</f>
        <v/>
      </c>
      <c r="W243" s="206"/>
      <c r="X243" s="183" t="str">
        <f t="array" ref="X243">IF(Table133[[#This Row],[Survey?]]="","",IFERROR(INDEX([2]Rubric!$G$3:$G$94,MATCH(1,([2]Rubric!$E$3:$E$94=X$2)*([2]Rubric!$F$3:$F$94='[2]Questionnaire Responses'!X244),0)),"MISSING"))</f>
        <v/>
      </c>
      <c r="Y243" s="206"/>
      <c r="Z243" s="183" t="str">
        <f t="array" ref="Z243">IF(Table133[[#This Row],[Survey?]]="","",IFERROR(INDEX([2]Rubric!$G$3:$G$94,MATCH(1,([2]Rubric!$E$3:$E$94=Z$2)*([2]Rubric!$F$3:$F$94='[2]Questionnaire Responses'!Z244),0)),"MISSING"))</f>
        <v/>
      </c>
      <c r="AA243" s="183" t="str">
        <f t="array" ref="AA243">IF(Table133[[#This Row],[Survey?]]="","",IFERROR(INDEX([2]Rubric!$G$3:$G$94,MATCH(1,([2]Rubric!$E$3:$E$94=AA$2)*([2]Rubric!$F$3:$F$94='[2]Questionnaire Responses'!AA244),0)),"MISSING"))</f>
        <v/>
      </c>
      <c r="AB243" s="183" t="str">
        <f t="array" ref="AB243">IF(Table133[[#This Row],[Survey?]]="","",IFERROR(INDEX([2]Rubric!$G$3:$G$94,MATCH(1,([2]Rubric!$E$3:$E$94=AB$2)*([2]Rubric!$F$3:$F$94='[2]Questionnaire Responses'!AB244),0)),"MISSING"))</f>
        <v/>
      </c>
      <c r="AC243" s="206"/>
      <c r="AD243" s="183" t="str">
        <f t="array" ref="AD243">IF(Table133[[#This Row],[Survey?]]="","",IFERROR(INDEX([2]Rubric!$G$3:$G$94,MATCH(1,([2]Rubric!$E$3:$E$94=AD$2)*([2]Rubric!$F$3:$F$94='[2]Questionnaire Responses'!AD244),0)),"MISSING"))</f>
        <v/>
      </c>
      <c r="AE243" s="183" t="str">
        <f t="array" ref="AE243">IF(Table133[[#This Row],[Survey?]]="","",IFERROR(INDEX([2]Rubric!$G$3:$G$94,MATCH(1,([2]Rubric!$E$3:$E$94=AE$2)*([2]Rubric!$F$3:$F$94='[2]Questionnaire Responses'!AE244),0)),"MISSING"))</f>
        <v/>
      </c>
      <c r="AF243" s="206"/>
      <c r="AG243" s="183" t="str">
        <f t="array" ref="AG243">IF(Table133[[#This Row],[Survey?]]="","",IFERROR(INDEX([2]Rubric!$G$3:$G$94,MATCH(1,([2]Rubric!$E$3:$E$94=AG$2)*([2]Rubric!$F$3:$F$94='[2]Questionnaire Responses'!AG244),0)),"MISSING"))</f>
        <v/>
      </c>
    </row>
    <row r="244" spans="1:33" ht="12.75" customHeight="1" x14ac:dyDescent="0.25">
      <c r="A244" s="207">
        <f>'[2]Questionnaire Responses'!A245</f>
        <v>0</v>
      </c>
      <c r="B244" s="198">
        <f>'[2]Questionnaire Responses'!B245</f>
        <v>0</v>
      </c>
      <c r="C244" s="153">
        <f>'[2]Questionnaire Responses'!C245</f>
        <v>0</v>
      </c>
      <c r="D244" s="208"/>
      <c r="E244" s="206"/>
      <c r="F244" s="183" t="str">
        <f t="array" ref="F244">IF(Table133[[#This Row],[Survey?]]="","",IFERROR(INDEX([2]Rubric!$G$3:$G$94,MATCH(1,([2]Rubric!$E$3:$E$94=F$2)*([2]Rubric!$F$3:$F$94='[2]Questionnaire Responses'!F245),0)),"MISSING"))</f>
        <v/>
      </c>
      <c r="G244" s="183" t="str">
        <f t="array" ref="G244">IF(Table133[[#This Row],[Survey?]]="","",IFERROR(INDEX([2]Rubric!$G$3:$G$94,MATCH(1,([2]Rubric!$E$3:$E$94=G$2)*([2]Rubric!$F$3:$F$94='[2]Questionnaire Responses'!G245),0)),"MISSING"))</f>
        <v/>
      </c>
      <c r="H244" s="183" t="str">
        <f t="array" ref="H244">IF(Table133[[#This Row],[Survey?]]="","",IFERROR(INDEX([2]Rubric!$G$3:$G$94,MATCH(1,([2]Rubric!$E$3:$E$94=H$2)*([2]Rubric!$F$3:$F$94='[2]Questionnaire Responses'!H245),0)),"MISSING"))</f>
        <v/>
      </c>
      <c r="I244" s="183" t="str">
        <f t="array" ref="I244">IF(Table133[[#This Row],[Survey?]]="","",IFERROR(INDEX([2]Rubric!$G$3:$G$94,MATCH(1,([2]Rubric!$E$3:$E$94=I$2)*([2]Rubric!$F$3:$F$94='[2]Questionnaire Responses'!I245),0)),"MISSING"))</f>
        <v/>
      </c>
      <c r="J244" s="183" t="str">
        <f t="array" ref="J244">IF(Table133[[#This Row],[Survey?]]="","",IFERROR(INDEX([2]Rubric!$G$3:$G$94,MATCH(1,([2]Rubric!$E$3:$E$94=J$2)*([2]Rubric!$F$3:$F$94='[2]Questionnaire Responses'!J245),0)),"MISSING"))</f>
        <v/>
      </c>
      <c r="K244" s="206"/>
      <c r="L244" s="183" t="str">
        <f t="array" ref="L244">IF(Table133[[#This Row],[Survey?]]="","",IFERROR(INDEX([2]Rubric!$G$3:$G$94,MATCH(1,([2]Rubric!$E$3:$E$94=L$2)*([2]Rubric!$F$3:$F$94='[2]Questionnaire Responses'!L245),0)),"MISSING"))</f>
        <v/>
      </c>
      <c r="M244" s="206"/>
      <c r="N244" s="183" t="str">
        <f t="array" ref="N244">IF(Table133[[#This Row],[Survey?]]="","",IFERROR(INDEX([2]Rubric!$G$3:$G$94,MATCH(1,([2]Rubric!$E$3:$E$94=N$2)*([2]Rubric!$F$3:$F$94='[2]Questionnaire Responses'!N245),0)),"MISSING"))</f>
        <v/>
      </c>
      <c r="O244" s="183" t="str">
        <f t="array" ref="O244">IF(Table133[[#This Row],[Survey?]]="","",IFERROR(INDEX([2]Rubric!$G$3:$G$94,MATCH(1,([2]Rubric!$E$3:$E$94=O$2)*([2]Rubric!$F$3:$F$94='[2]Questionnaire Responses'!O245),0)),"MISSING"))</f>
        <v/>
      </c>
      <c r="P244" s="206"/>
      <c r="Q244" s="183" t="str">
        <f t="array" ref="Q244">IF(Table133[[#This Row],[Survey?]]="","",IFERROR(INDEX([2]Rubric!$G$3:$G$94,MATCH(1,([2]Rubric!$E$3:$E$94=Q$2)*([2]Rubric!$F$3:$F$94='[2]Questionnaire Responses'!Q245),0)),"MISSING"))</f>
        <v/>
      </c>
      <c r="R244" s="183" t="str">
        <f t="array" ref="R244">IF(Table133[[#This Row],[Survey?]]="","",IFERROR(INDEX([2]Rubric!$G$3:$G$94,MATCH(1,([2]Rubric!$E$3:$E$94=R$2)*([2]Rubric!$F$3:$F$94='[2]Questionnaire Responses'!R245),0)),"MISSING"))</f>
        <v/>
      </c>
      <c r="S244" s="183" t="str">
        <f t="array" ref="S244">IF(Table133[[#This Row],[Survey?]]="","",IFERROR(INDEX([2]Rubric!$G$3:$G$94,MATCH(1,([2]Rubric!$E$3:$E$94=S$2)*([2]Rubric!$F$3:$F$94='[2]Questionnaire Responses'!S245),0)),"MISSING"))</f>
        <v/>
      </c>
      <c r="T244" s="183" t="str">
        <f t="array" ref="T244">IF(Table133[[#This Row],[Survey?]]="","",IFERROR(INDEX([2]Rubric!$G$3:$G$94,MATCH(1,([2]Rubric!$E$3:$E$94=T$2)*([2]Rubric!$F$3:$F$94='[2]Questionnaire Responses'!T245),0)),"MISSING"))</f>
        <v/>
      </c>
      <c r="U244" s="206"/>
      <c r="V244" s="183" t="str">
        <f t="array" ref="V244">IF(Table133[[#This Row],[Survey?]]="","",IFERROR(INDEX([2]Rubric!$G$3:$G$94,MATCH(1,([2]Rubric!$E$3:$E$94=V$2)*([2]Rubric!$F$3:$F$94='[2]Questionnaire Responses'!V245),0)),"MISSING"))</f>
        <v/>
      </c>
      <c r="W244" s="206"/>
      <c r="X244" s="183" t="str">
        <f t="array" ref="X244">IF(Table133[[#This Row],[Survey?]]="","",IFERROR(INDEX([2]Rubric!$G$3:$G$94,MATCH(1,([2]Rubric!$E$3:$E$94=X$2)*([2]Rubric!$F$3:$F$94='[2]Questionnaire Responses'!X245),0)),"MISSING"))</f>
        <v/>
      </c>
      <c r="Y244" s="206"/>
      <c r="Z244" s="183" t="str">
        <f t="array" ref="Z244">IF(Table133[[#This Row],[Survey?]]="","",IFERROR(INDEX([2]Rubric!$G$3:$G$94,MATCH(1,([2]Rubric!$E$3:$E$94=Z$2)*([2]Rubric!$F$3:$F$94='[2]Questionnaire Responses'!Z245),0)),"MISSING"))</f>
        <v/>
      </c>
      <c r="AA244" s="183" t="str">
        <f t="array" ref="AA244">IF(Table133[[#This Row],[Survey?]]="","",IFERROR(INDEX([2]Rubric!$G$3:$G$94,MATCH(1,([2]Rubric!$E$3:$E$94=AA$2)*([2]Rubric!$F$3:$F$94='[2]Questionnaire Responses'!AA245),0)),"MISSING"))</f>
        <v/>
      </c>
      <c r="AB244" s="183" t="str">
        <f t="array" ref="AB244">IF(Table133[[#This Row],[Survey?]]="","",IFERROR(INDEX([2]Rubric!$G$3:$G$94,MATCH(1,([2]Rubric!$E$3:$E$94=AB$2)*([2]Rubric!$F$3:$F$94='[2]Questionnaire Responses'!AB245),0)),"MISSING"))</f>
        <v/>
      </c>
      <c r="AC244" s="206"/>
      <c r="AD244" s="183" t="str">
        <f t="array" ref="AD244">IF(Table133[[#This Row],[Survey?]]="","",IFERROR(INDEX([2]Rubric!$G$3:$G$94,MATCH(1,([2]Rubric!$E$3:$E$94=AD$2)*([2]Rubric!$F$3:$F$94='[2]Questionnaire Responses'!AD245),0)),"MISSING"))</f>
        <v/>
      </c>
      <c r="AE244" s="183" t="str">
        <f t="array" ref="AE244">IF(Table133[[#This Row],[Survey?]]="","",IFERROR(INDEX([2]Rubric!$G$3:$G$94,MATCH(1,([2]Rubric!$E$3:$E$94=AE$2)*([2]Rubric!$F$3:$F$94='[2]Questionnaire Responses'!AE245),0)),"MISSING"))</f>
        <v/>
      </c>
      <c r="AF244" s="206"/>
      <c r="AG244" s="183" t="str">
        <f t="array" ref="AG244">IF(Table133[[#This Row],[Survey?]]="","",IFERROR(INDEX([2]Rubric!$G$3:$G$94,MATCH(1,([2]Rubric!$E$3:$E$94=AG$2)*([2]Rubric!$F$3:$F$94='[2]Questionnaire Responses'!AG245),0)),"MISSING"))</f>
        <v/>
      </c>
    </row>
    <row r="245" spans="1:33" ht="12.75" customHeight="1" x14ac:dyDescent="0.25">
      <c r="A245" s="207">
        <f>'[2]Questionnaire Responses'!A246</f>
        <v>0</v>
      </c>
      <c r="B245" s="198">
        <f>'[2]Questionnaire Responses'!B246</f>
        <v>0</v>
      </c>
      <c r="C245" s="153">
        <f>'[2]Questionnaire Responses'!C246</f>
        <v>0</v>
      </c>
      <c r="D245" s="208"/>
      <c r="E245" s="206"/>
      <c r="F245" s="183" t="str">
        <f t="array" ref="F245">IF(Table133[[#This Row],[Survey?]]="","",IFERROR(INDEX([2]Rubric!$G$3:$G$94,MATCH(1,([2]Rubric!$E$3:$E$94=F$2)*([2]Rubric!$F$3:$F$94='[2]Questionnaire Responses'!F246),0)),"MISSING"))</f>
        <v/>
      </c>
      <c r="G245" s="183" t="str">
        <f t="array" ref="G245">IF(Table133[[#This Row],[Survey?]]="","",IFERROR(INDEX([2]Rubric!$G$3:$G$94,MATCH(1,([2]Rubric!$E$3:$E$94=G$2)*([2]Rubric!$F$3:$F$94='[2]Questionnaire Responses'!G246),0)),"MISSING"))</f>
        <v/>
      </c>
      <c r="H245" s="183" t="str">
        <f t="array" ref="H245">IF(Table133[[#This Row],[Survey?]]="","",IFERROR(INDEX([2]Rubric!$G$3:$G$94,MATCH(1,([2]Rubric!$E$3:$E$94=H$2)*([2]Rubric!$F$3:$F$94='[2]Questionnaire Responses'!H246),0)),"MISSING"))</f>
        <v/>
      </c>
      <c r="I245" s="183" t="str">
        <f t="array" ref="I245">IF(Table133[[#This Row],[Survey?]]="","",IFERROR(INDEX([2]Rubric!$G$3:$G$94,MATCH(1,([2]Rubric!$E$3:$E$94=I$2)*([2]Rubric!$F$3:$F$94='[2]Questionnaire Responses'!I246),0)),"MISSING"))</f>
        <v/>
      </c>
      <c r="J245" s="183" t="str">
        <f t="array" ref="J245">IF(Table133[[#This Row],[Survey?]]="","",IFERROR(INDEX([2]Rubric!$G$3:$G$94,MATCH(1,([2]Rubric!$E$3:$E$94=J$2)*([2]Rubric!$F$3:$F$94='[2]Questionnaire Responses'!J246),0)),"MISSING"))</f>
        <v/>
      </c>
      <c r="K245" s="206"/>
      <c r="L245" s="183" t="str">
        <f t="array" ref="L245">IF(Table133[[#This Row],[Survey?]]="","",IFERROR(INDEX([2]Rubric!$G$3:$G$94,MATCH(1,([2]Rubric!$E$3:$E$94=L$2)*([2]Rubric!$F$3:$F$94='[2]Questionnaire Responses'!L246),0)),"MISSING"))</f>
        <v/>
      </c>
      <c r="M245" s="206"/>
      <c r="N245" s="183" t="str">
        <f t="array" ref="N245">IF(Table133[[#This Row],[Survey?]]="","",IFERROR(INDEX([2]Rubric!$G$3:$G$94,MATCH(1,([2]Rubric!$E$3:$E$94=N$2)*([2]Rubric!$F$3:$F$94='[2]Questionnaire Responses'!N246),0)),"MISSING"))</f>
        <v/>
      </c>
      <c r="O245" s="183" t="str">
        <f t="array" ref="O245">IF(Table133[[#This Row],[Survey?]]="","",IFERROR(INDEX([2]Rubric!$G$3:$G$94,MATCH(1,([2]Rubric!$E$3:$E$94=O$2)*([2]Rubric!$F$3:$F$94='[2]Questionnaire Responses'!O246),0)),"MISSING"))</f>
        <v/>
      </c>
      <c r="P245" s="206"/>
      <c r="Q245" s="183" t="str">
        <f t="array" ref="Q245">IF(Table133[[#This Row],[Survey?]]="","",IFERROR(INDEX([2]Rubric!$G$3:$G$94,MATCH(1,([2]Rubric!$E$3:$E$94=Q$2)*([2]Rubric!$F$3:$F$94='[2]Questionnaire Responses'!Q246),0)),"MISSING"))</f>
        <v/>
      </c>
      <c r="R245" s="183" t="str">
        <f t="array" ref="R245">IF(Table133[[#This Row],[Survey?]]="","",IFERROR(INDEX([2]Rubric!$G$3:$G$94,MATCH(1,([2]Rubric!$E$3:$E$94=R$2)*([2]Rubric!$F$3:$F$94='[2]Questionnaire Responses'!R246),0)),"MISSING"))</f>
        <v/>
      </c>
      <c r="S245" s="183" t="str">
        <f t="array" ref="S245">IF(Table133[[#This Row],[Survey?]]="","",IFERROR(INDEX([2]Rubric!$G$3:$G$94,MATCH(1,([2]Rubric!$E$3:$E$94=S$2)*([2]Rubric!$F$3:$F$94='[2]Questionnaire Responses'!S246),0)),"MISSING"))</f>
        <v/>
      </c>
      <c r="T245" s="183" t="str">
        <f t="array" ref="T245">IF(Table133[[#This Row],[Survey?]]="","",IFERROR(INDEX([2]Rubric!$G$3:$G$94,MATCH(1,([2]Rubric!$E$3:$E$94=T$2)*([2]Rubric!$F$3:$F$94='[2]Questionnaire Responses'!T246),0)),"MISSING"))</f>
        <v/>
      </c>
      <c r="U245" s="206"/>
      <c r="V245" s="183" t="str">
        <f t="array" ref="V245">IF(Table133[[#This Row],[Survey?]]="","",IFERROR(INDEX([2]Rubric!$G$3:$G$94,MATCH(1,([2]Rubric!$E$3:$E$94=V$2)*([2]Rubric!$F$3:$F$94='[2]Questionnaire Responses'!V246),0)),"MISSING"))</f>
        <v/>
      </c>
      <c r="W245" s="206"/>
      <c r="X245" s="183" t="str">
        <f t="array" ref="X245">IF(Table133[[#This Row],[Survey?]]="","",IFERROR(INDEX([2]Rubric!$G$3:$G$94,MATCH(1,([2]Rubric!$E$3:$E$94=X$2)*([2]Rubric!$F$3:$F$94='[2]Questionnaire Responses'!X246),0)),"MISSING"))</f>
        <v/>
      </c>
      <c r="Y245" s="206"/>
      <c r="Z245" s="183" t="str">
        <f t="array" ref="Z245">IF(Table133[[#This Row],[Survey?]]="","",IFERROR(INDEX([2]Rubric!$G$3:$G$94,MATCH(1,([2]Rubric!$E$3:$E$94=Z$2)*([2]Rubric!$F$3:$F$94='[2]Questionnaire Responses'!Z246),0)),"MISSING"))</f>
        <v/>
      </c>
      <c r="AA245" s="183" t="str">
        <f t="array" ref="AA245">IF(Table133[[#This Row],[Survey?]]="","",IFERROR(INDEX([2]Rubric!$G$3:$G$94,MATCH(1,([2]Rubric!$E$3:$E$94=AA$2)*([2]Rubric!$F$3:$F$94='[2]Questionnaire Responses'!AA246),0)),"MISSING"))</f>
        <v/>
      </c>
      <c r="AB245" s="183" t="str">
        <f t="array" ref="AB245">IF(Table133[[#This Row],[Survey?]]="","",IFERROR(INDEX([2]Rubric!$G$3:$G$94,MATCH(1,([2]Rubric!$E$3:$E$94=AB$2)*([2]Rubric!$F$3:$F$94='[2]Questionnaire Responses'!AB246),0)),"MISSING"))</f>
        <v/>
      </c>
      <c r="AC245" s="206"/>
      <c r="AD245" s="183" t="str">
        <f t="array" ref="AD245">IF(Table133[[#This Row],[Survey?]]="","",IFERROR(INDEX([2]Rubric!$G$3:$G$94,MATCH(1,([2]Rubric!$E$3:$E$94=AD$2)*([2]Rubric!$F$3:$F$94='[2]Questionnaire Responses'!AD246),0)),"MISSING"))</f>
        <v/>
      </c>
      <c r="AE245" s="183" t="str">
        <f t="array" ref="AE245">IF(Table133[[#This Row],[Survey?]]="","",IFERROR(INDEX([2]Rubric!$G$3:$G$94,MATCH(1,([2]Rubric!$E$3:$E$94=AE$2)*([2]Rubric!$F$3:$F$94='[2]Questionnaire Responses'!AE246),0)),"MISSING"))</f>
        <v/>
      </c>
      <c r="AF245" s="206"/>
      <c r="AG245" s="183" t="str">
        <f t="array" ref="AG245">IF(Table133[[#This Row],[Survey?]]="","",IFERROR(INDEX([2]Rubric!$G$3:$G$94,MATCH(1,([2]Rubric!$E$3:$E$94=AG$2)*([2]Rubric!$F$3:$F$94='[2]Questionnaire Responses'!AG246),0)),"MISSING"))</f>
        <v/>
      </c>
    </row>
    <row r="246" spans="1:33" ht="12.75" customHeight="1" x14ac:dyDescent="0.25">
      <c r="A246" s="207">
        <f>'[2]Questionnaire Responses'!A247</f>
        <v>0</v>
      </c>
      <c r="B246" s="198">
        <f>'[2]Questionnaire Responses'!B247</f>
        <v>0</v>
      </c>
      <c r="C246" s="153">
        <f>'[2]Questionnaire Responses'!C247</f>
        <v>0</v>
      </c>
      <c r="D246" s="208"/>
      <c r="E246" s="206"/>
      <c r="F246" s="183" t="str">
        <f t="array" ref="F246">IF(Table133[[#This Row],[Survey?]]="","",IFERROR(INDEX([2]Rubric!$G$3:$G$94,MATCH(1,([2]Rubric!$E$3:$E$94=F$2)*([2]Rubric!$F$3:$F$94='[2]Questionnaire Responses'!F247),0)),"MISSING"))</f>
        <v/>
      </c>
      <c r="G246" s="183" t="str">
        <f t="array" ref="G246">IF(Table133[[#This Row],[Survey?]]="","",IFERROR(INDEX([2]Rubric!$G$3:$G$94,MATCH(1,([2]Rubric!$E$3:$E$94=G$2)*([2]Rubric!$F$3:$F$94='[2]Questionnaire Responses'!G247),0)),"MISSING"))</f>
        <v/>
      </c>
      <c r="H246" s="183" t="str">
        <f t="array" ref="H246">IF(Table133[[#This Row],[Survey?]]="","",IFERROR(INDEX([2]Rubric!$G$3:$G$94,MATCH(1,([2]Rubric!$E$3:$E$94=H$2)*([2]Rubric!$F$3:$F$94='[2]Questionnaire Responses'!H247),0)),"MISSING"))</f>
        <v/>
      </c>
      <c r="I246" s="183" t="str">
        <f t="array" ref="I246">IF(Table133[[#This Row],[Survey?]]="","",IFERROR(INDEX([2]Rubric!$G$3:$G$94,MATCH(1,([2]Rubric!$E$3:$E$94=I$2)*([2]Rubric!$F$3:$F$94='[2]Questionnaire Responses'!I247),0)),"MISSING"))</f>
        <v/>
      </c>
      <c r="J246" s="183" t="str">
        <f t="array" ref="J246">IF(Table133[[#This Row],[Survey?]]="","",IFERROR(INDEX([2]Rubric!$G$3:$G$94,MATCH(1,([2]Rubric!$E$3:$E$94=J$2)*([2]Rubric!$F$3:$F$94='[2]Questionnaire Responses'!J247),0)),"MISSING"))</f>
        <v/>
      </c>
      <c r="K246" s="206"/>
      <c r="L246" s="183" t="str">
        <f t="array" ref="L246">IF(Table133[[#This Row],[Survey?]]="","",IFERROR(INDEX([2]Rubric!$G$3:$G$94,MATCH(1,([2]Rubric!$E$3:$E$94=L$2)*([2]Rubric!$F$3:$F$94='[2]Questionnaire Responses'!L247),0)),"MISSING"))</f>
        <v/>
      </c>
      <c r="M246" s="206"/>
      <c r="N246" s="183" t="str">
        <f t="array" ref="N246">IF(Table133[[#This Row],[Survey?]]="","",IFERROR(INDEX([2]Rubric!$G$3:$G$94,MATCH(1,([2]Rubric!$E$3:$E$94=N$2)*([2]Rubric!$F$3:$F$94='[2]Questionnaire Responses'!N247),0)),"MISSING"))</f>
        <v/>
      </c>
      <c r="O246" s="183" t="str">
        <f t="array" ref="O246">IF(Table133[[#This Row],[Survey?]]="","",IFERROR(INDEX([2]Rubric!$G$3:$G$94,MATCH(1,([2]Rubric!$E$3:$E$94=O$2)*([2]Rubric!$F$3:$F$94='[2]Questionnaire Responses'!O247),0)),"MISSING"))</f>
        <v/>
      </c>
      <c r="P246" s="206"/>
      <c r="Q246" s="183" t="str">
        <f t="array" ref="Q246">IF(Table133[[#This Row],[Survey?]]="","",IFERROR(INDEX([2]Rubric!$G$3:$G$94,MATCH(1,([2]Rubric!$E$3:$E$94=Q$2)*([2]Rubric!$F$3:$F$94='[2]Questionnaire Responses'!Q247),0)),"MISSING"))</f>
        <v/>
      </c>
      <c r="R246" s="183" t="str">
        <f t="array" ref="R246">IF(Table133[[#This Row],[Survey?]]="","",IFERROR(INDEX([2]Rubric!$G$3:$G$94,MATCH(1,([2]Rubric!$E$3:$E$94=R$2)*([2]Rubric!$F$3:$F$94='[2]Questionnaire Responses'!R247),0)),"MISSING"))</f>
        <v/>
      </c>
      <c r="S246" s="183" t="str">
        <f t="array" ref="S246">IF(Table133[[#This Row],[Survey?]]="","",IFERROR(INDEX([2]Rubric!$G$3:$G$94,MATCH(1,([2]Rubric!$E$3:$E$94=S$2)*([2]Rubric!$F$3:$F$94='[2]Questionnaire Responses'!S247),0)),"MISSING"))</f>
        <v/>
      </c>
      <c r="T246" s="183" t="str">
        <f t="array" ref="T246">IF(Table133[[#This Row],[Survey?]]="","",IFERROR(INDEX([2]Rubric!$G$3:$G$94,MATCH(1,([2]Rubric!$E$3:$E$94=T$2)*([2]Rubric!$F$3:$F$94='[2]Questionnaire Responses'!T247),0)),"MISSING"))</f>
        <v/>
      </c>
      <c r="U246" s="206"/>
      <c r="V246" s="183" t="str">
        <f t="array" ref="V246">IF(Table133[[#This Row],[Survey?]]="","",IFERROR(INDEX([2]Rubric!$G$3:$G$94,MATCH(1,([2]Rubric!$E$3:$E$94=V$2)*([2]Rubric!$F$3:$F$94='[2]Questionnaire Responses'!V247),0)),"MISSING"))</f>
        <v/>
      </c>
      <c r="W246" s="206"/>
      <c r="X246" s="183" t="str">
        <f t="array" ref="X246">IF(Table133[[#This Row],[Survey?]]="","",IFERROR(INDEX([2]Rubric!$G$3:$G$94,MATCH(1,([2]Rubric!$E$3:$E$94=X$2)*([2]Rubric!$F$3:$F$94='[2]Questionnaire Responses'!X247),0)),"MISSING"))</f>
        <v/>
      </c>
      <c r="Y246" s="206"/>
      <c r="Z246" s="183" t="str">
        <f t="array" ref="Z246">IF(Table133[[#This Row],[Survey?]]="","",IFERROR(INDEX([2]Rubric!$G$3:$G$94,MATCH(1,([2]Rubric!$E$3:$E$94=Z$2)*([2]Rubric!$F$3:$F$94='[2]Questionnaire Responses'!Z247),0)),"MISSING"))</f>
        <v/>
      </c>
      <c r="AA246" s="183" t="str">
        <f t="array" ref="AA246">IF(Table133[[#This Row],[Survey?]]="","",IFERROR(INDEX([2]Rubric!$G$3:$G$94,MATCH(1,([2]Rubric!$E$3:$E$94=AA$2)*([2]Rubric!$F$3:$F$94='[2]Questionnaire Responses'!AA247),0)),"MISSING"))</f>
        <v/>
      </c>
      <c r="AB246" s="183" t="str">
        <f t="array" ref="AB246">IF(Table133[[#This Row],[Survey?]]="","",IFERROR(INDEX([2]Rubric!$G$3:$G$94,MATCH(1,([2]Rubric!$E$3:$E$94=AB$2)*([2]Rubric!$F$3:$F$94='[2]Questionnaire Responses'!AB247),0)),"MISSING"))</f>
        <v/>
      </c>
      <c r="AC246" s="206"/>
      <c r="AD246" s="183" t="str">
        <f t="array" ref="AD246">IF(Table133[[#This Row],[Survey?]]="","",IFERROR(INDEX([2]Rubric!$G$3:$G$94,MATCH(1,([2]Rubric!$E$3:$E$94=AD$2)*([2]Rubric!$F$3:$F$94='[2]Questionnaire Responses'!AD247),0)),"MISSING"))</f>
        <v/>
      </c>
      <c r="AE246" s="183" t="str">
        <f t="array" ref="AE246">IF(Table133[[#This Row],[Survey?]]="","",IFERROR(INDEX([2]Rubric!$G$3:$G$94,MATCH(1,([2]Rubric!$E$3:$E$94=AE$2)*([2]Rubric!$F$3:$F$94='[2]Questionnaire Responses'!AE247),0)),"MISSING"))</f>
        <v/>
      </c>
      <c r="AF246" s="206"/>
      <c r="AG246" s="183" t="str">
        <f t="array" ref="AG246">IF(Table133[[#This Row],[Survey?]]="","",IFERROR(INDEX([2]Rubric!$G$3:$G$94,MATCH(1,([2]Rubric!$E$3:$E$94=AG$2)*([2]Rubric!$F$3:$F$94='[2]Questionnaire Responses'!AG247),0)),"MISSING"))</f>
        <v/>
      </c>
    </row>
    <row r="247" spans="1:33" ht="12.75" customHeight="1" x14ac:dyDescent="0.25">
      <c r="A247" s="207">
        <f>'[2]Questionnaire Responses'!A248</f>
        <v>0</v>
      </c>
      <c r="B247" s="198">
        <f>'[2]Questionnaire Responses'!B248</f>
        <v>0</v>
      </c>
      <c r="C247" s="153">
        <f>'[2]Questionnaire Responses'!C248</f>
        <v>0</v>
      </c>
      <c r="D247" s="208"/>
      <c r="E247" s="206"/>
      <c r="F247" s="183" t="str">
        <f t="array" ref="F247">IF(Table133[[#This Row],[Survey?]]="","",IFERROR(INDEX([2]Rubric!$G$3:$G$94,MATCH(1,([2]Rubric!$E$3:$E$94=F$2)*([2]Rubric!$F$3:$F$94='[2]Questionnaire Responses'!F248),0)),"MISSING"))</f>
        <v/>
      </c>
      <c r="G247" s="183" t="str">
        <f t="array" ref="G247">IF(Table133[[#This Row],[Survey?]]="","",IFERROR(INDEX([2]Rubric!$G$3:$G$94,MATCH(1,([2]Rubric!$E$3:$E$94=G$2)*([2]Rubric!$F$3:$F$94='[2]Questionnaire Responses'!G248),0)),"MISSING"))</f>
        <v/>
      </c>
      <c r="H247" s="183" t="str">
        <f t="array" ref="H247">IF(Table133[[#This Row],[Survey?]]="","",IFERROR(INDEX([2]Rubric!$G$3:$G$94,MATCH(1,([2]Rubric!$E$3:$E$94=H$2)*([2]Rubric!$F$3:$F$94='[2]Questionnaire Responses'!H248),0)),"MISSING"))</f>
        <v/>
      </c>
      <c r="I247" s="183" t="str">
        <f t="array" ref="I247">IF(Table133[[#This Row],[Survey?]]="","",IFERROR(INDEX([2]Rubric!$G$3:$G$94,MATCH(1,([2]Rubric!$E$3:$E$94=I$2)*([2]Rubric!$F$3:$F$94='[2]Questionnaire Responses'!I248),0)),"MISSING"))</f>
        <v/>
      </c>
      <c r="J247" s="183" t="str">
        <f t="array" ref="J247">IF(Table133[[#This Row],[Survey?]]="","",IFERROR(INDEX([2]Rubric!$G$3:$G$94,MATCH(1,([2]Rubric!$E$3:$E$94=J$2)*([2]Rubric!$F$3:$F$94='[2]Questionnaire Responses'!J248),0)),"MISSING"))</f>
        <v/>
      </c>
      <c r="K247" s="206"/>
      <c r="L247" s="183" t="str">
        <f t="array" ref="L247">IF(Table133[[#This Row],[Survey?]]="","",IFERROR(INDEX([2]Rubric!$G$3:$G$94,MATCH(1,([2]Rubric!$E$3:$E$94=L$2)*([2]Rubric!$F$3:$F$94='[2]Questionnaire Responses'!L248),0)),"MISSING"))</f>
        <v/>
      </c>
      <c r="M247" s="206"/>
      <c r="N247" s="183" t="str">
        <f t="array" ref="N247">IF(Table133[[#This Row],[Survey?]]="","",IFERROR(INDEX([2]Rubric!$G$3:$G$94,MATCH(1,([2]Rubric!$E$3:$E$94=N$2)*([2]Rubric!$F$3:$F$94='[2]Questionnaire Responses'!N248),0)),"MISSING"))</f>
        <v/>
      </c>
      <c r="O247" s="183" t="str">
        <f t="array" ref="O247">IF(Table133[[#This Row],[Survey?]]="","",IFERROR(INDEX([2]Rubric!$G$3:$G$94,MATCH(1,([2]Rubric!$E$3:$E$94=O$2)*([2]Rubric!$F$3:$F$94='[2]Questionnaire Responses'!O248),0)),"MISSING"))</f>
        <v/>
      </c>
      <c r="P247" s="206"/>
      <c r="Q247" s="183" t="str">
        <f t="array" ref="Q247">IF(Table133[[#This Row],[Survey?]]="","",IFERROR(INDEX([2]Rubric!$G$3:$G$94,MATCH(1,([2]Rubric!$E$3:$E$94=Q$2)*([2]Rubric!$F$3:$F$94='[2]Questionnaire Responses'!Q248),0)),"MISSING"))</f>
        <v/>
      </c>
      <c r="R247" s="183" t="str">
        <f t="array" ref="R247">IF(Table133[[#This Row],[Survey?]]="","",IFERROR(INDEX([2]Rubric!$G$3:$G$94,MATCH(1,([2]Rubric!$E$3:$E$94=R$2)*([2]Rubric!$F$3:$F$94='[2]Questionnaire Responses'!R248),0)),"MISSING"))</f>
        <v/>
      </c>
      <c r="S247" s="183" t="str">
        <f t="array" ref="S247">IF(Table133[[#This Row],[Survey?]]="","",IFERROR(INDEX([2]Rubric!$G$3:$G$94,MATCH(1,([2]Rubric!$E$3:$E$94=S$2)*([2]Rubric!$F$3:$F$94='[2]Questionnaire Responses'!S248),0)),"MISSING"))</f>
        <v/>
      </c>
      <c r="T247" s="183" t="str">
        <f t="array" ref="T247">IF(Table133[[#This Row],[Survey?]]="","",IFERROR(INDEX([2]Rubric!$G$3:$G$94,MATCH(1,([2]Rubric!$E$3:$E$94=T$2)*([2]Rubric!$F$3:$F$94='[2]Questionnaire Responses'!T248),0)),"MISSING"))</f>
        <v/>
      </c>
      <c r="U247" s="206"/>
      <c r="V247" s="183" t="str">
        <f t="array" ref="V247">IF(Table133[[#This Row],[Survey?]]="","",IFERROR(INDEX([2]Rubric!$G$3:$G$94,MATCH(1,([2]Rubric!$E$3:$E$94=V$2)*([2]Rubric!$F$3:$F$94='[2]Questionnaire Responses'!V248),0)),"MISSING"))</f>
        <v/>
      </c>
      <c r="W247" s="206"/>
      <c r="X247" s="183" t="str">
        <f t="array" ref="X247">IF(Table133[[#This Row],[Survey?]]="","",IFERROR(INDEX([2]Rubric!$G$3:$G$94,MATCH(1,([2]Rubric!$E$3:$E$94=X$2)*([2]Rubric!$F$3:$F$94='[2]Questionnaire Responses'!X248),0)),"MISSING"))</f>
        <v/>
      </c>
      <c r="Y247" s="206"/>
      <c r="Z247" s="183" t="str">
        <f t="array" ref="Z247">IF(Table133[[#This Row],[Survey?]]="","",IFERROR(INDEX([2]Rubric!$G$3:$G$94,MATCH(1,([2]Rubric!$E$3:$E$94=Z$2)*([2]Rubric!$F$3:$F$94='[2]Questionnaire Responses'!Z248),0)),"MISSING"))</f>
        <v/>
      </c>
      <c r="AA247" s="183" t="str">
        <f t="array" ref="AA247">IF(Table133[[#This Row],[Survey?]]="","",IFERROR(INDEX([2]Rubric!$G$3:$G$94,MATCH(1,([2]Rubric!$E$3:$E$94=AA$2)*([2]Rubric!$F$3:$F$94='[2]Questionnaire Responses'!AA248),0)),"MISSING"))</f>
        <v/>
      </c>
      <c r="AB247" s="183" t="str">
        <f t="array" ref="AB247">IF(Table133[[#This Row],[Survey?]]="","",IFERROR(INDEX([2]Rubric!$G$3:$G$94,MATCH(1,([2]Rubric!$E$3:$E$94=AB$2)*([2]Rubric!$F$3:$F$94='[2]Questionnaire Responses'!AB248),0)),"MISSING"))</f>
        <v/>
      </c>
      <c r="AC247" s="206"/>
      <c r="AD247" s="183" t="str">
        <f t="array" ref="AD247">IF(Table133[[#This Row],[Survey?]]="","",IFERROR(INDEX([2]Rubric!$G$3:$G$94,MATCH(1,([2]Rubric!$E$3:$E$94=AD$2)*([2]Rubric!$F$3:$F$94='[2]Questionnaire Responses'!AD248),0)),"MISSING"))</f>
        <v/>
      </c>
      <c r="AE247" s="183" t="str">
        <f t="array" ref="AE247">IF(Table133[[#This Row],[Survey?]]="","",IFERROR(INDEX([2]Rubric!$G$3:$G$94,MATCH(1,([2]Rubric!$E$3:$E$94=AE$2)*([2]Rubric!$F$3:$F$94='[2]Questionnaire Responses'!AE248),0)),"MISSING"))</f>
        <v/>
      </c>
      <c r="AF247" s="206"/>
      <c r="AG247" s="183" t="str">
        <f t="array" ref="AG247">IF(Table133[[#This Row],[Survey?]]="","",IFERROR(INDEX([2]Rubric!$G$3:$G$94,MATCH(1,([2]Rubric!$E$3:$E$94=AG$2)*([2]Rubric!$F$3:$F$94='[2]Questionnaire Responses'!AG248),0)),"MISSING"))</f>
        <v/>
      </c>
    </row>
    <row r="248" spans="1:33" ht="12.75" customHeight="1" x14ac:dyDescent="0.25">
      <c r="A248" s="207">
        <f>'[2]Questionnaire Responses'!A249</f>
        <v>0</v>
      </c>
      <c r="B248" s="198">
        <f>'[2]Questionnaire Responses'!B249</f>
        <v>0</v>
      </c>
      <c r="C248" s="153">
        <f>'[2]Questionnaire Responses'!C249</f>
        <v>0</v>
      </c>
      <c r="D248" s="208"/>
      <c r="E248" s="206"/>
      <c r="F248" s="183" t="str">
        <f t="array" ref="F248">IF(Table133[[#This Row],[Survey?]]="","",IFERROR(INDEX([2]Rubric!$G$3:$G$94,MATCH(1,([2]Rubric!$E$3:$E$94=F$2)*([2]Rubric!$F$3:$F$94='[2]Questionnaire Responses'!F249),0)),"MISSING"))</f>
        <v/>
      </c>
      <c r="G248" s="183" t="str">
        <f t="array" ref="G248">IF(Table133[[#This Row],[Survey?]]="","",IFERROR(INDEX([2]Rubric!$G$3:$G$94,MATCH(1,([2]Rubric!$E$3:$E$94=G$2)*([2]Rubric!$F$3:$F$94='[2]Questionnaire Responses'!G249),0)),"MISSING"))</f>
        <v/>
      </c>
      <c r="H248" s="183" t="str">
        <f t="array" ref="H248">IF(Table133[[#This Row],[Survey?]]="","",IFERROR(INDEX([2]Rubric!$G$3:$G$94,MATCH(1,([2]Rubric!$E$3:$E$94=H$2)*([2]Rubric!$F$3:$F$94='[2]Questionnaire Responses'!H249),0)),"MISSING"))</f>
        <v/>
      </c>
      <c r="I248" s="183" t="str">
        <f t="array" ref="I248">IF(Table133[[#This Row],[Survey?]]="","",IFERROR(INDEX([2]Rubric!$G$3:$G$94,MATCH(1,([2]Rubric!$E$3:$E$94=I$2)*([2]Rubric!$F$3:$F$94='[2]Questionnaire Responses'!I249),0)),"MISSING"))</f>
        <v/>
      </c>
      <c r="J248" s="183" t="str">
        <f t="array" ref="J248">IF(Table133[[#This Row],[Survey?]]="","",IFERROR(INDEX([2]Rubric!$G$3:$G$94,MATCH(1,([2]Rubric!$E$3:$E$94=J$2)*([2]Rubric!$F$3:$F$94='[2]Questionnaire Responses'!J249),0)),"MISSING"))</f>
        <v/>
      </c>
      <c r="K248" s="206"/>
      <c r="L248" s="183" t="str">
        <f t="array" ref="L248">IF(Table133[[#This Row],[Survey?]]="","",IFERROR(INDEX([2]Rubric!$G$3:$G$94,MATCH(1,([2]Rubric!$E$3:$E$94=L$2)*([2]Rubric!$F$3:$F$94='[2]Questionnaire Responses'!L249),0)),"MISSING"))</f>
        <v/>
      </c>
      <c r="M248" s="206"/>
      <c r="N248" s="183" t="str">
        <f t="array" ref="N248">IF(Table133[[#This Row],[Survey?]]="","",IFERROR(INDEX([2]Rubric!$G$3:$G$94,MATCH(1,([2]Rubric!$E$3:$E$94=N$2)*([2]Rubric!$F$3:$F$94='[2]Questionnaire Responses'!N249),0)),"MISSING"))</f>
        <v/>
      </c>
      <c r="O248" s="183" t="str">
        <f t="array" ref="O248">IF(Table133[[#This Row],[Survey?]]="","",IFERROR(INDEX([2]Rubric!$G$3:$G$94,MATCH(1,([2]Rubric!$E$3:$E$94=O$2)*([2]Rubric!$F$3:$F$94='[2]Questionnaire Responses'!O249),0)),"MISSING"))</f>
        <v/>
      </c>
      <c r="P248" s="206"/>
      <c r="Q248" s="183" t="str">
        <f t="array" ref="Q248">IF(Table133[[#This Row],[Survey?]]="","",IFERROR(INDEX([2]Rubric!$G$3:$G$94,MATCH(1,([2]Rubric!$E$3:$E$94=Q$2)*([2]Rubric!$F$3:$F$94='[2]Questionnaire Responses'!Q249),0)),"MISSING"))</f>
        <v/>
      </c>
      <c r="R248" s="183" t="str">
        <f t="array" ref="R248">IF(Table133[[#This Row],[Survey?]]="","",IFERROR(INDEX([2]Rubric!$G$3:$G$94,MATCH(1,([2]Rubric!$E$3:$E$94=R$2)*([2]Rubric!$F$3:$F$94='[2]Questionnaire Responses'!R249),0)),"MISSING"))</f>
        <v/>
      </c>
      <c r="S248" s="183" t="str">
        <f t="array" ref="S248">IF(Table133[[#This Row],[Survey?]]="","",IFERROR(INDEX([2]Rubric!$G$3:$G$94,MATCH(1,([2]Rubric!$E$3:$E$94=S$2)*([2]Rubric!$F$3:$F$94='[2]Questionnaire Responses'!S249),0)),"MISSING"))</f>
        <v/>
      </c>
      <c r="T248" s="183" t="str">
        <f t="array" ref="T248">IF(Table133[[#This Row],[Survey?]]="","",IFERROR(INDEX([2]Rubric!$G$3:$G$94,MATCH(1,([2]Rubric!$E$3:$E$94=T$2)*([2]Rubric!$F$3:$F$94='[2]Questionnaire Responses'!T249),0)),"MISSING"))</f>
        <v/>
      </c>
      <c r="U248" s="206"/>
      <c r="V248" s="183" t="str">
        <f t="array" ref="V248">IF(Table133[[#This Row],[Survey?]]="","",IFERROR(INDEX([2]Rubric!$G$3:$G$94,MATCH(1,([2]Rubric!$E$3:$E$94=V$2)*([2]Rubric!$F$3:$F$94='[2]Questionnaire Responses'!V249),0)),"MISSING"))</f>
        <v/>
      </c>
      <c r="W248" s="206"/>
      <c r="X248" s="183" t="str">
        <f t="array" ref="X248">IF(Table133[[#This Row],[Survey?]]="","",IFERROR(INDEX([2]Rubric!$G$3:$G$94,MATCH(1,([2]Rubric!$E$3:$E$94=X$2)*([2]Rubric!$F$3:$F$94='[2]Questionnaire Responses'!X249),0)),"MISSING"))</f>
        <v/>
      </c>
      <c r="Y248" s="206"/>
      <c r="Z248" s="183" t="str">
        <f t="array" ref="Z248">IF(Table133[[#This Row],[Survey?]]="","",IFERROR(INDEX([2]Rubric!$G$3:$G$94,MATCH(1,([2]Rubric!$E$3:$E$94=Z$2)*([2]Rubric!$F$3:$F$94='[2]Questionnaire Responses'!Z249),0)),"MISSING"))</f>
        <v/>
      </c>
      <c r="AA248" s="183" t="str">
        <f t="array" ref="AA248">IF(Table133[[#This Row],[Survey?]]="","",IFERROR(INDEX([2]Rubric!$G$3:$G$94,MATCH(1,([2]Rubric!$E$3:$E$94=AA$2)*([2]Rubric!$F$3:$F$94='[2]Questionnaire Responses'!AA249),0)),"MISSING"))</f>
        <v/>
      </c>
      <c r="AB248" s="183" t="str">
        <f t="array" ref="AB248">IF(Table133[[#This Row],[Survey?]]="","",IFERROR(INDEX([2]Rubric!$G$3:$G$94,MATCH(1,([2]Rubric!$E$3:$E$94=AB$2)*([2]Rubric!$F$3:$F$94='[2]Questionnaire Responses'!AB249),0)),"MISSING"))</f>
        <v/>
      </c>
      <c r="AC248" s="206"/>
      <c r="AD248" s="183" t="str">
        <f t="array" ref="AD248">IF(Table133[[#This Row],[Survey?]]="","",IFERROR(INDEX([2]Rubric!$G$3:$G$94,MATCH(1,([2]Rubric!$E$3:$E$94=AD$2)*([2]Rubric!$F$3:$F$94='[2]Questionnaire Responses'!AD249),0)),"MISSING"))</f>
        <v/>
      </c>
      <c r="AE248" s="183" t="str">
        <f t="array" ref="AE248">IF(Table133[[#This Row],[Survey?]]="","",IFERROR(INDEX([2]Rubric!$G$3:$G$94,MATCH(1,([2]Rubric!$E$3:$E$94=AE$2)*([2]Rubric!$F$3:$F$94='[2]Questionnaire Responses'!AE249),0)),"MISSING"))</f>
        <v/>
      </c>
      <c r="AF248" s="206"/>
      <c r="AG248" s="183" t="str">
        <f t="array" ref="AG248">IF(Table133[[#This Row],[Survey?]]="","",IFERROR(INDEX([2]Rubric!$G$3:$G$94,MATCH(1,([2]Rubric!$E$3:$E$94=AG$2)*([2]Rubric!$F$3:$F$94='[2]Questionnaire Responses'!AG249),0)),"MISSING"))</f>
        <v/>
      </c>
    </row>
    <row r="249" spans="1:33" ht="12.75" customHeight="1" x14ac:dyDescent="0.25">
      <c r="A249" s="207">
        <f>'[2]Questionnaire Responses'!A250</f>
        <v>0</v>
      </c>
      <c r="B249" s="198">
        <f>'[2]Questionnaire Responses'!B250</f>
        <v>0</v>
      </c>
      <c r="C249" s="153">
        <f>'[2]Questionnaire Responses'!C250</f>
        <v>0</v>
      </c>
      <c r="D249" s="208"/>
      <c r="E249" s="206"/>
      <c r="F249" s="183" t="str">
        <f t="array" ref="F249">IF(Table133[[#This Row],[Survey?]]="","",IFERROR(INDEX([2]Rubric!$G$3:$G$94,MATCH(1,([2]Rubric!$E$3:$E$94=F$2)*([2]Rubric!$F$3:$F$94='[2]Questionnaire Responses'!F250),0)),"MISSING"))</f>
        <v/>
      </c>
      <c r="G249" s="183" t="str">
        <f t="array" ref="G249">IF(Table133[[#This Row],[Survey?]]="","",IFERROR(INDEX([2]Rubric!$G$3:$G$94,MATCH(1,([2]Rubric!$E$3:$E$94=G$2)*([2]Rubric!$F$3:$F$94='[2]Questionnaire Responses'!G250),0)),"MISSING"))</f>
        <v/>
      </c>
      <c r="H249" s="183" t="str">
        <f t="array" ref="H249">IF(Table133[[#This Row],[Survey?]]="","",IFERROR(INDEX([2]Rubric!$G$3:$G$94,MATCH(1,([2]Rubric!$E$3:$E$94=H$2)*([2]Rubric!$F$3:$F$94='[2]Questionnaire Responses'!H250),0)),"MISSING"))</f>
        <v/>
      </c>
      <c r="I249" s="183" t="str">
        <f t="array" ref="I249">IF(Table133[[#This Row],[Survey?]]="","",IFERROR(INDEX([2]Rubric!$G$3:$G$94,MATCH(1,([2]Rubric!$E$3:$E$94=I$2)*([2]Rubric!$F$3:$F$94='[2]Questionnaire Responses'!I250),0)),"MISSING"))</f>
        <v/>
      </c>
      <c r="J249" s="183" t="str">
        <f t="array" ref="J249">IF(Table133[[#This Row],[Survey?]]="","",IFERROR(INDEX([2]Rubric!$G$3:$G$94,MATCH(1,([2]Rubric!$E$3:$E$94=J$2)*([2]Rubric!$F$3:$F$94='[2]Questionnaire Responses'!J250),0)),"MISSING"))</f>
        <v/>
      </c>
      <c r="K249" s="206"/>
      <c r="L249" s="183" t="str">
        <f t="array" ref="L249">IF(Table133[[#This Row],[Survey?]]="","",IFERROR(INDEX([2]Rubric!$G$3:$G$94,MATCH(1,([2]Rubric!$E$3:$E$94=L$2)*([2]Rubric!$F$3:$F$94='[2]Questionnaire Responses'!L250),0)),"MISSING"))</f>
        <v/>
      </c>
      <c r="M249" s="206"/>
      <c r="N249" s="183" t="str">
        <f t="array" ref="N249">IF(Table133[[#This Row],[Survey?]]="","",IFERROR(INDEX([2]Rubric!$G$3:$G$94,MATCH(1,([2]Rubric!$E$3:$E$94=N$2)*([2]Rubric!$F$3:$F$94='[2]Questionnaire Responses'!N250),0)),"MISSING"))</f>
        <v/>
      </c>
      <c r="O249" s="183" t="str">
        <f t="array" ref="O249">IF(Table133[[#This Row],[Survey?]]="","",IFERROR(INDEX([2]Rubric!$G$3:$G$94,MATCH(1,([2]Rubric!$E$3:$E$94=O$2)*([2]Rubric!$F$3:$F$94='[2]Questionnaire Responses'!O250),0)),"MISSING"))</f>
        <v/>
      </c>
      <c r="P249" s="206"/>
      <c r="Q249" s="183" t="str">
        <f t="array" ref="Q249">IF(Table133[[#This Row],[Survey?]]="","",IFERROR(INDEX([2]Rubric!$G$3:$G$94,MATCH(1,([2]Rubric!$E$3:$E$94=Q$2)*([2]Rubric!$F$3:$F$94='[2]Questionnaire Responses'!Q250),0)),"MISSING"))</f>
        <v/>
      </c>
      <c r="R249" s="183" t="str">
        <f t="array" ref="R249">IF(Table133[[#This Row],[Survey?]]="","",IFERROR(INDEX([2]Rubric!$G$3:$G$94,MATCH(1,([2]Rubric!$E$3:$E$94=R$2)*([2]Rubric!$F$3:$F$94='[2]Questionnaire Responses'!R250),0)),"MISSING"))</f>
        <v/>
      </c>
      <c r="S249" s="183" t="str">
        <f t="array" ref="S249">IF(Table133[[#This Row],[Survey?]]="","",IFERROR(INDEX([2]Rubric!$G$3:$G$94,MATCH(1,([2]Rubric!$E$3:$E$94=S$2)*([2]Rubric!$F$3:$F$94='[2]Questionnaire Responses'!S250),0)),"MISSING"))</f>
        <v/>
      </c>
      <c r="T249" s="183" t="str">
        <f t="array" ref="T249">IF(Table133[[#This Row],[Survey?]]="","",IFERROR(INDEX([2]Rubric!$G$3:$G$94,MATCH(1,([2]Rubric!$E$3:$E$94=T$2)*([2]Rubric!$F$3:$F$94='[2]Questionnaire Responses'!T250),0)),"MISSING"))</f>
        <v/>
      </c>
      <c r="U249" s="206"/>
      <c r="V249" s="183" t="str">
        <f t="array" ref="V249">IF(Table133[[#This Row],[Survey?]]="","",IFERROR(INDEX([2]Rubric!$G$3:$G$94,MATCH(1,([2]Rubric!$E$3:$E$94=V$2)*([2]Rubric!$F$3:$F$94='[2]Questionnaire Responses'!V250),0)),"MISSING"))</f>
        <v/>
      </c>
      <c r="W249" s="206"/>
      <c r="X249" s="183" t="str">
        <f t="array" ref="X249">IF(Table133[[#This Row],[Survey?]]="","",IFERROR(INDEX([2]Rubric!$G$3:$G$94,MATCH(1,([2]Rubric!$E$3:$E$94=X$2)*([2]Rubric!$F$3:$F$94='[2]Questionnaire Responses'!X250),0)),"MISSING"))</f>
        <v/>
      </c>
      <c r="Y249" s="206"/>
      <c r="Z249" s="183" t="str">
        <f t="array" ref="Z249">IF(Table133[[#This Row],[Survey?]]="","",IFERROR(INDEX([2]Rubric!$G$3:$G$94,MATCH(1,([2]Rubric!$E$3:$E$94=Z$2)*([2]Rubric!$F$3:$F$94='[2]Questionnaire Responses'!Z250),0)),"MISSING"))</f>
        <v/>
      </c>
      <c r="AA249" s="183" t="str">
        <f t="array" ref="AA249">IF(Table133[[#This Row],[Survey?]]="","",IFERROR(INDEX([2]Rubric!$G$3:$G$94,MATCH(1,([2]Rubric!$E$3:$E$94=AA$2)*([2]Rubric!$F$3:$F$94='[2]Questionnaire Responses'!AA250),0)),"MISSING"))</f>
        <v/>
      </c>
      <c r="AB249" s="183" t="str">
        <f t="array" ref="AB249">IF(Table133[[#This Row],[Survey?]]="","",IFERROR(INDEX([2]Rubric!$G$3:$G$94,MATCH(1,([2]Rubric!$E$3:$E$94=AB$2)*([2]Rubric!$F$3:$F$94='[2]Questionnaire Responses'!AB250),0)),"MISSING"))</f>
        <v/>
      </c>
      <c r="AC249" s="206"/>
      <c r="AD249" s="183" t="str">
        <f t="array" ref="AD249">IF(Table133[[#This Row],[Survey?]]="","",IFERROR(INDEX([2]Rubric!$G$3:$G$94,MATCH(1,([2]Rubric!$E$3:$E$94=AD$2)*([2]Rubric!$F$3:$F$94='[2]Questionnaire Responses'!AD250),0)),"MISSING"))</f>
        <v/>
      </c>
      <c r="AE249" s="183" t="str">
        <f t="array" ref="AE249">IF(Table133[[#This Row],[Survey?]]="","",IFERROR(INDEX([2]Rubric!$G$3:$G$94,MATCH(1,([2]Rubric!$E$3:$E$94=AE$2)*([2]Rubric!$F$3:$F$94='[2]Questionnaire Responses'!AE250),0)),"MISSING"))</f>
        <v/>
      </c>
      <c r="AF249" s="206"/>
      <c r="AG249" s="183" t="str">
        <f t="array" ref="AG249">IF(Table133[[#This Row],[Survey?]]="","",IFERROR(INDEX([2]Rubric!$G$3:$G$94,MATCH(1,([2]Rubric!$E$3:$E$94=AG$2)*([2]Rubric!$F$3:$F$94='[2]Questionnaire Responses'!AG250),0)),"MISSING"))</f>
        <v/>
      </c>
    </row>
    <row r="250" spans="1:33" ht="12.75" customHeight="1" x14ac:dyDescent="0.25">
      <c r="A250" s="207">
        <f>'[2]Questionnaire Responses'!A251</f>
        <v>0</v>
      </c>
      <c r="B250" s="198">
        <f>'[2]Questionnaire Responses'!B251</f>
        <v>0</v>
      </c>
      <c r="C250" s="153">
        <f>'[2]Questionnaire Responses'!C251</f>
        <v>0</v>
      </c>
      <c r="D250" s="208"/>
      <c r="E250" s="206"/>
      <c r="F250" s="183" t="str">
        <f t="array" ref="F250">IF(Table133[[#This Row],[Survey?]]="","",IFERROR(INDEX([2]Rubric!$G$3:$G$94,MATCH(1,([2]Rubric!$E$3:$E$94=F$2)*([2]Rubric!$F$3:$F$94='[2]Questionnaire Responses'!F251),0)),"MISSING"))</f>
        <v/>
      </c>
      <c r="G250" s="183" t="str">
        <f t="array" ref="G250">IF(Table133[[#This Row],[Survey?]]="","",IFERROR(INDEX([2]Rubric!$G$3:$G$94,MATCH(1,([2]Rubric!$E$3:$E$94=G$2)*([2]Rubric!$F$3:$F$94='[2]Questionnaire Responses'!G251),0)),"MISSING"))</f>
        <v/>
      </c>
      <c r="H250" s="183" t="str">
        <f t="array" ref="H250">IF(Table133[[#This Row],[Survey?]]="","",IFERROR(INDEX([2]Rubric!$G$3:$G$94,MATCH(1,([2]Rubric!$E$3:$E$94=H$2)*([2]Rubric!$F$3:$F$94='[2]Questionnaire Responses'!H251),0)),"MISSING"))</f>
        <v/>
      </c>
      <c r="I250" s="183" t="str">
        <f t="array" ref="I250">IF(Table133[[#This Row],[Survey?]]="","",IFERROR(INDEX([2]Rubric!$G$3:$G$94,MATCH(1,([2]Rubric!$E$3:$E$94=I$2)*([2]Rubric!$F$3:$F$94='[2]Questionnaire Responses'!I251),0)),"MISSING"))</f>
        <v/>
      </c>
      <c r="J250" s="183" t="str">
        <f t="array" ref="J250">IF(Table133[[#This Row],[Survey?]]="","",IFERROR(INDEX([2]Rubric!$G$3:$G$94,MATCH(1,([2]Rubric!$E$3:$E$94=J$2)*([2]Rubric!$F$3:$F$94='[2]Questionnaire Responses'!J251),0)),"MISSING"))</f>
        <v/>
      </c>
      <c r="K250" s="206"/>
      <c r="L250" s="183" t="str">
        <f t="array" ref="L250">IF(Table133[[#This Row],[Survey?]]="","",IFERROR(INDEX([2]Rubric!$G$3:$G$94,MATCH(1,([2]Rubric!$E$3:$E$94=L$2)*([2]Rubric!$F$3:$F$94='[2]Questionnaire Responses'!L251),0)),"MISSING"))</f>
        <v/>
      </c>
      <c r="M250" s="206"/>
      <c r="N250" s="183" t="str">
        <f t="array" ref="N250">IF(Table133[[#This Row],[Survey?]]="","",IFERROR(INDEX([2]Rubric!$G$3:$G$94,MATCH(1,([2]Rubric!$E$3:$E$94=N$2)*([2]Rubric!$F$3:$F$94='[2]Questionnaire Responses'!N251),0)),"MISSING"))</f>
        <v/>
      </c>
      <c r="O250" s="183" t="str">
        <f t="array" ref="O250">IF(Table133[[#This Row],[Survey?]]="","",IFERROR(INDEX([2]Rubric!$G$3:$G$94,MATCH(1,([2]Rubric!$E$3:$E$94=O$2)*([2]Rubric!$F$3:$F$94='[2]Questionnaire Responses'!O251),0)),"MISSING"))</f>
        <v/>
      </c>
      <c r="P250" s="206"/>
      <c r="Q250" s="183" t="str">
        <f t="array" ref="Q250">IF(Table133[[#This Row],[Survey?]]="","",IFERROR(INDEX([2]Rubric!$G$3:$G$94,MATCH(1,([2]Rubric!$E$3:$E$94=Q$2)*([2]Rubric!$F$3:$F$94='[2]Questionnaire Responses'!Q251),0)),"MISSING"))</f>
        <v/>
      </c>
      <c r="R250" s="183" t="str">
        <f t="array" ref="R250">IF(Table133[[#This Row],[Survey?]]="","",IFERROR(INDEX([2]Rubric!$G$3:$G$94,MATCH(1,([2]Rubric!$E$3:$E$94=R$2)*([2]Rubric!$F$3:$F$94='[2]Questionnaire Responses'!R251),0)),"MISSING"))</f>
        <v/>
      </c>
      <c r="S250" s="183" t="str">
        <f t="array" ref="S250">IF(Table133[[#This Row],[Survey?]]="","",IFERROR(INDEX([2]Rubric!$G$3:$G$94,MATCH(1,([2]Rubric!$E$3:$E$94=S$2)*([2]Rubric!$F$3:$F$94='[2]Questionnaire Responses'!S251),0)),"MISSING"))</f>
        <v/>
      </c>
      <c r="T250" s="183" t="str">
        <f t="array" ref="T250">IF(Table133[[#This Row],[Survey?]]="","",IFERROR(INDEX([2]Rubric!$G$3:$G$94,MATCH(1,([2]Rubric!$E$3:$E$94=T$2)*([2]Rubric!$F$3:$F$94='[2]Questionnaire Responses'!T251),0)),"MISSING"))</f>
        <v/>
      </c>
      <c r="U250" s="206"/>
      <c r="V250" s="183" t="str">
        <f t="array" ref="V250">IF(Table133[[#This Row],[Survey?]]="","",IFERROR(INDEX([2]Rubric!$G$3:$G$94,MATCH(1,([2]Rubric!$E$3:$E$94=V$2)*([2]Rubric!$F$3:$F$94='[2]Questionnaire Responses'!V251),0)),"MISSING"))</f>
        <v/>
      </c>
      <c r="W250" s="206"/>
      <c r="X250" s="183" t="str">
        <f t="array" ref="X250">IF(Table133[[#This Row],[Survey?]]="","",IFERROR(INDEX([2]Rubric!$G$3:$G$94,MATCH(1,([2]Rubric!$E$3:$E$94=X$2)*([2]Rubric!$F$3:$F$94='[2]Questionnaire Responses'!X251),0)),"MISSING"))</f>
        <v/>
      </c>
      <c r="Y250" s="206"/>
      <c r="Z250" s="183" t="str">
        <f t="array" ref="Z250">IF(Table133[[#This Row],[Survey?]]="","",IFERROR(INDEX([2]Rubric!$G$3:$G$94,MATCH(1,([2]Rubric!$E$3:$E$94=Z$2)*([2]Rubric!$F$3:$F$94='[2]Questionnaire Responses'!Z251),0)),"MISSING"))</f>
        <v/>
      </c>
      <c r="AA250" s="183" t="str">
        <f t="array" ref="AA250">IF(Table133[[#This Row],[Survey?]]="","",IFERROR(INDEX([2]Rubric!$G$3:$G$94,MATCH(1,([2]Rubric!$E$3:$E$94=AA$2)*([2]Rubric!$F$3:$F$94='[2]Questionnaire Responses'!AA251),0)),"MISSING"))</f>
        <v/>
      </c>
      <c r="AB250" s="183" t="str">
        <f t="array" ref="AB250">IF(Table133[[#This Row],[Survey?]]="","",IFERROR(INDEX([2]Rubric!$G$3:$G$94,MATCH(1,([2]Rubric!$E$3:$E$94=AB$2)*([2]Rubric!$F$3:$F$94='[2]Questionnaire Responses'!AB251),0)),"MISSING"))</f>
        <v/>
      </c>
      <c r="AC250" s="206"/>
      <c r="AD250" s="183" t="str">
        <f t="array" ref="AD250">IF(Table133[[#This Row],[Survey?]]="","",IFERROR(INDEX([2]Rubric!$G$3:$G$94,MATCH(1,([2]Rubric!$E$3:$E$94=AD$2)*([2]Rubric!$F$3:$F$94='[2]Questionnaire Responses'!AD251),0)),"MISSING"))</f>
        <v/>
      </c>
      <c r="AE250" s="183" t="str">
        <f t="array" ref="AE250">IF(Table133[[#This Row],[Survey?]]="","",IFERROR(INDEX([2]Rubric!$G$3:$G$94,MATCH(1,([2]Rubric!$E$3:$E$94=AE$2)*([2]Rubric!$F$3:$F$94='[2]Questionnaire Responses'!AE251),0)),"MISSING"))</f>
        <v/>
      </c>
      <c r="AF250" s="206"/>
      <c r="AG250" s="183" t="str">
        <f t="array" ref="AG250">IF(Table133[[#This Row],[Survey?]]="","",IFERROR(INDEX([2]Rubric!$G$3:$G$94,MATCH(1,([2]Rubric!$E$3:$E$94=AG$2)*([2]Rubric!$F$3:$F$94='[2]Questionnaire Responses'!AG251),0)),"MISSING"))</f>
        <v/>
      </c>
    </row>
    <row r="251" spans="1:33" ht="12.75" customHeight="1" x14ac:dyDescent="0.25">
      <c r="A251" s="207">
        <f>'[2]Questionnaire Responses'!A252</f>
        <v>0</v>
      </c>
      <c r="B251" s="198">
        <f>'[2]Questionnaire Responses'!B252</f>
        <v>0</v>
      </c>
      <c r="C251" s="153">
        <f>'[2]Questionnaire Responses'!C252</f>
        <v>0</v>
      </c>
      <c r="D251" s="208"/>
      <c r="E251" s="206"/>
      <c r="F251" s="183" t="str">
        <f t="array" ref="F251">IF(Table133[[#This Row],[Survey?]]="","",IFERROR(INDEX([2]Rubric!$G$3:$G$94,MATCH(1,([2]Rubric!$E$3:$E$94=F$2)*([2]Rubric!$F$3:$F$94='[2]Questionnaire Responses'!F252),0)),"MISSING"))</f>
        <v/>
      </c>
      <c r="G251" s="183" t="str">
        <f t="array" ref="G251">IF(Table133[[#This Row],[Survey?]]="","",IFERROR(INDEX([2]Rubric!$G$3:$G$94,MATCH(1,([2]Rubric!$E$3:$E$94=G$2)*([2]Rubric!$F$3:$F$94='[2]Questionnaire Responses'!G252),0)),"MISSING"))</f>
        <v/>
      </c>
      <c r="H251" s="183" t="str">
        <f t="array" ref="H251">IF(Table133[[#This Row],[Survey?]]="","",IFERROR(INDEX([2]Rubric!$G$3:$G$94,MATCH(1,([2]Rubric!$E$3:$E$94=H$2)*([2]Rubric!$F$3:$F$94='[2]Questionnaire Responses'!H252),0)),"MISSING"))</f>
        <v/>
      </c>
      <c r="I251" s="183" t="str">
        <f t="array" ref="I251">IF(Table133[[#This Row],[Survey?]]="","",IFERROR(INDEX([2]Rubric!$G$3:$G$94,MATCH(1,([2]Rubric!$E$3:$E$94=I$2)*([2]Rubric!$F$3:$F$94='[2]Questionnaire Responses'!I252),0)),"MISSING"))</f>
        <v/>
      </c>
      <c r="J251" s="183" t="str">
        <f t="array" ref="J251">IF(Table133[[#This Row],[Survey?]]="","",IFERROR(INDEX([2]Rubric!$G$3:$G$94,MATCH(1,([2]Rubric!$E$3:$E$94=J$2)*([2]Rubric!$F$3:$F$94='[2]Questionnaire Responses'!J252),0)),"MISSING"))</f>
        <v/>
      </c>
      <c r="K251" s="206"/>
      <c r="L251" s="183" t="str">
        <f t="array" ref="L251">IF(Table133[[#This Row],[Survey?]]="","",IFERROR(INDEX([2]Rubric!$G$3:$G$94,MATCH(1,([2]Rubric!$E$3:$E$94=L$2)*([2]Rubric!$F$3:$F$94='[2]Questionnaire Responses'!L252),0)),"MISSING"))</f>
        <v/>
      </c>
      <c r="M251" s="206"/>
      <c r="N251" s="183" t="str">
        <f t="array" ref="N251">IF(Table133[[#This Row],[Survey?]]="","",IFERROR(INDEX([2]Rubric!$G$3:$G$94,MATCH(1,([2]Rubric!$E$3:$E$94=N$2)*([2]Rubric!$F$3:$F$94='[2]Questionnaire Responses'!N252),0)),"MISSING"))</f>
        <v/>
      </c>
      <c r="O251" s="183" t="str">
        <f t="array" ref="O251">IF(Table133[[#This Row],[Survey?]]="","",IFERROR(INDEX([2]Rubric!$G$3:$G$94,MATCH(1,([2]Rubric!$E$3:$E$94=O$2)*([2]Rubric!$F$3:$F$94='[2]Questionnaire Responses'!O252),0)),"MISSING"))</f>
        <v/>
      </c>
      <c r="P251" s="206"/>
      <c r="Q251" s="183" t="str">
        <f t="array" ref="Q251">IF(Table133[[#This Row],[Survey?]]="","",IFERROR(INDEX([2]Rubric!$G$3:$G$94,MATCH(1,([2]Rubric!$E$3:$E$94=Q$2)*([2]Rubric!$F$3:$F$94='[2]Questionnaire Responses'!Q252),0)),"MISSING"))</f>
        <v/>
      </c>
      <c r="R251" s="183" t="str">
        <f t="array" ref="R251">IF(Table133[[#This Row],[Survey?]]="","",IFERROR(INDEX([2]Rubric!$G$3:$G$94,MATCH(1,([2]Rubric!$E$3:$E$94=R$2)*([2]Rubric!$F$3:$F$94='[2]Questionnaire Responses'!R252),0)),"MISSING"))</f>
        <v/>
      </c>
      <c r="S251" s="183" t="str">
        <f t="array" ref="S251">IF(Table133[[#This Row],[Survey?]]="","",IFERROR(INDEX([2]Rubric!$G$3:$G$94,MATCH(1,([2]Rubric!$E$3:$E$94=S$2)*([2]Rubric!$F$3:$F$94='[2]Questionnaire Responses'!S252),0)),"MISSING"))</f>
        <v/>
      </c>
      <c r="T251" s="183" t="str">
        <f t="array" ref="T251">IF(Table133[[#This Row],[Survey?]]="","",IFERROR(INDEX([2]Rubric!$G$3:$G$94,MATCH(1,([2]Rubric!$E$3:$E$94=T$2)*([2]Rubric!$F$3:$F$94='[2]Questionnaire Responses'!T252),0)),"MISSING"))</f>
        <v/>
      </c>
      <c r="U251" s="206"/>
      <c r="V251" s="183" t="str">
        <f t="array" ref="V251">IF(Table133[[#This Row],[Survey?]]="","",IFERROR(INDEX([2]Rubric!$G$3:$G$94,MATCH(1,([2]Rubric!$E$3:$E$94=V$2)*([2]Rubric!$F$3:$F$94='[2]Questionnaire Responses'!V252),0)),"MISSING"))</f>
        <v/>
      </c>
      <c r="W251" s="206"/>
      <c r="X251" s="183" t="str">
        <f t="array" ref="X251">IF(Table133[[#This Row],[Survey?]]="","",IFERROR(INDEX([2]Rubric!$G$3:$G$94,MATCH(1,([2]Rubric!$E$3:$E$94=X$2)*([2]Rubric!$F$3:$F$94='[2]Questionnaire Responses'!X252),0)),"MISSING"))</f>
        <v/>
      </c>
      <c r="Y251" s="206"/>
      <c r="Z251" s="183" t="str">
        <f t="array" ref="Z251">IF(Table133[[#This Row],[Survey?]]="","",IFERROR(INDEX([2]Rubric!$G$3:$G$94,MATCH(1,([2]Rubric!$E$3:$E$94=Z$2)*([2]Rubric!$F$3:$F$94='[2]Questionnaire Responses'!Z252),0)),"MISSING"))</f>
        <v/>
      </c>
      <c r="AA251" s="183" t="str">
        <f t="array" ref="AA251">IF(Table133[[#This Row],[Survey?]]="","",IFERROR(INDEX([2]Rubric!$G$3:$G$94,MATCH(1,([2]Rubric!$E$3:$E$94=AA$2)*([2]Rubric!$F$3:$F$94='[2]Questionnaire Responses'!AA252),0)),"MISSING"))</f>
        <v/>
      </c>
      <c r="AB251" s="183" t="str">
        <f t="array" ref="AB251">IF(Table133[[#This Row],[Survey?]]="","",IFERROR(INDEX([2]Rubric!$G$3:$G$94,MATCH(1,([2]Rubric!$E$3:$E$94=AB$2)*([2]Rubric!$F$3:$F$94='[2]Questionnaire Responses'!AB252),0)),"MISSING"))</f>
        <v/>
      </c>
      <c r="AC251" s="206"/>
      <c r="AD251" s="183" t="str">
        <f t="array" ref="AD251">IF(Table133[[#This Row],[Survey?]]="","",IFERROR(INDEX([2]Rubric!$G$3:$G$94,MATCH(1,([2]Rubric!$E$3:$E$94=AD$2)*([2]Rubric!$F$3:$F$94='[2]Questionnaire Responses'!AD252),0)),"MISSING"))</f>
        <v/>
      </c>
      <c r="AE251" s="183" t="str">
        <f t="array" ref="AE251">IF(Table133[[#This Row],[Survey?]]="","",IFERROR(INDEX([2]Rubric!$G$3:$G$94,MATCH(1,([2]Rubric!$E$3:$E$94=AE$2)*([2]Rubric!$F$3:$F$94='[2]Questionnaire Responses'!AE252),0)),"MISSING"))</f>
        <v/>
      </c>
      <c r="AF251" s="206"/>
      <c r="AG251" s="183" t="str">
        <f t="array" ref="AG251">IF(Table133[[#This Row],[Survey?]]="","",IFERROR(INDEX([2]Rubric!$G$3:$G$94,MATCH(1,([2]Rubric!$E$3:$E$94=AG$2)*([2]Rubric!$F$3:$F$94='[2]Questionnaire Responses'!AG252),0)),"MISSING"))</f>
        <v/>
      </c>
    </row>
    <row r="252" spans="1:33" ht="12.75" customHeight="1" x14ac:dyDescent="0.25">
      <c r="A252" s="207">
        <f>'[2]Questionnaire Responses'!A253</f>
        <v>0</v>
      </c>
      <c r="B252" s="198">
        <f>'[2]Questionnaire Responses'!B253</f>
        <v>0</v>
      </c>
      <c r="C252" s="153">
        <f>'[2]Questionnaire Responses'!C253</f>
        <v>0</v>
      </c>
      <c r="D252" s="208"/>
      <c r="E252" s="206"/>
      <c r="F252" s="183" t="str">
        <f t="array" ref="F252">IF(Table133[[#This Row],[Survey?]]="","",IFERROR(INDEX([2]Rubric!$G$3:$G$94,MATCH(1,([2]Rubric!$E$3:$E$94=F$2)*([2]Rubric!$F$3:$F$94='[2]Questionnaire Responses'!F253),0)),"MISSING"))</f>
        <v/>
      </c>
      <c r="G252" s="183" t="str">
        <f t="array" ref="G252">IF(Table133[[#This Row],[Survey?]]="","",IFERROR(INDEX([2]Rubric!$G$3:$G$94,MATCH(1,([2]Rubric!$E$3:$E$94=G$2)*([2]Rubric!$F$3:$F$94='[2]Questionnaire Responses'!G253),0)),"MISSING"))</f>
        <v/>
      </c>
      <c r="H252" s="183" t="str">
        <f t="array" ref="H252">IF(Table133[[#This Row],[Survey?]]="","",IFERROR(INDEX([2]Rubric!$G$3:$G$94,MATCH(1,([2]Rubric!$E$3:$E$94=H$2)*([2]Rubric!$F$3:$F$94='[2]Questionnaire Responses'!H253),0)),"MISSING"))</f>
        <v/>
      </c>
      <c r="I252" s="183" t="str">
        <f t="array" ref="I252">IF(Table133[[#This Row],[Survey?]]="","",IFERROR(INDEX([2]Rubric!$G$3:$G$94,MATCH(1,([2]Rubric!$E$3:$E$94=I$2)*([2]Rubric!$F$3:$F$94='[2]Questionnaire Responses'!I253),0)),"MISSING"))</f>
        <v/>
      </c>
      <c r="J252" s="183" t="str">
        <f t="array" ref="J252">IF(Table133[[#This Row],[Survey?]]="","",IFERROR(INDEX([2]Rubric!$G$3:$G$94,MATCH(1,([2]Rubric!$E$3:$E$94=J$2)*([2]Rubric!$F$3:$F$94='[2]Questionnaire Responses'!J253),0)),"MISSING"))</f>
        <v/>
      </c>
      <c r="K252" s="206"/>
      <c r="L252" s="183" t="str">
        <f t="array" ref="L252">IF(Table133[[#This Row],[Survey?]]="","",IFERROR(INDEX([2]Rubric!$G$3:$G$94,MATCH(1,([2]Rubric!$E$3:$E$94=L$2)*([2]Rubric!$F$3:$F$94='[2]Questionnaire Responses'!L253),0)),"MISSING"))</f>
        <v/>
      </c>
      <c r="M252" s="206"/>
      <c r="N252" s="183" t="str">
        <f t="array" ref="N252">IF(Table133[[#This Row],[Survey?]]="","",IFERROR(INDEX([2]Rubric!$G$3:$G$94,MATCH(1,([2]Rubric!$E$3:$E$94=N$2)*([2]Rubric!$F$3:$F$94='[2]Questionnaire Responses'!N253),0)),"MISSING"))</f>
        <v/>
      </c>
      <c r="O252" s="183" t="str">
        <f t="array" ref="O252">IF(Table133[[#This Row],[Survey?]]="","",IFERROR(INDEX([2]Rubric!$G$3:$G$94,MATCH(1,([2]Rubric!$E$3:$E$94=O$2)*([2]Rubric!$F$3:$F$94='[2]Questionnaire Responses'!O253),0)),"MISSING"))</f>
        <v/>
      </c>
      <c r="P252" s="206"/>
      <c r="Q252" s="183" t="str">
        <f t="array" ref="Q252">IF(Table133[[#This Row],[Survey?]]="","",IFERROR(INDEX([2]Rubric!$G$3:$G$94,MATCH(1,([2]Rubric!$E$3:$E$94=Q$2)*([2]Rubric!$F$3:$F$94='[2]Questionnaire Responses'!Q253),0)),"MISSING"))</f>
        <v/>
      </c>
      <c r="R252" s="183" t="str">
        <f t="array" ref="R252">IF(Table133[[#This Row],[Survey?]]="","",IFERROR(INDEX([2]Rubric!$G$3:$G$94,MATCH(1,([2]Rubric!$E$3:$E$94=R$2)*([2]Rubric!$F$3:$F$94='[2]Questionnaire Responses'!R253),0)),"MISSING"))</f>
        <v/>
      </c>
      <c r="S252" s="183" t="str">
        <f t="array" ref="S252">IF(Table133[[#This Row],[Survey?]]="","",IFERROR(INDEX([2]Rubric!$G$3:$G$94,MATCH(1,([2]Rubric!$E$3:$E$94=S$2)*([2]Rubric!$F$3:$F$94='[2]Questionnaire Responses'!S253),0)),"MISSING"))</f>
        <v/>
      </c>
      <c r="T252" s="183" t="str">
        <f t="array" ref="T252">IF(Table133[[#This Row],[Survey?]]="","",IFERROR(INDEX([2]Rubric!$G$3:$G$94,MATCH(1,([2]Rubric!$E$3:$E$94=T$2)*([2]Rubric!$F$3:$F$94='[2]Questionnaire Responses'!T253),0)),"MISSING"))</f>
        <v/>
      </c>
      <c r="U252" s="206"/>
      <c r="V252" s="183" t="str">
        <f t="array" ref="V252">IF(Table133[[#This Row],[Survey?]]="","",IFERROR(INDEX([2]Rubric!$G$3:$G$94,MATCH(1,([2]Rubric!$E$3:$E$94=V$2)*([2]Rubric!$F$3:$F$94='[2]Questionnaire Responses'!V253),0)),"MISSING"))</f>
        <v/>
      </c>
      <c r="W252" s="206"/>
      <c r="X252" s="183" t="str">
        <f t="array" ref="X252">IF(Table133[[#This Row],[Survey?]]="","",IFERROR(INDEX([2]Rubric!$G$3:$G$94,MATCH(1,([2]Rubric!$E$3:$E$94=X$2)*([2]Rubric!$F$3:$F$94='[2]Questionnaire Responses'!X253),0)),"MISSING"))</f>
        <v/>
      </c>
      <c r="Y252" s="206"/>
      <c r="Z252" s="183" t="str">
        <f t="array" ref="Z252">IF(Table133[[#This Row],[Survey?]]="","",IFERROR(INDEX([2]Rubric!$G$3:$G$94,MATCH(1,([2]Rubric!$E$3:$E$94=Z$2)*([2]Rubric!$F$3:$F$94='[2]Questionnaire Responses'!Z253),0)),"MISSING"))</f>
        <v/>
      </c>
      <c r="AA252" s="183" t="str">
        <f t="array" ref="AA252">IF(Table133[[#This Row],[Survey?]]="","",IFERROR(INDEX([2]Rubric!$G$3:$G$94,MATCH(1,([2]Rubric!$E$3:$E$94=AA$2)*([2]Rubric!$F$3:$F$94='[2]Questionnaire Responses'!AA253),0)),"MISSING"))</f>
        <v/>
      </c>
      <c r="AB252" s="183" t="str">
        <f t="array" ref="AB252">IF(Table133[[#This Row],[Survey?]]="","",IFERROR(INDEX([2]Rubric!$G$3:$G$94,MATCH(1,([2]Rubric!$E$3:$E$94=AB$2)*([2]Rubric!$F$3:$F$94='[2]Questionnaire Responses'!AB253),0)),"MISSING"))</f>
        <v/>
      </c>
      <c r="AC252" s="206"/>
      <c r="AD252" s="183" t="str">
        <f t="array" ref="AD252">IF(Table133[[#This Row],[Survey?]]="","",IFERROR(INDEX([2]Rubric!$G$3:$G$94,MATCH(1,([2]Rubric!$E$3:$E$94=AD$2)*([2]Rubric!$F$3:$F$94='[2]Questionnaire Responses'!AD253),0)),"MISSING"))</f>
        <v/>
      </c>
      <c r="AE252" s="183" t="str">
        <f t="array" ref="AE252">IF(Table133[[#This Row],[Survey?]]="","",IFERROR(INDEX([2]Rubric!$G$3:$G$94,MATCH(1,([2]Rubric!$E$3:$E$94=AE$2)*([2]Rubric!$F$3:$F$94='[2]Questionnaire Responses'!AE253),0)),"MISSING"))</f>
        <v/>
      </c>
      <c r="AF252" s="206"/>
      <c r="AG252" s="183" t="str">
        <f t="array" ref="AG252">IF(Table133[[#This Row],[Survey?]]="","",IFERROR(INDEX([2]Rubric!$G$3:$G$94,MATCH(1,([2]Rubric!$E$3:$E$94=AG$2)*([2]Rubric!$F$3:$F$94='[2]Questionnaire Responses'!AG253),0)),"MISSING"))</f>
        <v/>
      </c>
    </row>
    <row r="253" spans="1:33" ht="12.75" customHeight="1" x14ac:dyDescent="0.25">
      <c r="A253" s="207">
        <f>'[2]Questionnaire Responses'!A254</f>
        <v>0</v>
      </c>
      <c r="B253" s="198">
        <f>'[2]Questionnaire Responses'!B254</f>
        <v>0</v>
      </c>
      <c r="C253" s="153">
        <f>'[2]Questionnaire Responses'!C254</f>
        <v>0</v>
      </c>
      <c r="D253" s="208"/>
      <c r="E253" s="206"/>
      <c r="F253" s="183" t="str">
        <f t="array" ref="F253">IF(Table133[[#This Row],[Survey?]]="","",IFERROR(INDEX([2]Rubric!$G$3:$G$94,MATCH(1,([2]Rubric!$E$3:$E$94=F$2)*([2]Rubric!$F$3:$F$94='[2]Questionnaire Responses'!F254),0)),"MISSING"))</f>
        <v/>
      </c>
      <c r="G253" s="183" t="str">
        <f t="array" ref="G253">IF(Table133[[#This Row],[Survey?]]="","",IFERROR(INDEX([2]Rubric!$G$3:$G$94,MATCH(1,([2]Rubric!$E$3:$E$94=G$2)*([2]Rubric!$F$3:$F$94='[2]Questionnaire Responses'!G254),0)),"MISSING"))</f>
        <v/>
      </c>
      <c r="H253" s="183" t="str">
        <f t="array" ref="H253">IF(Table133[[#This Row],[Survey?]]="","",IFERROR(INDEX([2]Rubric!$G$3:$G$94,MATCH(1,([2]Rubric!$E$3:$E$94=H$2)*([2]Rubric!$F$3:$F$94='[2]Questionnaire Responses'!H254),0)),"MISSING"))</f>
        <v/>
      </c>
      <c r="I253" s="183" t="str">
        <f t="array" ref="I253">IF(Table133[[#This Row],[Survey?]]="","",IFERROR(INDEX([2]Rubric!$G$3:$G$94,MATCH(1,([2]Rubric!$E$3:$E$94=I$2)*([2]Rubric!$F$3:$F$94='[2]Questionnaire Responses'!I254),0)),"MISSING"))</f>
        <v/>
      </c>
      <c r="J253" s="183" t="str">
        <f t="array" ref="J253">IF(Table133[[#This Row],[Survey?]]="","",IFERROR(INDEX([2]Rubric!$G$3:$G$94,MATCH(1,([2]Rubric!$E$3:$E$94=J$2)*([2]Rubric!$F$3:$F$94='[2]Questionnaire Responses'!J254),0)),"MISSING"))</f>
        <v/>
      </c>
      <c r="K253" s="206"/>
      <c r="L253" s="183" t="str">
        <f t="array" ref="L253">IF(Table133[[#This Row],[Survey?]]="","",IFERROR(INDEX([2]Rubric!$G$3:$G$94,MATCH(1,([2]Rubric!$E$3:$E$94=L$2)*([2]Rubric!$F$3:$F$94='[2]Questionnaire Responses'!L254),0)),"MISSING"))</f>
        <v/>
      </c>
      <c r="M253" s="206"/>
      <c r="N253" s="183" t="str">
        <f t="array" ref="N253">IF(Table133[[#This Row],[Survey?]]="","",IFERROR(INDEX([2]Rubric!$G$3:$G$94,MATCH(1,([2]Rubric!$E$3:$E$94=N$2)*([2]Rubric!$F$3:$F$94='[2]Questionnaire Responses'!N254),0)),"MISSING"))</f>
        <v/>
      </c>
      <c r="O253" s="183" t="str">
        <f t="array" ref="O253">IF(Table133[[#This Row],[Survey?]]="","",IFERROR(INDEX([2]Rubric!$G$3:$G$94,MATCH(1,([2]Rubric!$E$3:$E$94=O$2)*([2]Rubric!$F$3:$F$94='[2]Questionnaire Responses'!O254),0)),"MISSING"))</f>
        <v/>
      </c>
      <c r="P253" s="206"/>
      <c r="Q253" s="183" t="str">
        <f t="array" ref="Q253">IF(Table133[[#This Row],[Survey?]]="","",IFERROR(INDEX([2]Rubric!$G$3:$G$94,MATCH(1,([2]Rubric!$E$3:$E$94=Q$2)*([2]Rubric!$F$3:$F$94='[2]Questionnaire Responses'!Q254),0)),"MISSING"))</f>
        <v/>
      </c>
      <c r="R253" s="183" t="str">
        <f t="array" ref="R253">IF(Table133[[#This Row],[Survey?]]="","",IFERROR(INDEX([2]Rubric!$G$3:$G$94,MATCH(1,([2]Rubric!$E$3:$E$94=R$2)*([2]Rubric!$F$3:$F$94='[2]Questionnaire Responses'!R254),0)),"MISSING"))</f>
        <v/>
      </c>
      <c r="S253" s="183" t="str">
        <f t="array" ref="S253">IF(Table133[[#This Row],[Survey?]]="","",IFERROR(INDEX([2]Rubric!$G$3:$G$94,MATCH(1,([2]Rubric!$E$3:$E$94=S$2)*([2]Rubric!$F$3:$F$94='[2]Questionnaire Responses'!S254),0)),"MISSING"))</f>
        <v/>
      </c>
      <c r="T253" s="183" t="str">
        <f t="array" ref="T253">IF(Table133[[#This Row],[Survey?]]="","",IFERROR(INDEX([2]Rubric!$G$3:$G$94,MATCH(1,([2]Rubric!$E$3:$E$94=T$2)*([2]Rubric!$F$3:$F$94='[2]Questionnaire Responses'!T254),0)),"MISSING"))</f>
        <v/>
      </c>
      <c r="U253" s="206"/>
      <c r="V253" s="183" t="str">
        <f t="array" ref="V253">IF(Table133[[#This Row],[Survey?]]="","",IFERROR(INDEX([2]Rubric!$G$3:$G$94,MATCH(1,([2]Rubric!$E$3:$E$94=V$2)*([2]Rubric!$F$3:$F$94='[2]Questionnaire Responses'!V254),0)),"MISSING"))</f>
        <v/>
      </c>
      <c r="W253" s="206"/>
      <c r="X253" s="183" t="str">
        <f t="array" ref="X253">IF(Table133[[#This Row],[Survey?]]="","",IFERROR(INDEX([2]Rubric!$G$3:$G$94,MATCH(1,([2]Rubric!$E$3:$E$94=X$2)*([2]Rubric!$F$3:$F$94='[2]Questionnaire Responses'!X254),0)),"MISSING"))</f>
        <v/>
      </c>
      <c r="Y253" s="206"/>
      <c r="Z253" s="183" t="str">
        <f t="array" ref="Z253">IF(Table133[[#This Row],[Survey?]]="","",IFERROR(INDEX([2]Rubric!$G$3:$G$94,MATCH(1,([2]Rubric!$E$3:$E$94=Z$2)*([2]Rubric!$F$3:$F$94='[2]Questionnaire Responses'!Z254),0)),"MISSING"))</f>
        <v/>
      </c>
      <c r="AA253" s="183" t="str">
        <f t="array" ref="AA253">IF(Table133[[#This Row],[Survey?]]="","",IFERROR(INDEX([2]Rubric!$G$3:$G$94,MATCH(1,([2]Rubric!$E$3:$E$94=AA$2)*([2]Rubric!$F$3:$F$94='[2]Questionnaire Responses'!AA254),0)),"MISSING"))</f>
        <v/>
      </c>
      <c r="AB253" s="183" t="str">
        <f t="array" ref="AB253">IF(Table133[[#This Row],[Survey?]]="","",IFERROR(INDEX([2]Rubric!$G$3:$G$94,MATCH(1,([2]Rubric!$E$3:$E$94=AB$2)*([2]Rubric!$F$3:$F$94='[2]Questionnaire Responses'!AB254),0)),"MISSING"))</f>
        <v/>
      </c>
      <c r="AC253" s="206"/>
      <c r="AD253" s="183" t="str">
        <f t="array" ref="AD253">IF(Table133[[#This Row],[Survey?]]="","",IFERROR(INDEX([2]Rubric!$G$3:$G$94,MATCH(1,([2]Rubric!$E$3:$E$94=AD$2)*([2]Rubric!$F$3:$F$94='[2]Questionnaire Responses'!AD254),0)),"MISSING"))</f>
        <v/>
      </c>
      <c r="AE253" s="183" t="str">
        <f t="array" ref="AE253">IF(Table133[[#This Row],[Survey?]]="","",IFERROR(INDEX([2]Rubric!$G$3:$G$94,MATCH(1,([2]Rubric!$E$3:$E$94=AE$2)*([2]Rubric!$F$3:$F$94='[2]Questionnaire Responses'!AE254),0)),"MISSING"))</f>
        <v/>
      </c>
      <c r="AF253" s="206"/>
      <c r="AG253" s="183" t="str">
        <f t="array" ref="AG253">IF(Table133[[#This Row],[Survey?]]="","",IFERROR(INDEX([2]Rubric!$G$3:$G$94,MATCH(1,([2]Rubric!$E$3:$E$94=AG$2)*([2]Rubric!$F$3:$F$94='[2]Questionnaire Responses'!AG254),0)),"MISSING"))</f>
        <v/>
      </c>
    </row>
    <row r="254" spans="1:33" ht="12.75" customHeight="1" x14ac:dyDescent="0.25">
      <c r="A254" s="207">
        <f>'[2]Questionnaire Responses'!A255</f>
        <v>0</v>
      </c>
      <c r="B254" s="198">
        <f>'[2]Questionnaire Responses'!B255</f>
        <v>0</v>
      </c>
      <c r="C254" s="153">
        <f>'[2]Questionnaire Responses'!C255</f>
        <v>0</v>
      </c>
      <c r="D254" s="208"/>
      <c r="E254" s="206"/>
      <c r="F254" s="183" t="str">
        <f t="array" ref="F254">IF(Table133[[#This Row],[Survey?]]="","",IFERROR(INDEX([2]Rubric!$G$3:$G$94,MATCH(1,([2]Rubric!$E$3:$E$94=F$2)*([2]Rubric!$F$3:$F$94='[2]Questionnaire Responses'!F255),0)),"MISSING"))</f>
        <v/>
      </c>
      <c r="G254" s="183" t="str">
        <f t="array" ref="G254">IF(Table133[[#This Row],[Survey?]]="","",IFERROR(INDEX([2]Rubric!$G$3:$G$94,MATCH(1,([2]Rubric!$E$3:$E$94=G$2)*([2]Rubric!$F$3:$F$94='[2]Questionnaire Responses'!G255),0)),"MISSING"))</f>
        <v/>
      </c>
      <c r="H254" s="183" t="str">
        <f t="array" ref="H254">IF(Table133[[#This Row],[Survey?]]="","",IFERROR(INDEX([2]Rubric!$G$3:$G$94,MATCH(1,([2]Rubric!$E$3:$E$94=H$2)*([2]Rubric!$F$3:$F$94='[2]Questionnaire Responses'!H255),0)),"MISSING"))</f>
        <v/>
      </c>
      <c r="I254" s="183" t="str">
        <f t="array" ref="I254">IF(Table133[[#This Row],[Survey?]]="","",IFERROR(INDEX([2]Rubric!$G$3:$G$94,MATCH(1,([2]Rubric!$E$3:$E$94=I$2)*([2]Rubric!$F$3:$F$94='[2]Questionnaire Responses'!I255),0)),"MISSING"))</f>
        <v/>
      </c>
      <c r="J254" s="183" t="str">
        <f t="array" ref="J254">IF(Table133[[#This Row],[Survey?]]="","",IFERROR(INDEX([2]Rubric!$G$3:$G$94,MATCH(1,([2]Rubric!$E$3:$E$94=J$2)*([2]Rubric!$F$3:$F$94='[2]Questionnaire Responses'!J255),0)),"MISSING"))</f>
        <v/>
      </c>
      <c r="K254" s="206"/>
      <c r="L254" s="183" t="str">
        <f t="array" ref="L254">IF(Table133[[#This Row],[Survey?]]="","",IFERROR(INDEX([2]Rubric!$G$3:$G$94,MATCH(1,([2]Rubric!$E$3:$E$94=L$2)*([2]Rubric!$F$3:$F$94='[2]Questionnaire Responses'!L255),0)),"MISSING"))</f>
        <v/>
      </c>
      <c r="M254" s="206"/>
      <c r="N254" s="183" t="str">
        <f t="array" ref="N254">IF(Table133[[#This Row],[Survey?]]="","",IFERROR(INDEX([2]Rubric!$G$3:$G$94,MATCH(1,([2]Rubric!$E$3:$E$94=N$2)*([2]Rubric!$F$3:$F$94='[2]Questionnaire Responses'!N255),0)),"MISSING"))</f>
        <v/>
      </c>
      <c r="O254" s="183" t="str">
        <f t="array" ref="O254">IF(Table133[[#This Row],[Survey?]]="","",IFERROR(INDEX([2]Rubric!$G$3:$G$94,MATCH(1,([2]Rubric!$E$3:$E$94=O$2)*([2]Rubric!$F$3:$F$94='[2]Questionnaire Responses'!O255),0)),"MISSING"))</f>
        <v/>
      </c>
      <c r="P254" s="206"/>
      <c r="Q254" s="183" t="str">
        <f t="array" ref="Q254">IF(Table133[[#This Row],[Survey?]]="","",IFERROR(INDEX([2]Rubric!$G$3:$G$94,MATCH(1,([2]Rubric!$E$3:$E$94=Q$2)*([2]Rubric!$F$3:$F$94='[2]Questionnaire Responses'!Q255),0)),"MISSING"))</f>
        <v/>
      </c>
      <c r="R254" s="183" t="str">
        <f t="array" ref="R254">IF(Table133[[#This Row],[Survey?]]="","",IFERROR(INDEX([2]Rubric!$G$3:$G$94,MATCH(1,([2]Rubric!$E$3:$E$94=R$2)*([2]Rubric!$F$3:$F$94='[2]Questionnaire Responses'!R255),0)),"MISSING"))</f>
        <v/>
      </c>
      <c r="S254" s="183" t="str">
        <f t="array" ref="S254">IF(Table133[[#This Row],[Survey?]]="","",IFERROR(INDEX([2]Rubric!$G$3:$G$94,MATCH(1,([2]Rubric!$E$3:$E$94=S$2)*([2]Rubric!$F$3:$F$94='[2]Questionnaire Responses'!S255),0)),"MISSING"))</f>
        <v/>
      </c>
      <c r="T254" s="183" t="str">
        <f t="array" ref="T254">IF(Table133[[#This Row],[Survey?]]="","",IFERROR(INDEX([2]Rubric!$G$3:$G$94,MATCH(1,([2]Rubric!$E$3:$E$94=T$2)*([2]Rubric!$F$3:$F$94='[2]Questionnaire Responses'!T255),0)),"MISSING"))</f>
        <v/>
      </c>
      <c r="U254" s="206"/>
      <c r="V254" s="183" t="str">
        <f t="array" ref="V254">IF(Table133[[#This Row],[Survey?]]="","",IFERROR(INDEX([2]Rubric!$G$3:$G$94,MATCH(1,([2]Rubric!$E$3:$E$94=V$2)*([2]Rubric!$F$3:$F$94='[2]Questionnaire Responses'!V255),0)),"MISSING"))</f>
        <v/>
      </c>
      <c r="W254" s="206"/>
      <c r="X254" s="183" t="str">
        <f t="array" ref="X254">IF(Table133[[#This Row],[Survey?]]="","",IFERROR(INDEX([2]Rubric!$G$3:$G$94,MATCH(1,([2]Rubric!$E$3:$E$94=X$2)*([2]Rubric!$F$3:$F$94='[2]Questionnaire Responses'!X255),0)),"MISSING"))</f>
        <v/>
      </c>
      <c r="Y254" s="206"/>
      <c r="Z254" s="183" t="str">
        <f t="array" ref="Z254">IF(Table133[[#This Row],[Survey?]]="","",IFERROR(INDEX([2]Rubric!$G$3:$G$94,MATCH(1,([2]Rubric!$E$3:$E$94=Z$2)*([2]Rubric!$F$3:$F$94='[2]Questionnaire Responses'!Z255),0)),"MISSING"))</f>
        <v/>
      </c>
      <c r="AA254" s="183" t="str">
        <f t="array" ref="AA254">IF(Table133[[#This Row],[Survey?]]="","",IFERROR(INDEX([2]Rubric!$G$3:$G$94,MATCH(1,([2]Rubric!$E$3:$E$94=AA$2)*([2]Rubric!$F$3:$F$94='[2]Questionnaire Responses'!AA255),0)),"MISSING"))</f>
        <v/>
      </c>
      <c r="AB254" s="183" t="str">
        <f t="array" ref="AB254">IF(Table133[[#This Row],[Survey?]]="","",IFERROR(INDEX([2]Rubric!$G$3:$G$94,MATCH(1,([2]Rubric!$E$3:$E$94=AB$2)*([2]Rubric!$F$3:$F$94='[2]Questionnaire Responses'!AB255),0)),"MISSING"))</f>
        <v/>
      </c>
      <c r="AC254" s="206"/>
      <c r="AD254" s="183" t="str">
        <f t="array" ref="AD254">IF(Table133[[#This Row],[Survey?]]="","",IFERROR(INDEX([2]Rubric!$G$3:$G$94,MATCH(1,([2]Rubric!$E$3:$E$94=AD$2)*([2]Rubric!$F$3:$F$94='[2]Questionnaire Responses'!AD255),0)),"MISSING"))</f>
        <v/>
      </c>
      <c r="AE254" s="183" t="str">
        <f t="array" ref="AE254">IF(Table133[[#This Row],[Survey?]]="","",IFERROR(INDEX([2]Rubric!$G$3:$G$94,MATCH(1,([2]Rubric!$E$3:$E$94=AE$2)*([2]Rubric!$F$3:$F$94='[2]Questionnaire Responses'!AE255),0)),"MISSING"))</f>
        <v/>
      </c>
      <c r="AF254" s="206"/>
      <c r="AG254" s="183" t="str">
        <f t="array" ref="AG254">IF(Table133[[#This Row],[Survey?]]="","",IFERROR(INDEX([2]Rubric!$G$3:$G$94,MATCH(1,([2]Rubric!$E$3:$E$94=AG$2)*([2]Rubric!$F$3:$F$94='[2]Questionnaire Responses'!AG255),0)),"MISSING"))</f>
        <v/>
      </c>
    </row>
    <row r="255" spans="1:33" ht="12.75" customHeight="1" x14ac:dyDescent="0.25">
      <c r="A255" s="207">
        <f>'[2]Questionnaire Responses'!A256</f>
        <v>0</v>
      </c>
      <c r="B255" s="198">
        <f>'[2]Questionnaire Responses'!B256</f>
        <v>0</v>
      </c>
      <c r="C255" s="153">
        <f>'[2]Questionnaire Responses'!C256</f>
        <v>0</v>
      </c>
      <c r="D255" s="208"/>
      <c r="E255" s="206"/>
      <c r="F255" s="183" t="str">
        <f t="array" ref="F255">IF(Table133[[#This Row],[Survey?]]="","",IFERROR(INDEX([2]Rubric!$G$3:$G$94,MATCH(1,([2]Rubric!$E$3:$E$94=F$2)*([2]Rubric!$F$3:$F$94='[2]Questionnaire Responses'!F256),0)),"MISSING"))</f>
        <v/>
      </c>
      <c r="G255" s="183" t="str">
        <f t="array" ref="G255">IF(Table133[[#This Row],[Survey?]]="","",IFERROR(INDEX([2]Rubric!$G$3:$G$94,MATCH(1,([2]Rubric!$E$3:$E$94=G$2)*([2]Rubric!$F$3:$F$94='[2]Questionnaire Responses'!G256),0)),"MISSING"))</f>
        <v/>
      </c>
      <c r="H255" s="183" t="str">
        <f t="array" ref="H255">IF(Table133[[#This Row],[Survey?]]="","",IFERROR(INDEX([2]Rubric!$G$3:$G$94,MATCH(1,([2]Rubric!$E$3:$E$94=H$2)*([2]Rubric!$F$3:$F$94='[2]Questionnaire Responses'!H256),0)),"MISSING"))</f>
        <v/>
      </c>
      <c r="I255" s="183" t="str">
        <f t="array" ref="I255">IF(Table133[[#This Row],[Survey?]]="","",IFERROR(INDEX([2]Rubric!$G$3:$G$94,MATCH(1,([2]Rubric!$E$3:$E$94=I$2)*([2]Rubric!$F$3:$F$94='[2]Questionnaire Responses'!I256),0)),"MISSING"))</f>
        <v/>
      </c>
      <c r="J255" s="183" t="str">
        <f t="array" ref="J255">IF(Table133[[#This Row],[Survey?]]="","",IFERROR(INDEX([2]Rubric!$G$3:$G$94,MATCH(1,([2]Rubric!$E$3:$E$94=J$2)*([2]Rubric!$F$3:$F$94='[2]Questionnaire Responses'!J256),0)),"MISSING"))</f>
        <v/>
      </c>
      <c r="K255" s="206"/>
      <c r="L255" s="183" t="str">
        <f t="array" ref="L255">IF(Table133[[#This Row],[Survey?]]="","",IFERROR(INDEX([2]Rubric!$G$3:$G$94,MATCH(1,([2]Rubric!$E$3:$E$94=L$2)*([2]Rubric!$F$3:$F$94='[2]Questionnaire Responses'!L256),0)),"MISSING"))</f>
        <v/>
      </c>
      <c r="M255" s="206"/>
      <c r="N255" s="183" t="str">
        <f t="array" ref="N255">IF(Table133[[#This Row],[Survey?]]="","",IFERROR(INDEX([2]Rubric!$G$3:$G$94,MATCH(1,([2]Rubric!$E$3:$E$94=N$2)*([2]Rubric!$F$3:$F$94='[2]Questionnaire Responses'!N256),0)),"MISSING"))</f>
        <v/>
      </c>
      <c r="O255" s="183" t="str">
        <f t="array" ref="O255">IF(Table133[[#This Row],[Survey?]]="","",IFERROR(INDEX([2]Rubric!$G$3:$G$94,MATCH(1,([2]Rubric!$E$3:$E$94=O$2)*([2]Rubric!$F$3:$F$94='[2]Questionnaire Responses'!O256),0)),"MISSING"))</f>
        <v/>
      </c>
      <c r="P255" s="206"/>
      <c r="Q255" s="183" t="str">
        <f t="array" ref="Q255">IF(Table133[[#This Row],[Survey?]]="","",IFERROR(INDEX([2]Rubric!$G$3:$G$94,MATCH(1,([2]Rubric!$E$3:$E$94=Q$2)*([2]Rubric!$F$3:$F$94='[2]Questionnaire Responses'!Q256),0)),"MISSING"))</f>
        <v/>
      </c>
      <c r="R255" s="183" t="str">
        <f t="array" ref="R255">IF(Table133[[#This Row],[Survey?]]="","",IFERROR(INDEX([2]Rubric!$G$3:$G$94,MATCH(1,([2]Rubric!$E$3:$E$94=R$2)*([2]Rubric!$F$3:$F$94='[2]Questionnaire Responses'!R256),0)),"MISSING"))</f>
        <v/>
      </c>
      <c r="S255" s="183" t="str">
        <f t="array" ref="S255">IF(Table133[[#This Row],[Survey?]]="","",IFERROR(INDEX([2]Rubric!$G$3:$G$94,MATCH(1,([2]Rubric!$E$3:$E$94=S$2)*([2]Rubric!$F$3:$F$94='[2]Questionnaire Responses'!S256),0)),"MISSING"))</f>
        <v/>
      </c>
      <c r="T255" s="183" t="str">
        <f t="array" ref="T255">IF(Table133[[#This Row],[Survey?]]="","",IFERROR(INDEX([2]Rubric!$G$3:$G$94,MATCH(1,([2]Rubric!$E$3:$E$94=T$2)*([2]Rubric!$F$3:$F$94='[2]Questionnaire Responses'!T256),0)),"MISSING"))</f>
        <v/>
      </c>
      <c r="U255" s="206"/>
      <c r="V255" s="183" t="str">
        <f t="array" ref="V255">IF(Table133[[#This Row],[Survey?]]="","",IFERROR(INDEX([2]Rubric!$G$3:$G$94,MATCH(1,([2]Rubric!$E$3:$E$94=V$2)*([2]Rubric!$F$3:$F$94='[2]Questionnaire Responses'!V256),0)),"MISSING"))</f>
        <v/>
      </c>
      <c r="W255" s="206"/>
      <c r="X255" s="183" t="str">
        <f t="array" ref="X255">IF(Table133[[#This Row],[Survey?]]="","",IFERROR(INDEX([2]Rubric!$G$3:$G$94,MATCH(1,([2]Rubric!$E$3:$E$94=X$2)*([2]Rubric!$F$3:$F$94='[2]Questionnaire Responses'!X256),0)),"MISSING"))</f>
        <v/>
      </c>
      <c r="Y255" s="206"/>
      <c r="Z255" s="183" t="str">
        <f t="array" ref="Z255">IF(Table133[[#This Row],[Survey?]]="","",IFERROR(INDEX([2]Rubric!$G$3:$G$94,MATCH(1,([2]Rubric!$E$3:$E$94=Z$2)*([2]Rubric!$F$3:$F$94='[2]Questionnaire Responses'!Z256),0)),"MISSING"))</f>
        <v/>
      </c>
      <c r="AA255" s="183" t="str">
        <f t="array" ref="AA255">IF(Table133[[#This Row],[Survey?]]="","",IFERROR(INDEX([2]Rubric!$G$3:$G$94,MATCH(1,([2]Rubric!$E$3:$E$94=AA$2)*([2]Rubric!$F$3:$F$94='[2]Questionnaire Responses'!AA256),0)),"MISSING"))</f>
        <v/>
      </c>
      <c r="AB255" s="183" t="str">
        <f t="array" ref="AB255">IF(Table133[[#This Row],[Survey?]]="","",IFERROR(INDEX([2]Rubric!$G$3:$G$94,MATCH(1,([2]Rubric!$E$3:$E$94=AB$2)*([2]Rubric!$F$3:$F$94='[2]Questionnaire Responses'!AB256),0)),"MISSING"))</f>
        <v/>
      </c>
      <c r="AC255" s="206"/>
      <c r="AD255" s="183" t="str">
        <f t="array" ref="AD255">IF(Table133[[#This Row],[Survey?]]="","",IFERROR(INDEX([2]Rubric!$G$3:$G$94,MATCH(1,([2]Rubric!$E$3:$E$94=AD$2)*([2]Rubric!$F$3:$F$94='[2]Questionnaire Responses'!AD256),0)),"MISSING"))</f>
        <v/>
      </c>
      <c r="AE255" s="183" t="str">
        <f t="array" ref="AE255">IF(Table133[[#This Row],[Survey?]]="","",IFERROR(INDEX([2]Rubric!$G$3:$G$94,MATCH(1,([2]Rubric!$E$3:$E$94=AE$2)*([2]Rubric!$F$3:$F$94='[2]Questionnaire Responses'!AE256),0)),"MISSING"))</f>
        <v/>
      </c>
      <c r="AF255" s="206"/>
      <c r="AG255" s="183" t="str">
        <f t="array" ref="AG255">IF(Table133[[#This Row],[Survey?]]="","",IFERROR(INDEX([2]Rubric!$G$3:$G$94,MATCH(1,([2]Rubric!$E$3:$E$94=AG$2)*([2]Rubric!$F$3:$F$94='[2]Questionnaire Responses'!AG256),0)),"MISSING"))</f>
        <v/>
      </c>
    </row>
    <row r="256" spans="1:33" ht="12.75" customHeight="1" x14ac:dyDescent="0.25">
      <c r="A256" s="207">
        <f>'[2]Questionnaire Responses'!A257</f>
        <v>0</v>
      </c>
      <c r="B256" s="198">
        <f>'[2]Questionnaire Responses'!B257</f>
        <v>0</v>
      </c>
      <c r="C256" s="153">
        <f>'[2]Questionnaire Responses'!C257</f>
        <v>0</v>
      </c>
      <c r="D256" s="208"/>
      <c r="E256" s="206"/>
      <c r="F256" s="183" t="str">
        <f t="array" ref="F256">IF(Table133[[#This Row],[Survey?]]="","",IFERROR(INDEX([2]Rubric!$G$3:$G$94,MATCH(1,([2]Rubric!$E$3:$E$94=F$2)*([2]Rubric!$F$3:$F$94='[2]Questionnaire Responses'!F257),0)),"MISSING"))</f>
        <v/>
      </c>
      <c r="G256" s="183" t="str">
        <f t="array" ref="G256">IF(Table133[[#This Row],[Survey?]]="","",IFERROR(INDEX([2]Rubric!$G$3:$G$94,MATCH(1,([2]Rubric!$E$3:$E$94=G$2)*([2]Rubric!$F$3:$F$94='[2]Questionnaire Responses'!G257),0)),"MISSING"))</f>
        <v/>
      </c>
      <c r="H256" s="183" t="str">
        <f t="array" ref="H256">IF(Table133[[#This Row],[Survey?]]="","",IFERROR(INDEX([2]Rubric!$G$3:$G$94,MATCH(1,([2]Rubric!$E$3:$E$94=H$2)*([2]Rubric!$F$3:$F$94='[2]Questionnaire Responses'!H257),0)),"MISSING"))</f>
        <v/>
      </c>
      <c r="I256" s="183" t="str">
        <f t="array" ref="I256">IF(Table133[[#This Row],[Survey?]]="","",IFERROR(INDEX([2]Rubric!$G$3:$G$94,MATCH(1,([2]Rubric!$E$3:$E$94=I$2)*([2]Rubric!$F$3:$F$94='[2]Questionnaire Responses'!I257),0)),"MISSING"))</f>
        <v/>
      </c>
      <c r="J256" s="183" t="str">
        <f t="array" ref="J256">IF(Table133[[#This Row],[Survey?]]="","",IFERROR(INDEX([2]Rubric!$G$3:$G$94,MATCH(1,([2]Rubric!$E$3:$E$94=J$2)*([2]Rubric!$F$3:$F$94='[2]Questionnaire Responses'!J257),0)),"MISSING"))</f>
        <v/>
      </c>
      <c r="K256" s="206"/>
      <c r="L256" s="183" t="str">
        <f t="array" ref="L256">IF(Table133[[#This Row],[Survey?]]="","",IFERROR(INDEX([2]Rubric!$G$3:$G$94,MATCH(1,([2]Rubric!$E$3:$E$94=L$2)*([2]Rubric!$F$3:$F$94='[2]Questionnaire Responses'!L257),0)),"MISSING"))</f>
        <v/>
      </c>
      <c r="M256" s="206"/>
      <c r="N256" s="183" t="str">
        <f t="array" ref="N256">IF(Table133[[#This Row],[Survey?]]="","",IFERROR(INDEX([2]Rubric!$G$3:$G$94,MATCH(1,([2]Rubric!$E$3:$E$94=N$2)*([2]Rubric!$F$3:$F$94='[2]Questionnaire Responses'!N257),0)),"MISSING"))</f>
        <v/>
      </c>
      <c r="O256" s="183" t="str">
        <f t="array" ref="O256">IF(Table133[[#This Row],[Survey?]]="","",IFERROR(INDEX([2]Rubric!$G$3:$G$94,MATCH(1,([2]Rubric!$E$3:$E$94=O$2)*([2]Rubric!$F$3:$F$94='[2]Questionnaire Responses'!O257),0)),"MISSING"))</f>
        <v/>
      </c>
      <c r="P256" s="206"/>
      <c r="Q256" s="183" t="str">
        <f t="array" ref="Q256">IF(Table133[[#This Row],[Survey?]]="","",IFERROR(INDEX([2]Rubric!$G$3:$G$94,MATCH(1,([2]Rubric!$E$3:$E$94=Q$2)*([2]Rubric!$F$3:$F$94='[2]Questionnaire Responses'!Q257),0)),"MISSING"))</f>
        <v/>
      </c>
      <c r="R256" s="183" t="str">
        <f t="array" ref="R256">IF(Table133[[#This Row],[Survey?]]="","",IFERROR(INDEX([2]Rubric!$G$3:$G$94,MATCH(1,([2]Rubric!$E$3:$E$94=R$2)*([2]Rubric!$F$3:$F$94='[2]Questionnaire Responses'!R257),0)),"MISSING"))</f>
        <v/>
      </c>
      <c r="S256" s="183" t="str">
        <f t="array" ref="S256">IF(Table133[[#This Row],[Survey?]]="","",IFERROR(INDEX([2]Rubric!$G$3:$G$94,MATCH(1,([2]Rubric!$E$3:$E$94=S$2)*([2]Rubric!$F$3:$F$94='[2]Questionnaire Responses'!S257),0)),"MISSING"))</f>
        <v/>
      </c>
      <c r="T256" s="183" t="str">
        <f t="array" ref="T256">IF(Table133[[#This Row],[Survey?]]="","",IFERROR(INDEX([2]Rubric!$G$3:$G$94,MATCH(1,([2]Rubric!$E$3:$E$94=T$2)*([2]Rubric!$F$3:$F$94='[2]Questionnaire Responses'!T257),0)),"MISSING"))</f>
        <v/>
      </c>
      <c r="U256" s="206"/>
      <c r="V256" s="183" t="str">
        <f t="array" ref="V256">IF(Table133[[#This Row],[Survey?]]="","",IFERROR(INDEX([2]Rubric!$G$3:$G$94,MATCH(1,([2]Rubric!$E$3:$E$94=V$2)*([2]Rubric!$F$3:$F$94='[2]Questionnaire Responses'!V257),0)),"MISSING"))</f>
        <v/>
      </c>
      <c r="W256" s="206"/>
      <c r="X256" s="183" t="str">
        <f t="array" ref="X256">IF(Table133[[#This Row],[Survey?]]="","",IFERROR(INDEX([2]Rubric!$G$3:$G$94,MATCH(1,([2]Rubric!$E$3:$E$94=X$2)*([2]Rubric!$F$3:$F$94='[2]Questionnaire Responses'!X257),0)),"MISSING"))</f>
        <v/>
      </c>
      <c r="Y256" s="206"/>
      <c r="Z256" s="183" t="str">
        <f t="array" ref="Z256">IF(Table133[[#This Row],[Survey?]]="","",IFERROR(INDEX([2]Rubric!$G$3:$G$94,MATCH(1,([2]Rubric!$E$3:$E$94=Z$2)*([2]Rubric!$F$3:$F$94='[2]Questionnaire Responses'!Z257),0)),"MISSING"))</f>
        <v/>
      </c>
      <c r="AA256" s="183" t="str">
        <f t="array" ref="AA256">IF(Table133[[#This Row],[Survey?]]="","",IFERROR(INDEX([2]Rubric!$G$3:$G$94,MATCH(1,([2]Rubric!$E$3:$E$94=AA$2)*([2]Rubric!$F$3:$F$94='[2]Questionnaire Responses'!AA257),0)),"MISSING"))</f>
        <v/>
      </c>
      <c r="AB256" s="183" t="str">
        <f t="array" ref="AB256">IF(Table133[[#This Row],[Survey?]]="","",IFERROR(INDEX([2]Rubric!$G$3:$G$94,MATCH(1,([2]Rubric!$E$3:$E$94=AB$2)*([2]Rubric!$F$3:$F$94='[2]Questionnaire Responses'!AB257),0)),"MISSING"))</f>
        <v/>
      </c>
      <c r="AC256" s="206"/>
      <c r="AD256" s="183" t="str">
        <f t="array" ref="AD256">IF(Table133[[#This Row],[Survey?]]="","",IFERROR(INDEX([2]Rubric!$G$3:$G$94,MATCH(1,([2]Rubric!$E$3:$E$94=AD$2)*([2]Rubric!$F$3:$F$94='[2]Questionnaire Responses'!AD257),0)),"MISSING"))</f>
        <v/>
      </c>
      <c r="AE256" s="183" t="str">
        <f t="array" ref="AE256">IF(Table133[[#This Row],[Survey?]]="","",IFERROR(INDEX([2]Rubric!$G$3:$G$94,MATCH(1,([2]Rubric!$E$3:$E$94=AE$2)*([2]Rubric!$F$3:$F$94='[2]Questionnaire Responses'!AE257),0)),"MISSING"))</f>
        <v/>
      </c>
      <c r="AF256" s="206"/>
      <c r="AG256" s="183" t="str">
        <f t="array" ref="AG256">IF(Table133[[#This Row],[Survey?]]="","",IFERROR(INDEX([2]Rubric!$G$3:$G$94,MATCH(1,([2]Rubric!$E$3:$E$94=AG$2)*([2]Rubric!$F$3:$F$94='[2]Questionnaire Responses'!AG257),0)),"MISSING"))</f>
        <v/>
      </c>
    </row>
    <row r="257" spans="1:33" ht="12.75" customHeight="1" x14ac:dyDescent="0.25">
      <c r="A257" s="207">
        <f>'[2]Questionnaire Responses'!A258</f>
        <v>0</v>
      </c>
      <c r="B257" s="198">
        <f>'[2]Questionnaire Responses'!B258</f>
        <v>0</v>
      </c>
      <c r="C257" s="153">
        <f>'[2]Questionnaire Responses'!C258</f>
        <v>0</v>
      </c>
      <c r="D257" s="208"/>
      <c r="E257" s="206"/>
      <c r="F257" s="183" t="str">
        <f t="array" ref="F257">IF(Table133[[#This Row],[Survey?]]="","",IFERROR(INDEX([2]Rubric!$G$3:$G$94,MATCH(1,([2]Rubric!$E$3:$E$94=F$2)*([2]Rubric!$F$3:$F$94='[2]Questionnaire Responses'!F258),0)),"MISSING"))</f>
        <v/>
      </c>
      <c r="G257" s="183" t="str">
        <f t="array" ref="G257">IF(Table133[[#This Row],[Survey?]]="","",IFERROR(INDEX([2]Rubric!$G$3:$G$94,MATCH(1,([2]Rubric!$E$3:$E$94=G$2)*([2]Rubric!$F$3:$F$94='[2]Questionnaire Responses'!G258),0)),"MISSING"))</f>
        <v/>
      </c>
      <c r="H257" s="183" t="str">
        <f t="array" ref="H257">IF(Table133[[#This Row],[Survey?]]="","",IFERROR(INDEX([2]Rubric!$G$3:$G$94,MATCH(1,([2]Rubric!$E$3:$E$94=H$2)*([2]Rubric!$F$3:$F$94='[2]Questionnaire Responses'!H258),0)),"MISSING"))</f>
        <v/>
      </c>
      <c r="I257" s="183" t="str">
        <f t="array" ref="I257">IF(Table133[[#This Row],[Survey?]]="","",IFERROR(INDEX([2]Rubric!$G$3:$G$94,MATCH(1,([2]Rubric!$E$3:$E$94=I$2)*([2]Rubric!$F$3:$F$94='[2]Questionnaire Responses'!I258),0)),"MISSING"))</f>
        <v/>
      </c>
      <c r="J257" s="183" t="str">
        <f t="array" ref="J257">IF(Table133[[#This Row],[Survey?]]="","",IFERROR(INDEX([2]Rubric!$G$3:$G$94,MATCH(1,([2]Rubric!$E$3:$E$94=J$2)*([2]Rubric!$F$3:$F$94='[2]Questionnaire Responses'!J258),0)),"MISSING"))</f>
        <v/>
      </c>
      <c r="K257" s="206"/>
      <c r="L257" s="183" t="str">
        <f t="array" ref="L257">IF(Table133[[#This Row],[Survey?]]="","",IFERROR(INDEX([2]Rubric!$G$3:$G$94,MATCH(1,([2]Rubric!$E$3:$E$94=L$2)*([2]Rubric!$F$3:$F$94='[2]Questionnaire Responses'!L258),0)),"MISSING"))</f>
        <v/>
      </c>
      <c r="M257" s="206"/>
      <c r="N257" s="183" t="str">
        <f t="array" ref="N257">IF(Table133[[#This Row],[Survey?]]="","",IFERROR(INDEX([2]Rubric!$G$3:$G$94,MATCH(1,([2]Rubric!$E$3:$E$94=N$2)*([2]Rubric!$F$3:$F$94='[2]Questionnaire Responses'!N258),0)),"MISSING"))</f>
        <v/>
      </c>
      <c r="O257" s="183" t="str">
        <f t="array" ref="O257">IF(Table133[[#This Row],[Survey?]]="","",IFERROR(INDEX([2]Rubric!$G$3:$G$94,MATCH(1,([2]Rubric!$E$3:$E$94=O$2)*([2]Rubric!$F$3:$F$94='[2]Questionnaire Responses'!O258),0)),"MISSING"))</f>
        <v/>
      </c>
      <c r="P257" s="206"/>
      <c r="Q257" s="183" t="str">
        <f t="array" ref="Q257">IF(Table133[[#This Row],[Survey?]]="","",IFERROR(INDEX([2]Rubric!$G$3:$G$94,MATCH(1,([2]Rubric!$E$3:$E$94=Q$2)*([2]Rubric!$F$3:$F$94='[2]Questionnaire Responses'!Q258),0)),"MISSING"))</f>
        <v/>
      </c>
      <c r="R257" s="183" t="str">
        <f t="array" ref="R257">IF(Table133[[#This Row],[Survey?]]="","",IFERROR(INDEX([2]Rubric!$G$3:$G$94,MATCH(1,([2]Rubric!$E$3:$E$94=R$2)*([2]Rubric!$F$3:$F$94='[2]Questionnaire Responses'!R258),0)),"MISSING"))</f>
        <v/>
      </c>
      <c r="S257" s="183" t="str">
        <f t="array" ref="S257">IF(Table133[[#This Row],[Survey?]]="","",IFERROR(INDEX([2]Rubric!$G$3:$G$94,MATCH(1,([2]Rubric!$E$3:$E$94=S$2)*([2]Rubric!$F$3:$F$94='[2]Questionnaire Responses'!S258),0)),"MISSING"))</f>
        <v/>
      </c>
      <c r="T257" s="183" t="str">
        <f t="array" ref="T257">IF(Table133[[#This Row],[Survey?]]="","",IFERROR(INDEX([2]Rubric!$G$3:$G$94,MATCH(1,([2]Rubric!$E$3:$E$94=T$2)*([2]Rubric!$F$3:$F$94='[2]Questionnaire Responses'!T258),0)),"MISSING"))</f>
        <v/>
      </c>
      <c r="U257" s="206"/>
      <c r="V257" s="183" t="str">
        <f t="array" ref="V257">IF(Table133[[#This Row],[Survey?]]="","",IFERROR(INDEX([2]Rubric!$G$3:$G$94,MATCH(1,([2]Rubric!$E$3:$E$94=V$2)*([2]Rubric!$F$3:$F$94='[2]Questionnaire Responses'!V258),0)),"MISSING"))</f>
        <v/>
      </c>
      <c r="W257" s="206"/>
      <c r="X257" s="183" t="str">
        <f t="array" ref="X257">IF(Table133[[#This Row],[Survey?]]="","",IFERROR(INDEX([2]Rubric!$G$3:$G$94,MATCH(1,([2]Rubric!$E$3:$E$94=X$2)*([2]Rubric!$F$3:$F$94='[2]Questionnaire Responses'!X258),0)),"MISSING"))</f>
        <v/>
      </c>
      <c r="Y257" s="206"/>
      <c r="Z257" s="183" t="str">
        <f t="array" ref="Z257">IF(Table133[[#This Row],[Survey?]]="","",IFERROR(INDEX([2]Rubric!$G$3:$G$94,MATCH(1,([2]Rubric!$E$3:$E$94=Z$2)*([2]Rubric!$F$3:$F$94='[2]Questionnaire Responses'!Z258),0)),"MISSING"))</f>
        <v/>
      </c>
      <c r="AA257" s="183" t="str">
        <f t="array" ref="AA257">IF(Table133[[#This Row],[Survey?]]="","",IFERROR(INDEX([2]Rubric!$G$3:$G$94,MATCH(1,([2]Rubric!$E$3:$E$94=AA$2)*([2]Rubric!$F$3:$F$94='[2]Questionnaire Responses'!AA258),0)),"MISSING"))</f>
        <v/>
      </c>
      <c r="AB257" s="183" t="str">
        <f t="array" ref="AB257">IF(Table133[[#This Row],[Survey?]]="","",IFERROR(INDEX([2]Rubric!$G$3:$G$94,MATCH(1,([2]Rubric!$E$3:$E$94=AB$2)*([2]Rubric!$F$3:$F$94='[2]Questionnaire Responses'!AB258),0)),"MISSING"))</f>
        <v/>
      </c>
      <c r="AC257" s="206"/>
      <c r="AD257" s="183" t="str">
        <f t="array" ref="AD257">IF(Table133[[#This Row],[Survey?]]="","",IFERROR(INDEX([2]Rubric!$G$3:$G$94,MATCH(1,([2]Rubric!$E$3:$E$94=AD$2)*([2]Rubric!$F$3:$F$94='[2]Questionnaire Responses'!AD258),0)),"MISSING"))</f>
        <v/>
      </c>
      <c r="AE257" s="183" t="str">
        <f t="array" ref="AE257">IF(Table133[[#This Row],[Survey?]]="","",IFERROR(INDEX([2]Rubric!$G$3:$G$94,MATCH(1,([2]Rubric!$E$3:$E$94=AE$2)*([2]Rubric!$F$3:$F$94='[2]Questionnaire Responses'!AE258),0)),"MISSING"))</f>
        <v/>
      </c>
      <c r="AF257" s="206"/>
      <c r="AG257" s="183" t="str">
        <f t="array" ref="AG257">IF(Table133[[#This Row],[Survey?]]="","",IFERROR(INDEX([2]Rubric!$G$3:$G$94,MATCH(1,([2]Rubric!$E$3:$E$94=AG$2)*([2]Rubric!$F$3:$F$94='[2]Questionnaire Responses'!AG258),0)),"MISSING"))</f>
        <v/>
      </c>
    </row>
    <row r="258" spans="1:33" ht="12.75" customHeight="1" x14ac:dyDescent="0.25">
      <c r="A258" s="207">
        <f>'[2]Questionnaire Responses'!A259</f>
        <v>0</v>
      </c>
      <c r="B258" s="198">
        <f>'[2]Questionnaire Responses'!B259</f>
        <v>0</v>
      </c>
      <c r="C258" s="153">
        <f>'[2]Questionnaire Responses'!C259</f>
        <v>0</v>
      </c>
      <c r="D258" s="208"/>
      <c r="E258" s="206"/>
      <c r="F258" s="183" t="str">
        <f t="array" ref="F258">IF(Table133[[#This Row],[Survey?]]="","",IFERROR(INDEX([2]Rubric!$G$3:$G$94,MATCH(1,([2]Rubric!$E$3:$E$94=F$2)*([2]Rubric!$F$3:$F$94='[2]Questionnaire Responses'!F259),0)),"MISSING"))</f>
        <v/>
      </c>
      <c r="G258" s="183" t="str">
        <f t="array" ref="G258">IF(Table133[[#This Row],[Survey?]]="","",IFERROR(INDEX([2]Rubric!$G$3:$G$94,MATCH(1,([2]Rubric!$E$3:$E$94=G$2)*([2]Rubric!$F$3:$F$94='[2]Questionnaire Responses'!G259),0)),"MISSING"))</f>
        <v/>
      </c>
      <c r="H258" s="183" t="str">
        <f t="array" ref="H258">IF(Table133[[#This Row],[Survey?]]="","",IFERROR(INDEX([2]Rubric!$G$3:$G$94,MATCH(1,([2]Rubric!$E$3:$E$94=H$2)*([2]Rubric!$F$3:$F$94='[2]Questionnaire Responses'!H259),0)),"MISSING"))</f>
        <v/>
      </c>
      <c r="I258" s="183" t="str">
        <f t="array" ref="I258">IF(Table133[[#This Row],[Survey?]]="","",IFERROR(INDEX([2]Rubric!$G$3:$G$94,MATCH(1,([2]Rubric!$E$3:$E$94=I$2)*([2]Rubric!$F$3:$F$94='[2]Questionnaire Responses'!I259),0)),"MISSING"))</f>
        <v/>
      </c>
      <c r="J258" s="183" t="str">
        <f t="array" ref="J258">IF(Table133[[#This Row],[Survey?]]="","",IFERROR(INDEX([2]Rubric!$G$3:$G$94,MATCH(1,([2]Rubric!$E$3:$E$94=J$2)*([2]Rubric!$F$3:$F$94='[2]Questionnaire Responses'!J259),0)),"MISSING"))</f>
        <v/>
      </c>
      <c r="K258" s="206"/>
      <c r="L258" s="183" t="str">
        <f t="array" ref="L258">IF(Table133[[#This Row],[Survey?]]="","",IFERROR(INDEX([2]Rubric!$G$3:$G$94,MATCH(1,([2]Rubric!$E$3:$E$94=L$2)*([2]Rubric!$F$3:$F$94='[2]Questionnaire Responses'!L259),0)),"MISSING"))</f>
        <v/>
      </c>
      <c r="M258" s="206"/>
      <c r="N258" s="183" t="str">
        <f t="array" ref="N258">IF(Table133[[#This Row],[Survey?]]="","",IFERROR(INDEX([2]Rubric!$G$3:$G$94,MATCH(1,([2]Rubric!$E$3:$E$94=N$2)*([2]Rubric!$F$3:$F$94='[2]Questionnaire Responses'!N259),0)),"MISSING"))</f>
        <v/>
      </c>
      <c r="O258" s="183" t="str">
        <f t="array" ref="O258">IF(Table133[[#This Row],[Survey?]]="","",IFERROR(INDEX([2]Rubric!$G$3:$G$94,MATCH(1,([2]Rubric!$E$3:$E$94=O$2)*([2]Rubric!$F$3:$F$94='[2]Questionnaire Responses'!O259),0)),"MISSING"))</f>
        <v/>
      </c>
      <c r="P258" s="206"/>
      <c r="Q258" s="183" t="str">
        <f t="array" ref="Q258">IF(Table133[[#This Row],[Survey?]]="","",IFERROR(INDEX([2]Rubric!$G$3:$G$94,MATCH(1,([2]Rubric!$E$3:$E$94=Q$2)*([2]Rubric!$F$3:$F$94='[2]Questionnaire Responses'!Q259),0)),"MISSING"))</f>
        <v/>
      </c>
      <c r="R258" s="183" t="str">
        <f t="array" ref="R258">IF(Table133[[#This Row],[Survey?]]="","",IFERROR(INDEX([2]Rubric!$G$3:$G$94,MATCH(1,([2]Rubric!$E$3:$E$94=R$2)*([2]Rubric!$F$3:$F$94='[2]Questionnaire Responses'!R259),0)),"MISSING"))</f>
        <v/>
      </c>
      <c r="S258" s="183" t="str">
        <f t="array" ref="S258">IF(Table133[[#This Row],[Survey?]]="","",IFERROR(INDEX([2]Rubric!$G$3:$G$94,MATCH(1,([2]Rubric!$E$3:$E$94=S$2)*([2]Rubric!$F$3:$F$94='[2]Questionnaire Responses'!S259),0)),"MISSING"))</f>
        <v/>
      </c>
      <c r="T258" s="183" t="str">
        <f t="array" ref="T258">IF(Table133[[#This Row],[Survey?]]="","",IFERROR(INDEX([2]Rubric!$G$3:$G$94,MATCH(1,([2]Rubric!$E$3:$E$94=T$2)*([2]Rubric!$F$3:$F$94='[2]Questionnaire Responses'!T259),0)),"MISSING"))</f>
        <v/>
      </c>
      <c r="U258" s="206"/>
      <c r="V258" s="183" t="str">
        <f t="array" ref="V258">IF(Table133[[#This Row],[Survey?]]="","",IFERROR(INDEX([2]Rubric!$G$3:$G$94,MATCH(1,([2]Rubric!$E$3:$E$94=V$2)*([2]Rubric!$F$3:$F$94='[2]Questionnaire Responses'!V259),0)),"MISSING"))</f>
        <v/>
      </c>
      <c r="W258" s="206"/>
      <c r="X258" s="183" t="str">
        <f t="array" ref="X258">IF(Table133[[#This Row],[Survey?]]="","",IFERROR(INDEX([2]Rubric!$G$3:$G$94,MATCH(1,([2]Rubric!$E$3:$E$94=X$2)*([2]Rubric!$F$3:$F$94='[2]Questionnaire Responses'!X259),0)),"MISSING"))</f>
        <v/>
      </c>
      <c r="Y258" s="206"/>
      <c r="Z258" s="183" t="str">
        <f t="array" ref="Z258">IF(Table133[[#This Row],[Survey?]]="","",IFERROR(INDEX([2]Rubric!$G$3:$G$94,MATCH(1,([2]Rubric!$E$3:$E$94=Z$2)*([2]Rubric!$F$3:$F$94='[2]Questionnaire Responses'!Z259),0)),"MISSING"))</f>
        <v/>
      </c>
      <c r="AA258" s="183" t="str">
        <f t="array" ref="AA258">IF(Table133[[#This Row],[Survey?]]="","",IFERROR(INDEX([2]Rubric!$G$3:$G$94,MATCH(1,([2]Rubric!$E$3:$E$94=AA$2)*([2]Rubric!$F$3:$F$94='[2]Questionnaire Responses'!AA259),0)),"MISSING"))</f>
        <v/>
      </c>
      <c r="AB258" s="183" t="str">
        <f t="array" ref="AB258">IF(Table133[[#This Row],[Survey?]]="","",IFERROR(INDEX([2]Rubric!$G$3:$G$94,MATCH(1,([2]Rubric!$E$3:$E$94=AB$2)*([2]Rubric!$F$3:$F$94='[2]Questionnaire Responses'!AB259),0)),"MISSING"))</f>
        <v/>
      </c>
      <c r="AC258" s="206"/>
      <c r="AD258" s="183" t="str">
        <f t="array" ref="AD258">IF(Table133[[#This Row],[Survey?]]="","",IFERROR(INDEX([2]Rubric!$G$3:$G$94,MATCH(1,([2]Rubric!$E$3:$E$94=AD$2)*([2]Rubric!$F$3:$F$94='[2]Questionnaire Responses'!AD259),0)),"MISSING"))</f>
        <v/>
      </c>
      <c r="AE258" s="183" t="str">
        <f t="array" ref="AE258">IF(Table133[[#This Row],[Survey?]]="","",IFERROR(INDEX([2]Rubric!$G$3:$G$94,MATCH(1,([2]Rubric!$E$3:$E$94=AE$2)*([2]Rubric!$F$3:$F$94='[2]Questionnaire Responses'!AE259),0)),"MISSING"))</f>
        <v/>
      </c>
      <c r="AF258" s="206"/>
      <c r="AG258" s="183" t="str">
        <f t="array" ref="AG258">IF(Table133[[#This Row],[Survey?]]="","",IFERROR(INDEX([2]Rubric!$G$3:$G$94,MATCH(1,([2]Rubric!$E$3:$E$94=AG$2)*([2]Rubric!$F$3:$F$94='[2]Questionnaire Responses'!AG259),0)),"MISSING"))</f>
        <v/>
      </c>
    </row>
    <row r="259" spans="1:33" ht="12.75" customHeight="1" x14ac:dyDescent="0.25">
      <c r="A259" s="207">
        <f>'[2]Questionnaire Responses'!A260</f>
        <v>0</v>
      </c>
      <c r="B259" s="198">
        <f>'[2]Questionnaire Responses'!B260</f>
        <v>0</v>
      </c>
      <c r="C259" s="153">
        <f>'[2]Questionnaire Responses'!C260</f>
        <v>0</v>
      </c>
      <c r="D259" s="208"/>
      <c r="E259" s="206"/>
      <c r="F259" s="183" t="str">
        <f t="array" ref="F259">IF(Table133[[#This Row],[Survey?]]="","",IFERROR(INDEX([2]Rubric!$G$3:$G$94,MATCH(1,([2]Rubric!$E$3:$E$94=F$2)*([2]Rubric!$F$3:$F$94='[2]Questionnaire Responses'!F260),0)),"MISSING"))</f>
        <v/>
      </c>
      <c r="G259" s="183" t="str">
        <f t="array" ref="G259">IF(Table133[[#This Row],[Survey?]]="","",IFERROR(INDEX([2]Rubric!$G$3:$G$94,MATCH(1,([2]Rubric!$E$3:$E$94=G$2)*([2]Rubric!$F$3:$F$94='[2]Questionnaire Responses'!G260),0)),"MISSING"))</f>
        <v/>
      </c>
      <c r="H259" s="183" t="str">
        <f t="array" ref="H259">IF(Table133[[#This Row],[Survey?]]="","",IFERROR(INDEX([2]Rubric!$G$3:$G$94,MATCH(1,([2]Rubric!$E$3:$E$94=H$2)*([2]Rubric!$F$3:$F$94='[2]Questionnaire Responses'!H260),0)),"MISSING"))</f>
        <v/>
      </c>
      <c r="I259" s="183" t="str">
        <f t="array" ref="I259">IF(Table133[[#This Row],[Survey?]]="","",IFERROR(INDEX([2]Rubric!$G$3:$G$94,MATCH(1,([2]Rubric!$E$3:$E$94=I$2)*([2]Rubric!$F$3:$F$94='[2]Questionnaire Responses'!I260),0)),"MISSING"))</f>
        <v/>
      </c>
      <c r="J259" s="183" t="str">
        <f t="array" ref="J259">IF(Table133[[#This Row],[Survey?]]="","",IFERROR(INDEX([2]Rubric!$G$3:$G$94,MATCH(1,([2]Rubric!$E$3:$E$94=J$2)*([2]Rubric!$F$3:$F$94='[2]Questionnaire Responses'!J260),0)),"MISSING"))</f>
        <v/>
      </c>
      <c r="K259" s="206"/>
      <c r="L259" s="183" t="str">
        <f t="array" ref="L259">IF(Table133[[#This Row],[Survey?]]="","",IFERROR(INDEX([2]Rubric!$G$3:$G$94,MATCH(1,([2]Rubric!$E$3:$E$94=L$2)*([2]Rubric!$F$3:$F$94='[2]Questionnaire Responses'!L260),0)),"MISSING"))</f>
        <v/>
      </c>
      <c r="M259" s="206"/>
      <c r="N259" s="183" t="str">
        <f t="array" ref="N259">IF(Table133[[#This Row],[Survey?]]="","",IFERROR(INDEX([2]Rubric!$G$3:$G$94,MATCH(1,([2]Rubric!$E$3:$E$94=N$2)*([2]Rubric!$F$3:$F$94='[2]Questionnaire Responses'!N260),0)),"MISSING"))</f>
        <v/>
      </c>
      <c r="O259" s="183" t="str">
        <f t="array" ref="O259">IF(Table133[[#This Row],[Survey?]]="","",IFERROR(INDEX([2]Rubric!$G$3:$G$94,MATCH(1,([2]Rubric!$E$3:$E$94=O$2)*([2]Rubric!$F$3:$F$94='[2]Questionnaire Responses'!O260),0)),"MISSING"))</f>
        <v/>
      </c>
      <c r="P259" s="206"/>
      <c r="Q259" s="183" t="str">
        <f t="array" ref="Q259">IF(Table133[[#This Row],[Survey?]]="","",IFERROR(INDEX([2]Rubric!$G$3:$G$94,MATCH(1,([2]Rubric!$E$3:$E$94=Q$2)*([2]Rubric!$F$3:$F$94='[2]Questionnaire Responses'!Q260),0)),"MISSING"))</f>
        <v/>
      </c>
      <c r="R259" s="183" t="str">
        <f t="array" ref="R259">IF(Table133[[#This Row],[Survey?]]="","",IFERROR(INDEX([2]Rubric!$G$3:$G$94,MATCH(1,([2]Rubric!$E$3:$E$94=R$2)*([2]Rubric!$F$3:$F$94='[2]Questionnaire Responses'!R260),0)),"MISSING"))</f>
        <v/>
      </c>
      <c r="S259" s="183" t="str">
        <f t="array" ref="S259">IF(Table133[[#This Row],[Survey?]]="","",IFERROR(INDEX([2]Rubric!$G$3:$G$94,MATCH(1,([2]Rubric!$E$3:$E$94=S$2)*([2]Rubric!$F$3:$F$94='[2]Questionnaire Responses'!S260),0)),"MISSING"))</f>
        <v/>
      </c>
      <c r="T259" s="183" t="str">
        <f t="array" ref="T259">IF(Table133[[#This Row],[Survey?]]="","",IFERROR(INDEX([2]Rubric!$G$3:$G$94,MATCH(1,([2]Rubric!$E$3:$E$94=T$2)*([2]Rubric!$F$3:$F$94='[2]Questionnaire Responses'!T260),0)),"MISSING"))</f>
        <v/>
      </c>
      <c r="U259" s="206"/>
      <c r="V259" s="183" t="str">
        <f t="array" ref="V259">IF(Table133[[#This Row],[Survey?]]="","",IFERROR(INDEX([2]Rubric!$G$3:$G$94,MATCH(1,([2]Rubric!$E$3:$E$94=V$2)*([2]Rubric!$F$3:$F$94='[2]Questionnaire Responses'!V260),0)),"MISSING"))</f>
        <v/>
      </c>
      <c r="W259" s="206"/>
      <c r="X259" s="183" t="str">
        <f t="array" ref="X259">IF(Table133[[#This Row],[Survey?]]="","",IFERROR(INDEX([2]Rubric!$G$3:$G$94,MATCH(1,([2]Rubric!$E$3:$E$94=X$2)*([2]Rubric!$F$3:$F$94='[2]Questionnaire Responses'!X260),0)),"MISSING"))</f>
        <v/>
      </c>
      <c r="Y259" s="206"/>
      <c r="Z259" s="183" t="str">
        <f t="array" ref="Z259">IF(Table133[[#This Row],[Survey?]]="","",IFERROR(INDEX([2]Rubric!$G$3:$G$94,MATCH(1,([2]Rubric!$E$3:$E$94=Z$2)*([2]Rubric!$F$3:$F$94='[2]Questionnaire Responses'!Z260),0)),"MISSING"))</f>
        <v/>
      </c>
      <c r="AA259" s="183" t="str">
        <f t="array" ref="AA259">IF(Table133[[#This Row],[Survey?]]="","",IFERROR(INDEX([2]Rubric!$G$3:$G$94,MATCH(1,([2]Rubric!$E$3:$E$94=AA$2)*([2]Rubric!$F$3:$F$94='[2]Questionnaire Responses'!AA260),0)),"MISSING"))</f>
        <v/>
      </c>
      <c r="AB259" s="183" t="str">
        <f t="array" ref="AB259">IF(Table133[[#This Row],[Survey?]]="","",IFERROR(INDEX([2]Rubric!$G$3:$G$94,MATCH(1,([2]Rubric!$E$3:$E$94=AB$2)*([2]Rubric!$F$3:$F$94='[2]Questionnaire Responses'!AB260),0)),"MISSING"))</f>
        <v/>
      </c>
      <c r="AC259" s="206"/>
      <c r="AD259" s="183" t="str">
        <f t="array" ref="AD259">IF(Table133[[#This Row],[Survey?]]="","",IFERROR(INDEX([2]Rubric!$G$3:$G$94,MATCH(1,([2]Rubric!$E$3:$E$94=AD$2)*([2]Rubric!$F$3:$F$94='[2]Questionnaire Responses'!AD260),0)),"MISSING"))</f>
        <v/>
      </c>
      <c r="AE259" s="183" t="str">
        <f t="array" ref="AE259">IF(Table133[[#This Row],[Survey?]]="","",IFERROR(INDEX([2]Rubric!$G$3:$G$94,MATCH(1,([2]Rubric!$E$3:$E$94=AE$2)*([2]Rubric!$F$3:$F$94='[2]Questionnaire Responses'!AE260),0)),"MISSING"))</f>
        <v/>
      </c>
      <c r="AF259" s="206"/>
      <c r="AG259" s="183" t="str">
        <f t="array" ref="AG259">IF(Table133[[#This Row],[Survey?]]="","",IFERROR(INDEX([2]Rubric!$G$3:$G$94,MATCH(1,([2]Rubric!$E$3:$E$94=AG$2)*([2]Rubric!$F$3:$F$94='[2]Questionnaire Responses'!AG260),0)),"MISSING"))</f>
        <v/>
      </c>
    </row>
    <row r="260" spans="1:33" ht="12.75" customHeight="1" x14ac:dyDescent="0.25">
      <c r="A260" s="207">
        <f>'[2]Questionnaire Responses'!A261</f>
        <v>0</v>
      </c>
      <c r="B260" s="198">
        <f>'[2]Questionnaire Responses'!B261</f>
        <v>0</v>
      </c>
      <c r="C260" s="153">
        <f>'[2]Questionnaire Responses'!C261</f>
        <v>0</v>
      </c>
      <c r="D260" s="208"/>
      <c r="E260" s="206"/>
      <c r="F260" s="183" t="str">
        <f t="array" ref="F260">IF(Table133[[#This Row],[Survey?]]="","",IFERROR(INDEX([2]Rubric!$G$3:$G$94,MATCH(1,([2]Rubric!$E$3:$E$94=F$2)*([2]Rubric!$F$3:$F$94='[2]Questionnaire Responses'!F261),0)),"MISSING"))</f>
        <v/>
      </c>
      <c r="G260" s="183" t="str">
        <f t="array" ref="G260">IF(Table133[[#This Row],[Survey?]]="","",IFERROR(INDEX([2]Rubric!$G$3:$G$94,MATCH(1,([2]Rubric!$E$3:$E$94=G$2)*([2]Rubric!$F$3:$F$94='[2]Questionnaire Responses'!G261),0)),"MISSING"))</f>
        <v/>
      </c>
      <c r="H260" s="183" t="str">
        <f t="array" ref="H260">IF(Table133[[#This Row],[Survey?]]="","",IFERROR(INDEX([2]Rubric!$G$3:$G$94,MATCH(1,([2]Rubric!$E$3:$E$94=H$2)*([2]Rubric!$F$3:$F$94='[2]Questionnaire Responses'!H261),0)),"MISSING"))</f>
        <v/>
      </c>
      <c r="I260" s="183" t="str">
        <f t="array" ref="I260">IF(Table133[[#This Row],[Survey?]]="","",IFERROR(INDEX([2]Rubric!$G$3:$G$94,MATCH(1,([2]Rubric!$E$3:$E$94=I$2)*([2]Rubric!$F$3:$F$94='[2]Questionnaire Responses'!I261),0)),"MISSING"))</f>
        <v/>
      </c>
      <c r="J260" s="183" t="str">
        <f t="array" ref="J260">IF(Table133[[#This Row],[Survey?]]="","",IFERROR(INDEX([2]Rubric!$G$3:$G$94,MATCH(1,([2]Rubric!$E$3:$E$94=J$2)*([2]Rubric!$F$3:$F$94='[2]Questionnaire Responses'!J261),0)),"MISSING"))</f>
        <v/>
      </c>
      <c r="K260" s="206"/>
      <c r="L260" s="183" t="str">
        <f t="array" ref="L260">IF(Table133[[#This Row],[Survey?]]="","",IFERROR(INDEX([2]Rubric!$G$3:$G$94,MATCH(1,([2]Rubric!$E$3:$E$94=L$2)*([2]Rubric!$F$3:$F$94='[2]Questionnaire Responses'!L261),0)),"MISSING"))</f>
        <v/>
      </c>
      <c r="M260" s="206"/>
      <c r="N260" s="183" t="str">
        <f t="array" ref="N260">IF(Table133[[#This Row],[Survey?]]="","",IFERROR(INDEX([2]Rubric!$G$3:$G$94,MATCH(1,([2]Rubric!$E$3:$E$94=N$2)*([2]Rubric!$F$3:$F$94='[2]Questionnaire Responses'!N261),0)),"MISSING"))</f>
        <v/>
      </c>
      <c r="O260" s="183" t="str">
        <f t="array" ref="O260">IF(Table133[[#This Row],[Survey?]]="","",IFERROR(INDEX([2]Rubric!$G$3:$G$94,MATCH(1,([2]Rubric!$E$3:$E$94=O$2)*([2]Rubric!$F$3:$F$94='[2]Questionnaire Responses'!O261),0)),"MISSING"))</f>
        <v/>
      </c>
      <c r="P260" s="206"/>
      <c r="Q260" s="183" t="str">
        <f t="array" ref="Q260">IF(Table133[[#This Row],[Survey?]]="","",IFERROR(INDEX([2]Rubric!$G$3:$G$94,MATCH(1,([2]Rubric!$E$3:$E$94=Q$2)*([2]Rubric!$F$3:$F$94='[2]Questionnaire Responses'!Q261),0)),"MISSING"))</f>
        <v/>
      </c>
      <c r="R260" s="183" t="str">
        <f t="array" ref="R260">IF(Table133[[#This Row],[Survey?]]="","",IFERROR(INDEX([2]Rubric!$G$3:$G$94,MATCH(1,([2]Rubric!$E$3:$E$94=R$2)*([2]Rubric!$F$3:$F$94='[2]Questionnaire Responses'!R261),0)),"MISSING"))</f>
        <v/>
      </c>
      <c r="S260" s="183" t="str">
        <f t="array" ref="S260">IF(Table133[[#This Row],[Survey?]]="","",IFERROR(INDEX([2]Rubric!$G$3:$G$94,MATCH(1,([2]Rubric!$E$3:$E$94=S$2)*([2]Rubric!$F$3:$F$94='[2]Questionnaire Responses'!S261),0)),"MISSING"))</f>
        <v/>
      </c>
      <c r="T260" s="183" t="str">
        <f t="array" ref="T260">IF(Table133[[#This Row],[Survey?]]="","",IFERROR(INDEX([2]Rubric!$G$3:$G$94,MATCH(1,([2]Rubric!$E$3:$E$94=T$2)*([2]Rubric!$F$3:$F$94='[2]Questionnaire Responses'!T261),0)),"MISSING"))</f>
        <v/>
      </c>
      <c r="U260" s="206"/>
      <c r="V260" s="183" t="str">
        <f t="array" ref="V260">IF(Table133[[#This Row],[Survey?]]="","",IFERROR(INDEX([2]Rubric!$G$3:$G$94,MATCH(1,([2]Rubric!$E$3:$E$94=V$2)*([2]Rubric!$F$3:$F$94='[2]Questionnaire Responses'!V261),0)),"MISSING"))</f>
        <v/>
      </c>
      <c r="W260" s="206"/>
      <c r="X260" s="183" t="str">
        <f t="array" ref="X260">IF(Table133[[#This Row],[Survey?]]="","",IFERROR(INDEX([2]Rubric!$G$3:$G$94,MATCH(1,([2]Rubric!$E$3:$E$94=X$2)*([2]Rubric!$F$3:$F$94='[2]Questionnaire Responses'!X261),0)),"MISSING"))</f>
        <v/>
      </c>
      <c r="Y260" s="206"/>
      <c r="Z260" s="183" t="str">
        <f t="array" ref="Z260">IF(Table133[[#This Row],[Survey?]]="","",IFERROR(INDEX([2]Rubric!$G$3:$G$94,MATCH(1,([2]Rubric!$E$3:$E$94=Z$2)*([2]Rubric!$F$3:$F$94='[2]Questionnaire Responses'!Z261),0)),"MISSING"))</f>
        <v/>
      </c>
      <c r="AA260" s="183" t="str">
        <f t="array" ref="AA260">IF(Table133[[#This Row],[Survey?]]="","",IFERROR(INDEX([2]Rubric!$G$3:$G$94,MATCH(1,([2]Rubric!$E$3:$E$94=AA$2)*([2]Rubric!$F$3:$F$94='[2]Questionnaire Responses'!AA261),0)),"MISSING"))</f>
        <v/>
      </c>
      <c r="AB260" s="183" t="str">
        <f t="array" ref="AB260">IF(Table133[[#This Row],[Survey?]]="","",IFERROR(INDEX([2]Rubric!$G$3:$G$94,MATCH(1,([2]Rubric!$E$3:$E$94=AB$2)*([2]Rubric!$F$3:$F$94='[2]Questionnaire Responses'!AB261),0)),"MISSING"))</f>
        <v/>
      </c>
      <c r="AC260" s="206"/>
      <c r="AD260" s="183" t="str">
        <f t="array" ref="AD260">IF(Table133[[#This Row],[Survey?]]="","",IFERROR(INDEX([2]Rubric!$G$3:$G$94,MATCH(1,([2]Rubric!$E$3:$E$94=AD$2)*([2]Rubric!$F$3:$F$94='[2]Questionnaire Responses'!AD261),0)),"MISSING"))</f>
        <v/>
      </c>
      <c r="AE260" s="183" t="str">
        <f t="array" ref="AE260">IF(Table133[[#This Row],[Survey?]]="","",IFERROR(INDEX([2]Rubric!$G$3:$G$94,MATCH(1,([2]Rubric!$E$3:$E$94=AE$2)*([2]Rubric!$F$3:$F$94='[2]Questionnaire Responses'!AE261),0)),"MISSING"))</f>
        <v/>
      </c>
      <c r="AF260" s="206"/>
      <c r="AG260" s="183" t="str">
        <f t="array" ref="AG260">IF(Table133[[#This Row],[Survey?]]="","",IFERROR(INDEX([2]Rubric!$G$3:$G$94,MATCH(1,([2]Rubric!$E$3:$E$94=AG$2)*([2]Rubric!$F$3:$F$94='[2]Questionnaire Responses'!AG261),0)),"MISSING"))</f>
        <v/>
      </c>
    </row>
    <row r="261" spans="1:33" ht="12.75" customHeight="1" x14ac:dyDescent="0.25">
      <c r="A261" s="207">
        <f>'[2]Questionnaire Responses'!A262</f>
        <v>0</v>
      </c>
      <c r="B261" s="198">
        <f>'[2]Questionnaire Responses'!B262</f>
        <v>0</v>
      </c>
      <c r="C261" s="153">
        <f>'[2]Questionnaire Responses'!C262</f>
        <v>0</v>
      </c>
      <c r="D261" s="208"/>
      <c r="E261" s="206"/>
      <c r="F261" s="183" t="str">
        <f t="array" ref="F261">IF(Table133[[#This Row],[Survey?]]="","",IFERROR(INDEX([2]Rubric!$G$3:$G$94,MATCH(1,([2]Rubric!$E$3:$E$94=F$2)*([2]Rubric!$F$3:$F$94='[2]Questionnaire Responses'!F262),0)),"MISSING"))</f>
        <v/>
      </c>
      <c r="G261" s="183" t="str">
        <f t="array" ref="G261">IF(Table133[[#This Row],[Survey?]]="","",IFERROR(INDEX([2]Rubric!$G$3:$G$94,MATCH(1,([2]Rubric!$E$3:$E$94=G$2)*([2]Rubric!$F$3:$F$94='[2]Questionnaire Responses'!G262),0)),"MISSING"))</f>
        <v/>
      </c>
      <c r="H261" s="183" t="str">
        <f t="array" ref="H261">IF(Table133[[#This Row],[Survey?]]="","",IFERROR(INDEX([2]Rubric!$G$3:$G$94,MATCH(1,([2]Rubric!$E$3:$E$94=H$2)*([2]Rubric!$F$3:$F$94='[2]Questionnaire Responses'!H262),0)),"MISSING"))</f>
        <v/>
      </c>
      <c r="I261" s="183" t="str">
        <f t="array" ref="I261">IF(Table133[[#This Row],[Survey?]]="","",IFERROR(INDEX([2]Rubric!$G$3:$G$94,MATCH(1,([2]Rubric!$E$3:$E$94=I$2)*([2]Rubric!$F$3:$F$94='[2]Questionnaire Responses'!I262),0)),"MISSING"))</f>
        <v/>
      </c>
      <c r="J261" s="183" t="str">
        <f t="array" ref="J261">IF(Table133[[#This Row],[Survey?]]="","",IFERROR(INDEX([2]Rubric!$G$3:$G$94,MATCH(1,([2]Rubric!$E$3:$E$94=J$2)*([2]Rubric!$F$3:$F$94='[2]Questionnaire Responses'!J262),0)),"MISSING"))</f>
        <v/>
      </c>
      <c r="K261" s="206"/>
      <c r="L261" s="183" t="str">
        <f t="array" ref="L261">IF(Table133[[#This Row],[Survey?]]="","",IFERROR(INDEX([2]Rubric!$G$3:$G$94,MATCH(1,([2]Rubric!$E$3:$E$94=L$2)*([2]Rubric!$F$3:$F$94='[2]Questionnaire Responses'!L262),0)),"MISSING"))</f>
        <v/>
      </c>
      <c r="M261" s="206"/>
      <c r="N261" s="183" t="str">
        <f t="array" ref="N261">IF(Table133[[#This Row],[Survey?]]="","",IFERROR(INDEX([2]Rubric!$G$3:$G$94,MATCH(1,([2]Rubric!$E$3:$E$94=N$2)*([2]Rubric!$F$3:$F$94='[2]Questionnaire Responses'!N262),0)),"MISSING"))</f>
        <v/>
      </c>
      <c r="O261" s="183" t="str">
        <f t="array" ref="O261">IF(Table133[[#This Row],[Survey?]]="","",IFERROR(INDEX([2]Rubric!$G$3:$G$94,MATCH(1,([2]Rubric!$E$3:$E$94=O$2)*([2]Rubric!$F$3:$F$94='[2]Questionnaire Responses'!O262),0)),"MISSING"))</f>
        <v/>
      </c>
      <c r="P261" s="206"/>
      <c r="Q261" s="183" t="str">
        <f t="array" ref="Q261">IF(Table133[[#This Row],[Survey?]]="","",IFERROR(INDEX([2]Rubric!$G$3:$G$94,MATCH(1,([2]Rubric!$E$3:$E$94=Q$2)*([2]Rubric!$F$3:$F$94='[2]Questionnaire Responses'!Q262),0)),"MISSING"))</f>
        <v/>
      </c>
      <c r="R261" s="183" t="str">
        <f t="array" ref="R261">IF(Table133[[#This Row],[Survey?]]="","",IFERROR(INDEX([2]Rubric!$G$3:$G$94,MATCH(1,([2]Rubric!$E$3:$E$94=R$2)*([2]Rubric!$F$3:$F$94='[2]Questionnaire Responses'!R262),0)),"MISSING"))</f>
        <v/>
      </c>
      <c r="S261" s="183" t="str">
        <f t="array" ref="S261">IF(Table133[[#This Row],[Survey?]]="","",IFERROR(INDEX([2]Rubric!$G$3:$G$94,MATCH(1,([2]Rubric!$E$3:$E$94=S$2)*([2]Rubric!$F$3:$F$94='[2]Questionnaire Responses'!S262),0)),"MISSING"))</f>
        <v/>
      </c>
      <c r="T261" s="183" t="str">
        <f t="array" ref="T261">IF(Table133[[#This Row],[Survey?]]="","",IFERROR(INDEX([2]Rubric!$G$3:$G$94,MATCH(1,([2]Rubric!$E$3:$E$94=T$2)*([2]Rubric!$F$3:$F$94='[2]Questionnaire Responses'!T262),0)),"MISSING"))</f>
        <v/>
      </c>
      <c r="U261" s="206"/>
      <c r="V261" s="183" t="str">
        <f t="array" ref="V261">IF(Table133[[#This Row],[Survey?]]="","",IFERROR(INDEX([2]Rubric!$G$3:$G$94,MATCH(1,([2]Rubric!$E$3:$E$94=V$2)*([2]Rubric!$F$3:$F$94='[2]Questionnaire Responses'!V262),0)),"MISSING"))</f>
        <v/>
      </c>
      <c r="W261" s="206"/>
      <c r="X261" s="183" t="str">
        <f t="array" ref="X261">IF(Table133[[#This Row],[Survey?]]="","",IFERROR(INDEX([2]Rubric!$G$3:$G$94,MATCH(1,([2]Rubric!$E$3:$E$94=X$2)*([2]Rubric!$F$3:$F$94='[2]Questionnaire Responses'!X262),0)),"MISSING"))</f>
        <v/>
      </c>
      <c r="Y261" s="206"/>
      <c r="Z261" s="183" t="str">
        <f t="array" ref="Z261">IF(Table133[[#This Row],[Survey?]]="","",IFERROR(INDEX([2]Rubric!$G$3:$G$94,MATCH(1,([2]Rubric!$E$3:$E$94=Z$2)*([2]Rubric!$F$3:$F$94='[2]Questionnaire Responses'!Z262),0)),"MISSING"))</f>
        <v/>
      </c>
      <c r="AA261" s="183" t="str">
        <f t="array" ref="AA261">IF(Table133[[#This Row],[Survey?]]="","",IFERROR(INDEX([2]Rubric!$G$3:$G$94,MATCH(1,([2]Rubric!$E$3:$E$94=AA$2)*([2]Rubric!$F$3:$F$94='[2]Questionnaire Responses'!AA262),0)),"MISSING"))</f>
        <v/>
      </c>
      <c r="AB261" s="183" t="str">
        <f t="array" ref="AB261">IF(Table133[[#This Row],[Survey?]]="","",IFERROR(INDEX([2]Rubric!$G$3:$G$94,MATCH(1,([2]Rubric!$E$3:$E$94=AB$2)*([2]Rubric!$F$3:$F$94='[2]Questionnaire Responses'!AB262),0)),"MISSING"))</f>
        <v/>
      </c>
      <c r="AC261" s="206"/>
      <c r="AD261" s="183" t="str">
        <f t="array" ref="AD261">IF(Table133[[#This Row],[Survey?]]="","",IFERROR(INDEX([2]Rubric!$G$3:$G$94,MATCH(1,([2]Rubric!$E$3:$E$94=AD$2)*([2]Rubric!$F$3:$F$94='[2]Questionnaire Responses'!AD262),0)),"MISSING"))</f>
        <v/>
      </c>
      <c r="AE261" s="183" t="str">
        <f t="array" ref="AE261">IF(Table133[[#This Row],[Survey?]]="","",IFERROR(INDEX([2]Rubric!$G$3:$G$94,MATCH(1,([2]Rubric!$E$3:$E$94=AE$2)*([2]Rubric!$F$3:$F$94='[2]Questionnaire Responses'!AE262),0)),"MISSING"))</f>
        <v/>
      </c>
      <c r="AF261" s="206"/>
      <c r="AG261" s="183" t="str">
        <f t="array" ref="AG261">IF(Table133[[#This Row],[Survey?]]="","",IFERROR(INDEX([2]Rubric!$G$3:$G$94,MATCH(1,([2]Rubric!$E$3:$E$94=AG$2)*([2]Rubric!$F$3:$F$94='[2]Questionnaire Responses'!AG262),0)),"MISSING"))</f>
        <v/>
      </c>
    </row>
    <row r="262" spans="1:33" ht="12.75" customHeight="1" x14ac:dyDescent="0.25">
      <c r="A262" s="207">
        <f>'[2]Questionnaire Responses'!A263</f>
        <v>0</v>
      </c>
      <c r="B262" s="198">
        <f>'[2]Questionnaire Responses'!B263</f>
        <v>0</v>
      </c>
      <c r="C262" s="153">
        <f>'[2]Questionnaire Responses'!C263</f>
        <v>0</v>
      </c>
      <c r="D262" s="208"/>
      <c r="E262" s="206"/>
      <c r="F262" s="183" t="str">
        <f t="array" ref="F262">IF(Table133[[#This Row],[Survey?]]="","",IFERROR(INDEX([2]Rubric!$G$3:$G$94,MATCH(1,([2]Rubric!$E$3:$E$94=F$2)*([2]Rubric!$F$3:$F$94='[2]Questionnaire Responses'!F263),0)),"MISSING"))</f>
        <v/>
      </c>
      <c r="G262" s="183" t="str">
        <f t="array" ref="G262">IF(Table133[[#This Row],[Survey?]]="","",IFERROR(INDEX([2]Rubric!$G$3:$G$94,MATCH(1,([2]Rubric!$E$3:$E$94=G$2)*([2]Rubric!$F$3:$F$94='[2]Questionnaire Responses'!G263),0)),"MISSING"))</f>
        <v/>
      </c>
      <c r="H262" s="183" t="str">
        <f t="array" ref="H262">IF(Table133[[#This Row],[Survey?]]="","",IFERROR(INDEX([2]Rubric!$G$3:$G$94,MATCH(1,([2]Rubric!$E$3:$E$94=H$2)*([2]Rubric!$F$3:$F$94='[2]Questionnaire Responses'!H263),0)),"MISSING"))</f>
        <v/>
      </c>
      <c r="I262" s="183" t="str">
        <f t="array" ref="I262">IF(Table133[[#This Row],[Survey?]]="","",IFERROR(INDEX([2]Rubric!$G$3:$G$94,MATCH(1,([2]Rubric!$E$3:$E$94=I$2)*([2]Rubric!$F$3:$F$94='[2]Questionnaire Responses'!I263),0)),"MISSING"))</f>
        <v/>
      </c>
      <c r="J262" s="183" t="str">
        <f t="array" ref="J262">IF(Table133[[#This Row],[Survey?]]="","",IFERROR(INDEX([2]Rubric!$G$3:$G$94,MATCH(1,([2]Rubric!$E$3:$E$94=J$2)*([2]Rubric!$F$3:$F$94='[2]Questionnaire Responses'!J263),0)),"MISSING"))</f>
        <v/>
      </c>
      <c r="K262" s="206"/>
      <c r="L262" s="183" t="str">
        <f t="array" ref="L262">IF(Table133[[#This Row],[Survey?]]="","",IFERROR(INDEX([2]Rubric!$G$3:$G$94,MATCH(1,([2]Rubric!$E$3:$E$94=L$2)*([2]Rubric!$F$3:$F$94='[2]Questionnaire Responses'!L263),0)),"MISSING"))</f>
        <v/>
      </c>
      <c r="M262" s="206"/>
      <c r="N262" s="183" t="str">
        <f t="array" ref="N262">IF(Table133[[#This Row],[Survey?]]="","",IFERROR(INDEX([2]Rubric!$G$3:$G$94,MATCH(1,([2]Rubric!$E$3:$E$94=N$2)*([2]Rubric!$F$3:$F$94='[2]Questionnaire Responses'!N263),0)),"MISSING"))</f>
        <v/>
      </c>
      <c r="O262" s="183" t="str">
        <f t="array" ref="O262">IF(Table133[[#This Row],[Survey?]]="","",IFERROR(INDEX([2]Rubric!$G$3:$G$94,MATCH(1,([2]Rubric!$E$3:$E$94=O$2)*([2]Rubric!$F$3:$F$94='[2]Questionnaire Responses'!O263),0)),"MISSING"))</f>
        <v/>
      </c>
      <c r="P262" s="206"/>
      <c r="Q262" s="183" t="str">
        <f t="array" ref="Q262">IF(Table133[[#This Row],[Survey?]]="","",IFERROR(INDEX([2]Rubric!$G$3:$G$94,MATCH(1,([2]Rubric!$E$3:$E$94=Q$2)*([2]Rubric!$F$3:$F$94='[2]Questionnaire Responses'!Q263),0)),"MISSING"))</f>
        <v/>
      </c>
      <c r="R262" s="183" t="str">
        <f t="array" ref="R262">IF(Table133[[#This Row],[Survey?]]="","",IFERROR(INDEX([2]Rubric!$G$3:$G$94,MATCH(1,([2]Rubric!$E$3:$E$94=R$2)*([2]Rubric!$F$3:$F$94='[2]Questionnaire Responses'!R263),0)),"MISSING"))</f>
        <v/>
      </c>
      <c r="S262" s="183" t="str">
        <f t="array" ref="S262">IF(Table133[[#This Row],[Survey?]]="","",IFERROR(INDEX([2]Rubric!$G$3:$G$94,MATCH(1,([2]Rubric!$E$3:$E$94=S$2)*([2]Rubric!$F$3:$F$94='[2]Questionnaire Responses'!S263),0)),"MISSING"))</f>
        <v/>
      </c>
      <c r="T262" s="183" t="str">
        <f t="array" ref="T262">IF(Table133[[#This Row],[Survey?]]="","",IFERROR(INDEX([2]Rubric!$G$3:$G$94,MATCH(1,([2]Rubric!$E$3:$E$94=T$2)*([2]Rubric!$F$3:$F$94='[2]Questionnaire Responses'!T263),0)),"MISSING"))</f>
        <v/>
      </c>
      <c r="U262" s="206"/>
      <c r="V262" s="183" t="str">
        <f t="array" ref="V262">IF(Table133[[#This Row],[Survey?]]="","",IFERROR(INDEX([2]Rubric!$G$3:$G$94,MATCH(1,([2]Rubric!$E$3:$E$94=V$2)*([2]Rubric!$F$3:$F$94='[2]Questionnaire Responses'!V263),0)),"MISSING"))</f>
        <v/>
      </c>
      <c r="W262" s="206"/>
      <c r="X262" s="183" t="str">
        <f t="array" ref="X262">IF(Table133[[#This Row],[Survey?]]="","",IFERROR(INDEX([2]Rubric!$G$3:$G$94,MATCH(1,([2]Rubric!$E$3:$E$94=X$2)*([2]Rubric!$F$3:$F$94='[2]Questionnaire Responses'!X263),0)),"MISSING"))</f>
        <v/>
      </c>
      <c r="Y262" s="206"/>
      <c r="Z262" s="183" t="str">
        <f t="array" ref="Z262">IF(Table133[[#This Row],[Survey?]]="","",IFERROR(INDEX([2]Rubric!$G$3:$G$94,MATCH(1,([2]Rubric!$E$3:$E$94=Z$2)*([2]Rubric!$F$3:$F$94='[2]Questionnaire Responses'!Z263),0)),"MISSING"))</f>
        <v/>
      </c>
      <c r="AA262" s="183" t="str">
        <f t="array" ref="AA262">IF(Table133[[#This Row],[Survey?]]="","",IFERROR(INDEX([2]Rubric!$G$3:$G$94,MATCH(1,([2]Rubric!$E$3:$E$94=AA$2)*([2]Rubric!$F$3:$F$94='[2]Questionnaire Responses'!AA263),0)),"MISSING"))</f>
        <v/>
      </c>
      <c r="AB262" s="183" t="str">
        <f t="array" ref="AB262">IF(Table133[[#This Row],[Survey?]]="","",IFERROR(INDEX([2]Rubric!$G$3:$G$94,MATCH(1,([2]Rubric!$E$3:$E$94=AB$2)*([2]Rubric!$F$3:$F$94='[2]Questionnaire Responses'!AB263),0)),"MISSING"))</f>
        <v/>
      </c>
      <c r="AC262" s="206"/>
      <c r="AD262" s="183" t="str">
        <f t="array" ref="AD262">IF(Table133[[#This Row],[Survey?]]="","",IFERROR(INDEX([2]Rubric!$G$3:$G$94,MATCH(1,([2]Rubric!$E$3:$E$94=AD$2)*([2]Rubric!$F$3:$F$94='[2]Questionnaire Responses'!AD263),0)),"MISSING"))</f>
        <v/>
      </c>
      <c r="AE262" s="183" t="str">
        <f t="array" ref="AE262">IF(Table133[[#This Row],[Survey?]]="","",IFERROR(INDEX([2]Rubric!$G$3:$G$94,MATCH(1,([2]Rubric!$E$3:$E$94=AE$2)*([2]Rubric!$F$3:$F$94='[2]Questionnaire Responses'!AE263),0)),"MISSING"))</f>
        <v/>
      </c>
      <c r="AF262" s="206"/>
      <c r="AG262" s="183" t="str">
        <f t="array" ref="AG262">IF(Table133[[#This Row],[Survey?]]="","",IFERROR(INDEX([2]Rubric!$G$3:$G$94,MATCH(1,([2]Rubric!$E$3:$E$94=AG$2)*([2]Rubric!$F$3:$F$94='[2]Questionnaire Responses'!AG263),0)),"MISSING"))</f>
        <v/>
      </c>
    </row>
    <row r="263" spans="1:33" ht="12.75" customHeight="1" x14ac:dyDescent="0.25">
      <c r="A263" s="207">
        <f>'[2]Questionnaire Responses'!A264</f>
        <v>0</v>
      </c>
      <c r="B263" s="198">
        <f>'[2]Questionnaire Responses'!B264</f>
        <v>0</v>
      </c>
      <c r="C263" s="153">
        <f>'[2]Questionnaire Responses'!C264</f>
        <v>0</v>
      </c>
      <c r="D263" s="208"/>
      <c r="E263" s="206"/>
      <c r="F263" s="183" t="str">
        <f t="array" ref="F263">IF(Table133[[#This Row],[Survey?]]="","",IFERROR(INDEX([2]Rubric!$G$3:$G$94,MATCH(1,([2]Rubric!$E$3:$E$94=F$2)*([2]Rubric!$F$3:$F$94='[2]Questionnaire Responses'!F264),0)),"MISSING"))</f>
        <v/>
      </c>
      <c r="G263" s="183" t="str">
        <f t="array" ref="G263">IF(Table133[[#This Row],[Survey?]]="","",IFERROR(INDEX([2]Rubric!$G$3:$G$94,MATCH(1,([2]Rubric!$E$3:$E$94=G$2)*([2]Rubric!$F$3:$F$94='[2]Questionnaire Responses'!G264),0)),"MISSING"))</f>
        <v/>
      </c>
      <c r="H263" s="183" t="str">
        <f t="array" ref="H263">IF(Table133[[#This Row],[Survey?]]="","",IFERROR(INDEX([2]Rubric!$G$3:$G$94,MATCH(1,([2]Rubric!$E$3:$E$94=H$2)*([2]Rubric!$F$3:$F$94='[2]Questionnaire Responses'!H264),0)),"MISSING"))</f>
        <v/>
      </c>
      <c r="I263" s="183" t="str">
        <f t="array" ref="I263">IF(Table133[[#This Row],[Survey?]]="","",IFERROR(INDEX([2]Rubric!$G$3:$G$94,MATCH(1,([2]Rubric!$E$3:$E$94=I$2)*([2]Rubric!$F$3:$F$94='[2]Questionnaire Responses'!I264),0)),"MISSING"))</f>
        <v/>
      </c>
      <c r="J263" s="183" t="str">
        <f t="array" ref="J263">IF(Table133[[#This Row],[Survey?]]="","",IFERROR(INDEX([2]Rubric!$G$3:$G$94,MATCH(1,([2]Rubric!$E$3:$E$94=J$2)*([2]Rubric!$F$3:$F$94='[2]Questionnaire Responses'!J264),0)),"MISSING"))</f>
        <v/>
      </c>
      <c r="K263" s="206"/>
      <c r="L263" s="183" t="str">
        <f t="array" ref="L263">IF(Table133[[#This Row],[Survey?]]="","",IFERROR(INDEX([2]Rubric!$G$3:$G$94,MATCH(1,([2]Rubric!$E$3:$E$94=L$2)*([2]Rubric!$F$3:$F$94='[2]Questionnaire Responses'!L264),0)),"MISSING"))</f>
        <v/>
      </c>
      <c r="M263" s="206"/>
      <c r="N263" s="183" t="str">
        <f t="array" ref="N263">IF(Table133[[#This Row],[Survey?]]="","",IFERROR(INDEX([2]Rubric!$G$3:$G$94,MATCH(1,([2]Rubric!$E$3:$E$94=N$2)*([2]Rubric!$F$3:$F$94='[2]Questionnaire Responses'!N264),0)),"MISSING"))</f>
        <v/>
      </c>
      <c r="O263" s="183" t="str">
        <f t="array" ref="O263">IF(Table133[[#This Row],[Survey?]]="","",IFERROR(INDEX([2]Rubric!$G$3:$G$94,MATCH(1,([2]Rubric!$E$3:$E$94=O$2)*([2]Rubric!$F$3:$F$94='[2]Questionnaire Responses'!O264),0)),"MISSING"))</f>
        <v/>
      </c>
      <c r="P263" s="206"/>
      <c r="Q263" s="183" t="str">
        <f t="array" ref="Q263">IF(Table133[[#This Row],[Survey?]]="","",IFERROR(INDEX([2]Rubric!$G$3:$G$94,MATCH(1,([2]Rubric!$E$3:$E$94=Q$2)*([2]Rubric!$F$3:$F$94='[2]Questionnaire Responses'!Q264),0)),"MISSING"))</f>
        <v/>
      </c>
      <c r="R263" s="183" t="str">
        <f t="array" ref="R263">IF(Table133[[#This Row],[Survey?]]="","",IFERROR(INDEX([2]Rubric!$G$3:$G$94,MATCH(1,([2]Rubric!$E$3:$E$94=R$2)*([2]Rubric!$F$3:$F$94='[2]Questionnaire Responses'!R264),0)),"MISSING"))</f>
        <v/>
      </c>
      <c r="S263" s="183" t="str">
        <f t="array" ref="S263">IF(Table133[[#This Row],[Survey?]]="","",IFERROR(INDEX([2]Rubric!$G$3:$G$94,MATCH(1,([2]Rubric!$E$3:$E$94=S$2)*([2]Rubric!$F$3:$F$94='[2]Questionnaire Responses'!S264),0)),"MISSING"))</f>
        <v/>
      </c>
      <c r="T263" s="183" t="str">
        <f t="array" ref="T263">IF(Table133[[#This Row],[Survey?]]="","",IFERROR(INDEX([2]Rubric!$G$3:$G$94,MATCH(1,([2]Rubric!$E$3:$E$94=T$2)*([2]Rubric!$F$3:$F$94='[2]Questionnaire Responses'!T264),0)),"MISSING"))</f>
        <v/>
      </c>
      <c r="U263" s="206"/>
      <c r="V263" s="183" t="str">
        <f t="array" ref="V263">IF(Table133[[#This Row],[Survey?]]="","",IFERROR(INDEX([2]Rubric!$G$3:$G$94,MATCH(1,([2]Rubric!$E$3:$E$94=V$2)*([2]Rubric!$F$3:$F$94='[2]Questionnaire Responses'!V264),0)),"MISSING"))</f>
        <v/>
      </c>
      <c r="W263" s="206"/>
      <c r="X263" s="183" t="str">
        <f t="array" ref="X263">IF(Table133[[#This Row],[Survey?]]="","",IFERROR(INDEX([2]Rubric!$G$3:$G$94,MATCH(1,([2]Rubric!$E$3:$E$94=X$2)*([2]Rubric!$F$3:$F$94='[2]Questionnaire Responses'!X264),0)),"MISSING"))</f>
        <v/>
      </c>
      <c r="Y263" s="206"/>
      <c r="Z263" s="183" t="str">
        <f t="array" ref="Z263">IF(Table133[[#This Row],[Survey?]]="","",IFERROR(INDEX([2]Rubric!$G$3:$G$94,MATCH(1,([2]Rubric!$E$3:$E$94=Z$2)*([2]Rubric!$F$3:$F$94='[2]Questionnaire Responses'!Z264),0)),"MISSING"))</f>
        <v/>
      </c>
      <c r="AA263" s="183" t="str">
        <f t="array" ref="AA263">IF(Table133[[#This Row],[Survey?]]="","",IFERROR(INDEX([2]Rubric!$G$3:$G$94,MATCH(1,([2]Rubric!$E$3:$E$94=AA$2)*([2]Rubric!$F$3:$F$94='[2]Questionnaire Responses'!AA264),0)),"MISSING"))</f>
        <v/>
      </c>
      <c r="AB263" s="183" t="str">
        <f t="array" ref="AB263">IF(Table133[[#This Row],[Survey?]]="","",IFERROR(INDEX([2]Rubric!$G$3:$G$94,MATCH(1,([2]Rubric!$E$3:$E$94=AB$2)*([2]Rubric!$F$3:$F$94='[2]Questionnaire Responses'!AB264),0)),"MISSING"))</f>
        <v/>
      </c>
      <c r="AC263" s="206"/>
      <c r="AD263" s="183" t="str">
        <f t="array" ref="AD263">IF(Table133[[#This Row],[Survey?]]="","",IFERROR(INDEX([2]Rubric!$G$3:$G$94,MATCH(1,([2]Rubric!$E$3:$E$94=AD$2)*([2]Rubric!$F$3:$F$94='[2]Questionnaire Responses'!AD264),0)),"MISSING"))</f>
        <v/>
      </c>
      <c r="AE263" s="183" t="str">
        <f t="array" ref="AE263">IF(Table133[[#This Row],[Survey?]]="","",IFERROR(INDEX([2]Rubric!$G$3:$G$94,MATCH(1,([2]Rubric!$E$3:$E$94=AE$2)*([2]Rubric!$F$3:$F$94='[2]Questionnaire Responses'!AE264),0)),"MISSING"))</f>
        <v/>
      </c>
      <c r="AF263" s="206"/>
      <c r="AG263" s="183" t="str">
        <f t="array" ref="AG263">IF(Table133[[#This Row],[Survey?]]="","",IFERROR(INDEX([2]Rubric!$G$3:$G$94,MATCH(1,([2]Rubric!$E$3:$E$94=AG$2)*([2]Rubric!$F$3:$F$94='[2]Questionnaire Responses'!AG264),0)),"MISSING"))</f>
        <v/>
      </c>
    </row>
    <row r="264" spans="1:33" ht="12.75" customHeight="1" x14ac:dyDescent="0.25">
      <c r="A264" s="207">
        <f>'[2]Questionnaire Responses'!A265</f>
        <v>0</v>
      </c>
      <c r="B264" s="198">
        <f>'[2]Questionnaire Responses'!B265</f>
        <v>0</v>
      </c>
      <c r="C264" s="153">
        <f>'[2]Questionnaire Responses'!C265</f>
        <v>0</v>
      </c>
      <c r="D264" s="208"/>
      <c r="E264" s="206"/>
      <c r="F264" s="183" t="str">
        <f t="array" ref="F264">IF(Table133[[#This Row],[Survey?]]="","",IFERROR(INDEX([2]Rubric!$G$3:$G$94,MATCH(1,([2]Rubric!$E$3:$E$94=F$2)*([2]Rubric!$F$3:$F$94='[2]Questionnaire Responses'!F265),0)),"MISSING"))</f>
        <v/>
      </c>
      <c r="G264" s="183" t="str">
        <f t="array" ref="G264">IF(Table133[[#This Row],[Survey?]]="","",IFERROR(INDEX([2]Rubric!$G$3:$G$94,MATCH(1,([2]Rubric!$E$3:$E$94=G$2)*([2]Rubric!$F$3:$F$94='[2]Questionnaire Responses'!G265),0)),"MISSING"))</f>
        <v/>
      </c>
      <c r="H264" s="183" t="str">
        <f t="array" ref="H264">IF(Table133[[#This Row],[Survey?]]="","",IFERROR(INDEX([2]Rubric!$G$3:$G$94,MATCH(1,([2]Rubric!$E$3:$E$94=H$2)*([2]Rubric!$F$3:$F$94='[2]Questionnaire Responses'!H265),0)),"MISSING"))</f>
        <v/>
      </c>
      <c r="I264" s="183" t="str">
        <f t="array" ref="I264">IF(Table133[[#This Row],[Survey?]]="","",IFERROR(INDEX([2]Rubric!$G$3:$G$94,MATCH(1,([2]Rubric!$E$3:$E$94=I$2)*([2]Rubric!$F$3:$F$94='[2]Questionnaire Responses'!I265),0)),"MISSING"))</f>
        <v/>
      </c>
      <c r="J264" s="183" t="str">
        <f t="array" ref="J264">IF(Table133[[#This Row],[Survey?]]="","",IFERROR(INDEX([2]Rubric!$G$3:$G$94,MATCH(1,([2]Rubric!$E$3:$E$94=J$2)*([2]Rubric!$F$3:$F$94='[2]Questionnaire Responses'!J265),0)),"MISSING"))</f>
        <v/>
      </c>
      <c r="K264" s="206"/>
      <c r="L264" s="183" t="str">
        <f t="array" ref="L264">IF(Table133[[#This Row],[Survey?]]="","",IFERROR(INDEX([2]Rubric!$G$3:$G$94,MATCH(1,([2]Rubric!$E$3:$E$94=L$2)*([2]Rubric!$F$3:$F$94='[2]Questionnaire Responses'!L265),0)),"MISSING"))</f>
        <v/>
      </c>
      <c r="M264" s="206"/>
      <c r="N264" s="183" t="str">
        <f t="array" ref="N264">IF(Table133[[#This Row],[Survey?]]="","",IFERROR(INDEX([2]Rubric!$G$3:$G$94,MATCH(1,([2]Rubric!$E$3:$E$94=N$2)*([2]Rubric!$F$3:$F$94='[2]Questionnaire Responses'!N265),0)),"MISSING"))</f>
        <v/>
      </c>
      <c r="O264" s="183" t="str">
        <f t="array" ref="O264">IF(Table133[[#This Row],[Survey?]]="","",IFERROR(INDEX([2]Rubric!$G$3:$G$94,MATCH(1,([2]Rubric!$E$3:$E$94=O$2)*([2]Rubric!$F$3:$F$94='[2]Questionnaire Responses'!O265),0)),"MISSING"))</f>
        <v/>
      </c>
      <c r="P264" s="206"/>
      <c r="Q264" s="183" t="str">
        <f t="array" ref="Q264">IF(Table133[[#This Row],[Survey?]]="","",IFERROR(INDEX([2]Rubric!$G$3:$G$94,MATCH(1,([2]Rubric!$E$3:$E$94=Q$2)*([2]Rubric!$F$3:$F$94='[2]Questionnaire Responses'!Q265),0)),"MISSING"))</f>
        <v/>
      </c>
      <c r="R264" s="183" t="str">
        <f t="array" ref="R264">IF(Table133[[#This Row],[Survey?]]="","",IFERROR(INDEX([2]Rubric!$G$3:$G$94,MATCH(1,([2]Rubric!$E$3:$E$94=R$2)*([2]Rubric!$F$3:$F$94='[2]Questionnaire Responses'!R265),0)),"MISSING"))</f>
        <v/>
      </c>
      <c r="S264" s="183" t="str">
        <f t="array" ref="S264">IF(Table133[[#This Row],[Survey?]]="","",IFERROR(INDEX([2]Rubric!$G$3:$G$94,MATCH(1,([2]Rubric!$E$3:$E$94=S$2)*([2]Rubric!$F$3:$F$94='[2]Questionnaire Responses'!S265),0)),"MISSING"))</f>
        <v/>
      </c>
      <c r="T264" s="183" t="str">
        <f t="array" ref="T264">IF(Table133[[#This Row],[Survey?]]="","",IFERROR(INDEX([2]Rubric!$G$3:$G$94,MATCH(1,([2]Rubric!$E$3:$E$94=T$2)*([2]Rubric!$F$3:$F$94='[2]Questionnaire Responses'!T265),0)),"MISSING"))</f>
        <v/>
      </c>
      <c r="U264" s="206"/>
      <c r="V264" s="183" t="str">
        <f t="array" ref="V264">IF(Table133[[#This Row],[Survey?]]="","",IFERROR(INDEX([2]Rubric!$G$3:$G$94,MATCH(1,([2]Rubric!$E$3:$E$94=V$2)*([2]Rubric!$F$3:$F$94='[2]Questionnaire Responses'!V265),0)),"MISSING"))</f>
        <v/>
      </c>
      <c r="W264" s="206"/>
      <c r="X264" s="183" t="str">
        <f t="array" ref="X264">IF(Table133[[#This Row],[Survey?]]="","",IFERROR(INDEX([2]Rubric!$G$3:$G$94,MATCH(1,([2]Rubric!$E$3:$E$94=X$2)*([2]Rubric!$F$3:$F$94='[2]Questionnaire Responses'!X265),0)),"MISSING"))</f>
        <v/>
      </c>
      <c r="Y264" s="206"/>
      <c r="Z264" s="183" t="str">
        <f t="array" ref="Z264">IF(Table133[[#This Row],[Survey?]]="","",IFERROR(INDEX([2]Rubric!$G$3:$G$94,MATCH(1,([2]Rubric!$E$3:$E$94=Z$2)*([2]Rubric!$F$3:$F$94='[2]Questionnaire Responses'!Z265),0)),"MISSING"))</f>
        <v/>
      </c>
      <c r="AA264" s="183" t="str">
        <f t="array" ref="AA264">IF(Table133[[#This Row],[Survey?]]="","",IFERROR(INDEX([2]Rubric!$G$3:$G$94,MATCH(1,([2]Rubric!$E$3:$E$94=AA$2)*([2]Rubric!$F$3:$F$94='[2]Questionnaire Responses'!AA265),0)),"MISSING"))</f>
        <v/>
      </c>
      <c r="AB264" s="183" t="str">
        <f t="array" ref="AB264">IF(Table133[[#This Row],[Survey?]]="","",IFERROR(INDEX([2]Rubric!$G$3:$G$94,MATCH(1,([2]Rubric!$E$3:$E$94=AB$2)*([2]Rubric!$F$3:$F$94='[2]Questionnaire Responses'!AB265),0)),"MISSING"))</f>
        <v/>
      </c>
      <c r="AC264" s="206"/>
      <c r="AD264" s="183" t="str">
        <f t="array" ref="AD264">IF(Table133[[#This Row],[Survey?]]="","",IFERROR(INDEX([2]Rubric!$G$3:$G$94,MATCH(1,([2]Rubric!$E$3:$E$94=AD$2)*([2]Rubric!$F$3:$F$94='[2]Questionnaire Responses'!AD265),0)),"MISSING"))</f>
        <v/>
      </c>
      <c r="AE264" s="183" t="str">
        <f t="array" ref="AE264">IF(Table133[[#This Row],[Survey?]]="","",IFERROR(INDEX([2]Rubric!$G$3:$G$94,MATCH(1,([2]Rubric!$E$3:$E$94=AE$2)*([2]Rubric!$F$3:$F$94='[2]Questionnaire Responses'!AE265),0)),"MISSING"))</f>
        <v/>
      </c>
      <c r="AF264" s="206"/>
      <c r="AG264" s="183" t="str">
        <f t="array" ref="AG264">IF(Table133[[#This Row],[Survey?]]="","",IFERROR(INDEX([2]Rubric!$G$3:$G$94,MATCH(1,([2]Rubric!$E$3:$E$94=AG$2)*([2]Rubric!$F$3:$F$94='[2]Questionnaire Responses'!AG265),0)),"MISSING"))</f>
        <v/>
      </c>
    </row>
    <row r="265" spans="1:33" ht="12.75" customHeight="1" x14ac:dyDescent="0.25">
      <c r="A265" s="207">
        <f>'[2]Questionnaire Responses'!A266</f>
        <v>0</v>
      </c>
      <c r="B265" s="198">
        <f>'[2]Questionnaire Responses'!B266</f>
        <v>0</v>
      </c>
      <c r="C265" s="153">
        <f>'[2]Questionnaire Responses'!C266</f>
        <v>0</v>
      </c>
      <c r="D265" s="208"/>
      <c r="E265" s="206"/>
      <c r="F265" s="183" t="str">
        <f t="array" ref="F265">IF(Table133[[#This Row],[Survey?]]="","",IFERROR(INDEX([2]Rubric!$G$3:$G$94,MATCH(1,([2]Rubric!$E$3:$E$94=F$2)*([2]Rubric!$F$3:$F$94='[2]Questionnaire Responses'!F266),0)),"MISSING"))</f>
        <v/>
      </c>
      <c r="G265" s="183" t="str">
        <f t="array" ref="G265">IF(Table133[[#This Row],[Survey?]]="","",IFERROR(INDEX([2]Rubric!$G$3:$G$94,MATCH(1,([2]Rubric!$E$3:$E$94=G$2)*([2]Rubric!$F$3:$F$94='[2]Questionnaire Responses'!G266),0)),"MISSING"))</f>
        <v/>
      </c>
      <c r="H265" s="183" t="str">
        <f t="array" ref="H265">IF(Table133[[#This Row],[Survey?]]="","",IFERROR(INDEX([2]Rubric!$G$3:$G$94,MATCH(1,([2]Rubric!$E$3:$E$94=H$2)*([2]Rubric!$F$3:$F$94='[2]Questionnaire Responses'!H266),0)),"MISSING"))</f>
        <v/>
      </c>
      <c r="I265" s="183" t="str">
        <f t="array" ref="I265">IF(Table133[[#This Row],[Survey?]]="","",IFERROR(INDEX([2]Rubric!$G$3:$G$94,MATCH(1,([2]Rubric!$E$3:$E$94=I$2)*([2]Rubric!$F$3:$F$94='[2]Questionnaire Responses'!I266),0)),"MISSING"))</f>
        <v/>
      </c>
      <c r="J265" s="183" t="str">
        <f t="array" ref="J265">IF(Table133[[#This Row],[Survey?]]="","",IFERROR(INDEX([2]Rubric!$G$3:$G$94,MATCH(1,([2]Rubric!$E$3:$E$94=J$2)*([2]Rubric!$F$3:$F$94='[2]Questionnaire Responses'!J266),0)),"MISSING"))</f>
        <v/>
      </c>
      <c r="K265" s="206"/>
      <c r="L265" s="183" t="str">
        <f t="array" ref="L265">IF(Table133[[#This Row],[Survey?]]="","",IFERROR(INDEX([2]Rubric!$G$3:$G$94,MATCH(1,([2]Rubric!$E$3:$E$94=L$2)*([2]Rubric!$F$3:$F$94='[2]Questionnaire Responses'!L266),0)),"MISSING"))</f>
        <v/>
      </c>
      <c r="M265" s="206"/>
      <c r="N265" s="183" t="str">
        <f t="array" ref="N265">IF(Table133[[#This Row],[Survey?]]="","",IFERROR(INDEX([2]Rubric!$G$3:$G$94,MATCH(1,([2]Rubric!$E$3:$E$94=N$2)*([2]Rubric!$F$3:$F$94='[2]Questionnaire Responses'!N266),0)),"MISSING"))</f>
        <v/>
      </c>
      <c r="O265" s="183" t="str">
        <f t="array" ref="O265">IF(Table133[[#This Row],[Survey?]]="","",IFERROR(INDEX([2]Rubric!$G$3:$G$94,MATCH(1,([2]Rubric!$E$3:$E$94=O$2)*([2]Rubric!$F$3:$F$94='[2]Questionnaire Responses'!O266),0)),"MISSING"))</f>
        <v/>
      </c>
      <c r="P265" s="206"/>
      <c r="Q265" s="183" t="str">
        <f t="array" ref="Q265">IF(Table133[[#This Row],[Survey?]]="","",IFERROR(INDEX([2]Rubric!$G$3:$G$94,MATCH(1,([2]Rubric!$E$3:$E$94=Q$2)*([2]Rubric!$F$3:$F$94='[2]Questionnaire Responses'!Q266),0)),"MISSING"))</f>
        <v/>
      </c>
      <c r="R265" s="183" t="str">
        <f t="array" ref="R265">IF(Table133[[#This Row],[Survey?]]="","",IFERROR(INDEX([2]Rubric!$G$3:$G$94,MATCH(1,([2]Rubric!$E$3:$E$94=R$2)*([2]Rubric!$F$3:$F$94='[2]Questionnaire Responses'!R266),0)),"MISSING"))</f>
        <v/>
      </c>
      <c r="S265" s="183" t="str">
        <f t="array" ref="S265">IF(Table133[[#This Row],[Survey?]]="","",IFERROR(INDEX([2]Rubric!$G$3:$G$94,MATCH(1,([2]Rubric!$E$3:$E$94=S$2)*([2]Rubric!$F$3:$F$94='[2]Questionnaire Responses'!S266),0)),"MISSING"))</f>
        <v/>
      </c>
      <c r="T265" s="183" t="str">
        <f t="array" ref="T265">IF(Table133[[#This Row],[Survey?]]="","",IFERROR(INDEX([2]Rubric!$G$3:$G$94,MATCH(1,([2]Rubric!$E$3:$E$94=T$2)*([2]Rubric!$F$3:$F$94='[2]Questionnaire Responses'!T266),0)),"MISSING"))</f>
        <v/>
      </c>
      <c r="U265" s="206"/>
      <c r="V265" s="183" t="str">
        <f t="array" ref="V265">IF(Table133[[#This Row],[Survey?]]="","",IFERROR(INDEX([2]Rubric!$G$3:$G$94,MATCH(1,([2]Rubric!$E$3:$E$94=V$2)*([2]Rubric!$F$3:$F$94='[2]Questionnaire Responses'!V266),0)),"MISSING"))</f>
        <v/>
      </c>
      <c r="W265" s="206"/>
      <c r="X265" s="183" t="str">
        <f t="array" ref="X265">IF(Table133[[#This Row],[Survey?]]="","",IFERROR(INDEX([2]Rubric!$G$3:$G$94,MATCH(1,([2]Rubric!$E$3:$E$94=X$2)*([2]Rubric!$F$3:$F$94='[2]Questionnaire Responses'!X266),0)),"MISSING"))</f>
        <v/>
      </c>
      <c r="Y265" s="206"/>
      <c r="Z265" s="183" t="str">
        <f t="array" ref="Z265">IF(Table133[[#This Row],[Survey?]]="","",IFERROR(INDEX([2]Rubric!$G$3:$G$94,MATCH(1,([2]Rubric!$E$3:$E$94=Z$2)*([2]Rubric!$F$3:$F$94='[2]Questionnaire Responses'!Z266),0)),"MISSING"))</f>
        <v/>
      </c>
      <c r="AA265" s="183" t="str">
        <f t="array" ref="AA265">IF(Table133[[#This Row],[Survey?]]="","",IFERROR(INDEX([2]Rubric!$G$3:$G$94,MATCH(1,([2]Rubric!$E$3:$E$94=AA$2)*([2]Rubric!$F$3:$F$94='[2]Questionnaire Responses'!AA266),0)),"MISSING"))</f>
        <v/>
      </c>
      <c r="AB265" s="183" t="str">
        <f t="array" ref="AB265">IF(Table133[[#This Row],[Survey?]]="","",IFERROR(INDEX([2]Rubric!$G$3:$G$94,MATCH(1,([2]Rubric!$E$3:$E$94=AB$2)*([2]Rubric!$F$3:$F$94='[2]Questionnaire Responses'!AB266),0)),"MISSING"))</f>
        <v/>
      </c>
      <c r="AC265" s="206"/>
      <c r="AD265" s="183" t="str">
        <f t="array" ref="AD265">IF(Table133[[#This Row],[Survey?]]="","",IFERROR(INDEX([2]Rubric!$G$3:$G$94,MATCH(1,([2]Rubric!$E$3:$E$94=AD$2)*([2]Rubric!$F$3:$F$94='[2]Questionnaire Responses'!AD266),0)),"MISSING"))</f>
        <v/>
      </c>
      <c r="AE265" s="183" t="str">
        <f t="array" ref="AE265">IF(Table133[[#This Row],[Survey?]]="","",IFERROR(INDEX([2]Rubric!$G$3:$G$94,MATCH(1,([2]Rubric!$E$3:$E$94=AE$2)*([2]Rubric!$F$3:$F$94='[2]Questionnaire Responses'!AE266),0)),"MISSING"))</f>
        <v/>
      </c>
      <c r="AF265" s="206"/>
      <c r="AG265" s="183" t="str">
        <f t="array" ref="AG265">IF(Table133[[#This Row],[Survey?]]="","",IFERROR(INDEX([2]Rubric!$G$3:$G$94,MATCH(1,([2]Rubric!$E$3:$E$94=AG$2)*([2]Rubric!$F$3:$F$94='[2]Questionnaire Responses'!AG266),0)),"MISSING"))</f>
        <v/>
      </c>
    </row>
    <row r="266" spans="1:33" ht="12.75" customHeight="1" x14ac:dyDescent="0.25">
      <c r="A266" s="207">
        <f>'[2]Questionnaire Responses'!A267</f>
        <v>0</v>
      </c>
      <c r="B266" s="198">
        <f>'[2]Questionnaire Responses'!B267</f>
        <v>0</v>
      </c>
      <c r="C266" s="153">
        <f>'[2]Questionnaire Responses'!C267</f>
        <v>0</v>
      </c>
      <c r="D266" s="208"/>
      <c r="E266" s="206"/>
      <c r="F266" s="183" t="str">
        <f t="array" ref="F266">IF(Table133[[#This Row],[Survey?]]="","",IFERROR(INDEX([2]Rubric!$G$3:$G$94,MATCH(1,([2]Rubric!$E$3:$E$94=F$2)*([2]Rubric!$F$3:$F$94='[2]Questionnaire Responses'!F267),0)),"MISSING"))</f>
        <v/>
      </c>
      <c r="G266" s="183" t="str">
        <f t="array" ref="G266">IF(Table133[[#This Row],[Survey?]]="","",IFERROR(INDEX([2]Rubric!$G$3:$G$94,MATCH(1,([2]Rubric!$E$3:$E$94=G$2)*([2]Rubric!$F$3:$F$94='[2]Questionnaire Responses'!G267),0)),"MISSING"))</f>
        <v/>
      </c>
      <c r="H266" s="183" t="str">
        <f t="array" ref="H266">IF(Table133[[#This Row],[Survey?]]="","",IFERROR(INDEX([2]Rubric!$G$3:$G$94,MATCH(1,([2]Rubric!$E$3:$E$94=H$2)*([2]Rubric!$F$3:$F$94='[2]Questionnaire Responses'!H267),0)),"MISSING"))</f>
        <v/>
      </c>
      <c r="I266" s="183" t="str">
        <f t="array" ref="I266">IF(Table133[[#This Row],[Survey?]]="","",IFERROR(INDEX([2]Rubric!$G$3:$G$94,MATCH(1,([2]Rubric!$E$3:$E$94=I$2)*([2]Rubric!$F$3:$F$94='[2]Questionnaire Responses'!I267),0)),"MISSING"))</f>
        <v/>
      </c>
      <c r="J266" s="183" t="str">
        <f t="array" ref="J266">IF(Table133[[#This Row],[Survey?]]="","",IFERROR(INDEX([2]Rubric!$G$3:$G$94,MATCH(1,([2]Rubric!$E$3:$E$94=J$2)*([2]Rubric!$F$3:$F$94='[2]Questionnaire Responses'!J267),0)),"MISSING"))</f>
        <v/>
      </c>
      <c r="K266" s="206"/>
      <c r="L266" s="183" t="str">
        <f t="array" ref="L266">IF(Table133[[#This Row],[Survey?]]="","",IFERROR(INDEX([2]Rubric!$G$3:$G$94,MATCH(1,([2]Rubric!$E$3:$E$94=L$2)*([2]Rubric!$F$3:$F$94='[2]Questionnaire Responses'!L267),0)),"MISSING"))</f>
        <v/>
      </c>
      <c r="M266" s="206"/>
      <c r="N266" s="183" t="str">
        <f t="array" ref="N266">IF(Table133[[#This Row],[Survey?]]="","",IFERROR(INDEX([2]Rubric!$G$3:$G$94,MATCH(1,([2]Rubric!$E$3:$E$94=N$2)*([2]Rubric!$F$3:$F$94='[2]Questionnaire Responses'!N267),0)),"MISSING"))</f>
        <v/>
      </c>
      <c r="O266" s="183" t="str">
        <f t="array" ref="O266">IF(Table133[[#This Row],[Survey?]]="","",IFERROR(INDEX([2]Rubric!$G$3:$G$94,MATCH(1,([2]Rubric!$E$3:$E$94=O$2)*([2]Rubric!$F$3:$F$94='[2]Questionnaire Responses'!O267),0)),"MISSING"))</f>
        <v/>
      </c>
      <c r="P266" s="206"/>
      <c r="Q266" s="183" t="str">
        <f t="array" ref="Q266">IF(Table133[[#This Row],[Survey?]]="","",IFERROR(INDEX([2]Rubric!$G$3:$G$94,MATCH(1,([2]Rubric!$E$3:$E$94=Q$2)*([2]Rubric!$F$3:$F$94='[2]Questionnaire Responses'!Q267),0)),"MISSING"))</f>
        <v/>
      </c>
      <c r="R266" s="183" t="str">
        <f t="array" ref="R266">IF(Table133[[#This Row],[Survey?]]="","",IFERROR(INDEX([2]Rubric!$G$3:$G$94,MATCH(1,([2]Rubric!$E$3:$E$94=R$2)*([2]Rubric!$F$3:$F$94='[2]Questionnaire Responses'!R267),0)),"MISSING"))</f>
        <v/>
      </c>
      <c r="S266" s="183" t="str">
        <f t="array" ref="S266">IF(Table133[[#This Row],[Survey?]]="","",IFERROR(INDEX([2]Rubric!$G$3:$G$94,MATCH(1,([2]Rubric!$E$3:$E$94=S$2)*([2]Rubric!$F$3:$F$94='[2]Questionnaire Responses'!S267),0)),"MISSING"))</f>
        <v/>
      </c>
      <c r="T266" s="183" t="str">
        <f t="array" ref="T266">IF(Table133[[#This Row],[Survey?]]="","",IFERROR(INDEX([2]Rubric!$G$3:$G$94,MATCH(1,([2]Rubric!$E$3:$E$94=T$2)*([2]Rubric!$F$3:$F$94='[2]Questionnaire Responses'!T267),0)),"MISSING"))</f>
        <v/>
      </c>
      <c r="U266" s="206"/>
      <c r="V266" s="183" t="str">
        <f t="array" ref="V266">IF(Table133[[#This Row],[Survey?]]="","",IFERROR(INDEX([2]Rubric!$G$3:$G$94,MATCH(1,([2]Rubric!$E$3:$E$94=V$2)*([2]Rubric!$F$3:$F$94='[2]Questionnaire Responses'!V267),0)),"MISSING"))</f>
        <v/>
      </c>
      <c r="W266" s="206"/>
      <c r="X266" s="183" t="str">
        <f t="array" ref="X266">IF(Table133[[#This Row],[Survey?]]="","",IFERROR(INDEX([2]Rubric!$G$3:$G$94,MATCH(1,([2]Rubric!$E$3:$E$94=X$2)*([2]Rubric!$F$3:$F$94='[2]Questionnaire Responses'!X267),0)),"MISSING"))</f>
        <v/>
      </c>
      <c r="Y266" s="206"/>
      <c r="Z266" s="183" t="str">
        <f t="array" ref="Z266">IF(Table133[[#This Row],[Survey?]]="","",IFERROR(INDEX([2]Rubric!$G$3:$G$94,MATCH(1,([2]Rubric!$E$3:$E$94=Z$2)*([2]Rubric!$F$3:$F$94='[2]Questionnaire Responses'!Z267),0)),"MISSING"))</f>
        <v/>
      </c>
      <c r="AA266" s="183" t="str">
        <f t="array" ref="AA266">IF(Table133[[#This Row],[Survey?]]="","",IFERROR(INDEX([2]Rubric!$G$3:$G$94,MATCH(1,([2]Rubric!$E$3:$E$94=AA$2)*([2]Rubric!$F$3:$F$94='[2]Questionnaire Responses'!AA267),0)),"MISSING"))</f>
        <v/>
      </c>
      <c r="AB266" s="183" t="str">
        <f t="array" ref="AB266">IF(Table133[[#This Row],[Survey?]]="","",IFERROR(INDEX([2]Rubric!$G$3:$G$94,MATCH(1,([2]Rubric!$E$3:$E$94=AB$2)*([2]Rubric!$F$3:$F$94='[2]Questionnaire Responses'!AB267),0)),"MISSING"))</f>
        <v/>
      </c>
      <c r="AC266" s="206"/>
      <c r="AD266" s="183" t="str">
        <f t="array" ref="AD266">IF(Table133[[#This Row],[Survey?]]="","",IFERROR(INDEX([2]Rubric!$G$3:$G$94,MATCH(1,([2]Rubric!$E$3:$E$94=AD$2)*([2]Rubric!$F$3:$F$94='[2]Questionnaire Responses'!AD267),0)),"MISSING"))</f>
        <v/>
      </c>
      <c r="AE266" s="183" t="str">
        <f t="array" ref="AE266">IF(Table133[[#This Row],[Survey?]]="","",IFERROR(INDEX([2]Rubric!$G$3:$G$94,MATCH(1,([2]Rubric!$E$3:$E$94=AE$2)*([2]Rubric!$F$3:$F$94='[2]Questionnaire Responses'!AE267),0)),"MISSING"))</f>
        <v/>
      </c>
      <c r="AF266" s="206"/>
      <c r="AG266" s="183" t="str">
        <f t="array" ref="AG266">IF(Table133[[#This Row],[Survey?]]="","",IFERROR(INDEX([2]Rubric!$G$3:$G$94,MATCH(1,([2]Rubric!$E$3:$E$94=AG$2)*([2]Rubric!$F$3:$F$94='[2]Questionnaire Responses'!AG267),0)),"MISSING"))</f>
        <v/>
      </c>
    </row>
    <row r="267" spans="1:33" ht="12.75" customHeight="1" x14ac:dyDescent="0.25">
      <c r="A267" s="207">
        <f>'[2]Questionnaire Responses'!A268</f>
        <v>0</v>
      </c>
      <c r="B267" s="198">
        <f>'[2]Questionnaire Responses'!B268</f>
        <v>0</v>
      </c>
      <c r="C267" s="153">
        <f>'[2]Questionnaire Responses'!C268</f>
        <v>0</v>
      </c>
      <c r="D267" s="208"/>
      <c r="E267" s="206"/>
      <c r="F267" s="183" t="str">
        <f t="array" ref="F267">IF(Table133[[#This Row],[Survey?]]="","",IFERROR(INDEX([2]Rubric!$G$3:$G$94,MATCH(1,([2]Rubric!$E$3:$E$94=F$2)*([2]Rubric!$F$3:$F$94='[2]Questionnaire Responses'!F268),0)),"MISSING"))</f>
        <v/>
      </c>
      <c r="G267" s="183" t="str">
        <f t="array" ref="G267">IF(Table133[[#This Row],[Survey?]]="","",IFERROR(INDEX([2]Rubric!$G$3:$G$94,MATCH(1,([2]Rubric!$E$3:$E$94=G$2)*([2]Rubric!$F$3:$F$94='[2]Questionnaire Responses'!G268),0)),"MISSING"))</f>
        <v/>
      </c>
      <c r="H267" s="183" t="str">
        <f t="array" ref="H267">IF(Table133[[#This Row],[Survey?]]="","",IFERROR(INDEX([2]Rubric!$G$3:$G$94,MATCH(1,([2]Rubric!$E$3:$E$94=H$2)*([2]Rubric!$F$3:$F$94='[2]Questionnaire Responses'!H268),0)),"MISSING"))</f>
        <v/>
      </c>
      <c r="I267" s="183" t="str">
        <f t="array" ref="I267">IF(Table133[[#This Row],[Survey?]]="","",IFERROR(INDEX([2]Rubric!$G$3:$G$94,MATCH(1,([2]Rubric!$E$3:$E$94=I$2)*([2]Rubric!$F$3:$F$94='[2]Questionnaire Responses'!I268),0)),"MISSING"))</f>
        <v/>
      </c>
      <c r="J267" s="183" t="str">
        <f t="array" ref="J267">IF(Table133[[#This Row],[Survey?]]="","",IFERROR(INDEX([2]Rubric!$G$3:$G$94,MATCH(1,([2]Rubric!$E$3:$E$94=J$2)*([2]Rubric!$F$3:$F$94='[2]Questionnaire Responses'!J268),0)),"MISSING"))</f>
        <v/>
      </c>
      <c r="K267" s="206"/>
      <c r="L267" s="183" t="str">
        <f t="array" ref="L267">IF(Table133[[#This Row],[Survey?]]="","",IFERROR(INDEX([2]Rubric!$G$3:$G$94,MATCH(1,([2]Rubric!$E$3:$E$94=L$2)*([2]Rubric!$F$3:$F$94='[2]Questionnaire Responses'!L268),0)),"MISSING"))</f>
        <v/>
      </c>
      <c r="M267" s="206"/>
      <c r="N267" s="183" t="str">
        <f t="array" ref="N267">IF(Table133[[#This Row],[Survey?]]="","",IFERROR(INDEX([2]Rubric!$G$3:$G$94,MATCH(1,([2]Rubric!$E$3:$E$94=N$2)*([2]Rubric!$F$3:$F$94='[2]Questionnaire Responses'!N268),0)),"MISSING"))</f>
        <v/>
      </c>
      <c r="O267" s="183" t="str">
        <f t="array" ref="O267">IF(Table133[[#This Row],[Survey?]]="","",IFERROR(INDEX([2]Rubric!$G$3:$G$94,MATCH(1,([2]Rubric!$E$3:$E$94=O$2)*([2]Rubric!$F$3:$F$94='[2]Questionnaire Responses'!O268),0)),"MISSING"))</f>
        <v/>
      </c>
      <c r="P267" s="206"/>
      <c r="Q267" s="183" t="str">
        <f t="array" ref="Q267">IF(Table133[[#This Row],[Survey?]]="","",IFERROR(INDEX([2]Rubric!$G$3:$G$94,MATCH(1,([2]Rubric!$E$3:$E$94=Q$2)*([2]Rubric!$F$3:$F$94='[2]Questionnaire Responses'!Q268),0)),"MISSING"))</f>
        <v/>
      </c>
      <c r="R267" s="183" t="str">
        <f t="array" ref="R267">IF(Table133[[#This Row],[Survey?]]="","",IFERROR(INDEX([2]Rubric!$G$3:$G$94,MATCH(1,([2]Rubric!$E$3:$E$94=R$2)*([2]Rubric!$F$3:$F$94='[2]Questionnaire Responses'!R268),0)),"MISSING"))</f>
        <v/>
      </c>
      <c r="S267" s="183" t="str">
        <f t="array" ref="S267">IF(Table133[[#This Row],[Survey?]]="","",IFERROR(INDEX([2]Rubric!$G$3:$G$94,MATCH(1,([2]Rubric!$E$3:$E$94=S$2)*([2]Rubric!$F$3:$F$94='[2]Questionnaire Responses'!S268),0)),"MISSING"))</f>
        <v/>
      </c>
      <c r="T267" s="183" t="str">
        <f t="array" ref="T267">IF(Table133[[#This Row],[Survey?]]="","",IFERROR(INDEX([2]Rubric!$G$3:$G$94,MATCH(1,([2]Rubric!$E$3:$E$94=T$2)*([2]Rubric!$F$3:$F$94='[2]Questionnaire Responses'!T268),0)),"MISSING"))</f>
        <v/>
      </c>
      <c r="U267" s="206"/>
      <c r="V267" s="183" t="str">
        <f t="array" ref="V267">IF(Table133[[#This Row],[Survey?]]="","",IFERROR(INDEX([2]Rubric!$G$3:$G$94,MATCH(1,([2]Rubric!$E$3:$E$94=V$2)*([2]Rubric!$F$3:$F$94='[2]Questionnaire Responses'!V268),0)),"MISSING"))</f>
        <v/>
      </c>
      <c r="W267" s="206"/>
      <c r="X267" s="183" t="str">
        <f t="array" ref="X267">IF(Table133[[#This Row],[Survey?]]="","",IFERROR(INDEX([2]Rubric!$G$3:$G$94,MATCH(1,([2]Rubric!$E$3:$E$94=X$2)*([2]Rubric!$F$3:$F$94='[2]Questionnaire Responses'!X268),0)),"MISSING"))</f>
        <v/>
      </c>
      <c r="Y267" s="206"/>
      <c r="Z267" s="183" t="str">
        <f t="array" ref="Z267">IF(Table133[[#This Row],[Survey?]]="","",IFERROR(INDEX([2]Rubric!$G$3:$G$94,MATCH(1,([2]Rubric!$E$3:$E$94=Z$2)*([2]Rubric!$F$3:$F$94='[2]Questionnaire Responses'!Z268),0)),"MISSING"))</f>
        <v/>
      </c>
      <c r="AA267" s="183" t="str">
        <f t="array" ref="AA267">IF(Table133[[#This Row],[Survey?]]="","",IFERROR(INDEX([2]Rubric!$G$3:$G$94,MATCH(1,([2]Rubric!$E$3:$E$94=AA$2)*([2]Rubric!$F$3:$F$94='[2]Questionnaire Responses'!AA268),0)),"MISSING"))</f>
        <v/>
      </c>
      <c r="AB267" s="183" t="str">
        <f t="array" ref="AB267">IF(Table133[[#This Row],[Survey?]]="","",IFERROR(INDEX([2]Rubric!$G$3:$G$94,MATCH(1,([2]Rubric!$E$3:$E$94=AB$2)*([2]Rubric!$F$3:$F$94='[2]Questionnaire Responses'!AB268),0)),"MISSING"))</f>
        <v/>
      </c>
      <c r="AC267" s="206"/>
      <c r="AD267" s="183" t="str">
        <f t="array" ref="AD267">IF(Table133[[#This Row],[Survey?]]="","",IFERROR(INDEX([2]Rubric!$G$3:$G$94,MATCH(1,([2]Rubric!$E$3:$E$94=AD$2)*([2]Rubric!$F$3:$F$94='[2]Questionnaire Responses'!AD268),0)),"MISSING"))</f>
        <v/>
      </c>
      <c r="AE267" s="183" t="str">
        <f t="array" ref="AE267">IF(Table133[[#This Row],[Survey?]]="","",IFERROR(INDEX([2]Rubric!$G$3:$G$94,MATCH(1,([2]Rubric!$E$3:$E$94=AE$2)*([2]Rubric!$F$3:$F$94='[2]Questionnaire Responses'!AE268),0)),"MISSING"))</f>
        <v/>
      </c>
      <c r="AF267" s="206"/>
      <c r="AG267" s="183" t="str">
        <f t="array" ref="AG267">IF(Table133[[#This Row],[Survey?]]="","",IFERROR(INDEX([2]Rubric!$G$3:$G$94,MATCH(1,([2]Rubric!$E$3:$E$94=AG$2)*([2]Rubric!$F$3:$F$94='[2]Questionnaire Responses'!AG268),0)),"MISSING"))</f>
        <v/>
      </c>
    </row>
    <row r="268" spans="1:33" ht="12.75" customHeight="1" x14ac:dyDescent="0.25">
      <c r="A268" s="207">
        <f>'[2]Questionnaire Responses'!A269</f>
        <v>0</v>
      </c>
      <c r="B268" s="198">
        <f>'[2]Questionnaire Responses'!B269</f>
        <v>0</v>
      </c>
      <c r="C268" s="153">
        <f>'[2]Questionnaire Responses'!C269</f>
        <v>0</v>
      </c>
      <c r="D268" s="208"/>
      <c r="E268" s="206"/>
      <c r="F268" s="183" t="str">
        <f t="array" ref="F268">IF(Table133[[#This Row],[Survey?]]="","",IFERROR(INDEX([2]Rubric!$G$3:$G$94,MATCH(1,([2]Rubric!$E$3:$E$94=F$2)*([2]Rubric!$F$3:$F$94='[2]Questionnaire Responses'!F269),0)),"MISSING"))</f>
        <v/>
      </c>
      <c r="G268" s="183" t="str">
        <f t="array" ref="G268">IF(Table133[[#This Row],[Survey?]]="","",IFERROR(INDEX([2]Rubric!$G$3:$G$94,MATCH(1,([2]Rubric!$E$3:$E$94=G$2)*([2]Rubric!$F$3:$F$94='[2]Questionnaire Responses'!G269),0)),"MISSING"))</f>
        <v/>
      </c>
      <c r="H268" s="183" t="str">
        <f t="array" ref="H268">IF(Table133[[#This Row],[Survey?]]="","",IFERROR(INDEX([2]Rubric!$G$3:$G$94,MATCH(1,([2]Rubric!$E$3:$E$94=H$2)*([2]Rubric!$F$3:$F$94='[2]Questionnaire Responses'!H269),0)),"MISSING"))</f>
        <v/>
      </c>
      <c r="I268" s="183" t="str">
        <f t="array" ref="I268">IF(Table133[[#This Row],[Survey?]]="","",IFERROR(INDEX([2]Rubric!$G$3:$G$94,MATCH(1,([2]Rubric!$E$3:$E$94=I$2)*([2]Rubric!$F$3:$F$94='[2]Questionnaire Responses'!I269),0)),"MISSING"))</f>
        <v/>
      </c>
      <c r="J268" s="183" t="str">
        <f t="array" ref="J268">IF(Table133[[#This Row],[Survey?]]="","",IFERROR(INDEX([2]Rubric!$G$3:$G$94,MATCH(1,([2]Rubric!$E$3:$E$94=J$2)*([2]Rubric!$F$3:$F$94='[2]Questionnaire Responses'!J269),0)),"MISSING"))</f>
        <v/>
      </c>
      <c r="K268" s="206"/>
      <c r="L268" s="183" t="str">
        <f t="array" ref="L268">IF(Table133[[#This Row],[Survey?]]="","",IFERROR(INDEX([2]Rubric!$G$3:$G$94,MATCH(1,([2]Rubric!$E$3:$E$94=L$2)*([2]Rubric!$F$3:$F$94='[2]Questionnaire Responses'!L269),0)),"MISSING"))</f>
        <v/>
      </c>
      <c r="M268" s="206"/>
      <c r="N268" s="183" t="str">
        <f t="array" ref="N268">IF(Table133[[#This Row],[Survey?]]="","",IFERROR(INDEX([2]Rubric!$G$3:$G$94,MATCH(1,([2]Rubric!$E$3:$E$94=N$2)*([2]Rubric!$F$3:$F$94='[2]Questionnaire Responses'!N269),0)),"MISSING"))</f>
        <v/>
      </c>
      <c r="O268" s="183" t="str">
        <f t="array" ref="O268">IF(Table133[[#This Row],[Survey?]]="","",IFERROR(INDEX([2]Rubric!$G$3:$G$94,MATCH(1,([2]Rubric!$E$3:$E$94=O$2)*([2]Rubric!$F$3:$F$94='[2]Questionnaire Responses'!O269),0)),"MISSING"))</f>
        <v/>
      </c>
      <c r="P268" s="206"/>
      <c r="Q268" s="183" t="str">
        <f t="array" ref="Q268">IF(Table133[[#This Row],[Survey?]]="","",IFERROR(INDEX([2]Rubric!$G$3:$G$94,MATCH(1,([2]Rubric!$E$3:$E$94=Q$2)*([2]Rubric!$F$3:$F$94='[2]Questionnaire Responses'!Q269),0)),"MISSING"))</f>
        <v/>
      </c>
      <c r="R268" s="183" t="str">
        <f t="array" ref="R268">IF(Table133[[#This Row],[Survey?]]="","",IFERROR(INDEX([2]Rubric!$G$3:$G$94,MATCH(1,([2]Rubric!$E$3:$E$94=R$2)*([2]Rubric!$F$3:$F$94='[2]Questionnaire Responses'!R269),0)),"MISSING"))</f>
        <v/>
      </c>
      <c r="S268" s="183" t="str">
        <f t="array" ref="S268">IF(Table133[[#This Row],[Survey?]]="","",IFERROR(INDEX([2]Rubric!$G$3:$G$94,MATCH(1,([2]Rubric!$E$3:$E$94=S$2)*([2]Rubric!$F$3:$F$94='[2]Questionnaire Responses'!S269),0)),"MISSING"))</f>
        <v/>
      </c>
      <c r="T268" s="183" t="str">
        <f t="array" ref="T268">IF(Table133[[#This Row],[Survey?]]="","",IFERROR(INDEX([2]Rubric!$G$3:$G$94,MATCH(1,([2]Rubric!$E$3:$E$94=T$2)*([2]Rubric!$F$3:$F$94='[2]Questionnaire Responses'!T269),0)),"MISSING"))</f>
        <v/>
      </c>
      <c r="U268" s="206"/>
      <c r="V268" s="183" t="str">
        <f t="array" ref="V268">IF(Table133[[#This Row],[Survey?]]="","",IFERROR(INDEX([2]Rubric!$G$3:$G$94,MATCH(1,([2]Rubric!$E$3:$E$94=V$2)*([2]Rubric!$F$3:$F$94='[2]Questionnaire Responses'!V269),0)),"MISSING"))</f>
        <v/>
      </c>
      <c r="W268" s="206"/>
      <c r="X268" s="183" t="str">
        <f t="array" ref="X268">IF(Table133[[#This Row],[Survey?]]="","",IFERROR(INDEX([2]Rubric!$G$3:$G$94,MATCH(1,([2]Rubric!$E$3:$E$94=X$2)*([2]Rubric!$F$3:$F$94='[2]Questionnaire Responses'!X269),0)),"MISSING"))</f>
        <v/>
      </c>
      <c r="Y268" s="206"/>
      <c r="Z268" s="183" t="str">
        <f t="array" ref="Z268">IF(Table133[[#This Row],[Survey?]]="","",IFERROR(INDEX([2]Rubric!$G$3:$G$94,MATCH(1,([2]Rubric!$E$3:$E$94=Z$2)*([2]Rubric!$F$3:$F$94='[2]Questionnaire Responses'!Z269),0)),"MISSING"))</f>
        <v/>
      </c>
      <c r="AA268" s="183" t="str">
        <f t="array" ref="AA268">IF(Table133[[#This Row],[Survey?]]="","",IFERROR(INDEX([2]Rubric!$G$3:$G$94,MATCH(1,([2]Rubric!$E$3:$E$94=AA$2)*([2]Rubric!$F$3:$F$94='[2]Questionnaire Responses'!AA269),0)),"MISSING"))</f>
        <v/>
      </c>
      <c r="AB268" s="183" t="str">
        <f t="array" ref="AB268">IF(Table133[[#This Row],[Survey?]]="","",IFERROR(INDEX([2]Rubric!$G$3:$G$94,MATCH(1,([2]Rubric!$E$3:$E$94=AB$2)*([2]Rubric!$F$3:$F$94='[2]Questionnaire Responses'!AB269),0)),"MISSING"))</f>
        <v/>
      </c>
      <c r="AC268" s="206"/>
      <c r="AD268" s="183" t="str">
        <f t="array" ref="AD268">IF(Table133[[#This Row],[Survey?]]="","",IFERROR(INDEX([2]Rubric!$G$3:$G$94,MATCH(1,([2]Rubric!$E$3:$E$94=AD$2)*([2]Rubric!$F$3:$F$94='[2]Questionnaire Responses'!AD269),0)),"MISSING"))</f>
        <v/>
      </c>
      <c r="AE268" s="183" t="str">
        <f t="array" ref="AE268">IF(Table133[[#This Row],[Survey?]]="","",IFERROR(INDEX([2]Rubric!$G$3:$G$94,MATCH(1,([2]Rubric!$E$3:$E$94=AE$2)*([2]Rubric!$F$3:$F$94='[2]Questionnaire Responses'!AE269),0)),"MISSING"))</f>
        <v/>
      </c>
      <c r="AF268" s="206"/>
      <c r="AG268" s="183" t="str">
        <f t="array" ref="AG268">IF(Table133[[#This Row],[Survey?]]="","",IFERROR(INDEX([2]Rubric!$G$3:$G$94,MATCH(1,([2]Rubric!$E$3:$E$94=AG$2)*([2]Rubric!$F$3:$F$94='[2]Questionnaire Responses'!AG269),0)),"MISSING"))</f>
        <v/>
      </c>
    </row>
    <row r="269" spans="1:33" ht="12.75" customHeight="1" x14ac:dyDescent="0.25">
      <c r="A269" s="207">
        <f>'[2]Questionnaire Responses'!A270</f>
        <v>0</v>
      </c>
      <c r="B269" s="198">
        <f>'[2]Questionnaire Responses'!B270</f>
        <v>0</v>
      </c>
      <c r="C269" s="153">
        <f>'[2]Questionnaire Responses'!C270</f>
        <v>0</v>
      </c>
      <c r="D269" s="208"/>
      <c r="E269" s="206"/>
      <c r="F269" s="183" t="str">
        <f t="array" ref="F269">IF(Table133[[#This Row],[Survey?]]="","",IFERROR(INDEX([2]Rubric!$G$3:$G$94,MATCH(1,([2]Rubric!$E$3:$E$94=F$2)*([2]Rubric!$F$3:$F$94='[2]Questionnaire Responses'!F270),0)),"MISSING"))</f>
        <v/>
      </c>
      <c r="G269" s="183" t="str">
        <f t="array" ref="G269">IF(Table133[[#This Row],[Survey?]]="","",IFERROR(INDEX([2]Rubric!$G$3:$G$94,MATCH(1,([2]Rubric!$E$3:$E$94=G$2)*([2]Rubric!$F$3:$F$94='[2]Questionnaire Responses'!G270),0)),"MISSING"))</f>
        <v/>
      </c>
      <c r="H269" s="183" t="str">
        <f t="array" ref="H269">IF(Table133[[#This Row],[Survey?]]="","",IFERROR(INDEX([2]Rubric!$G$3:$G$94,MATCH(1,([2]Rubric!$E$3:$E$94=H$2)*([2]Rubric!$F$3:$F$94='[2]Questionnaire Responses'!H270),0)),"MISSING"))</f>
        <v/>
      </c>
      <c r="I269" s="183" t="str">
        <f t="array" ref="I269">IF(Table133[[#This Row],[Survey?]]="","",IFERROR(INDEX([2]Rubric!$G$3:$G$94,MATCH(1,([2]Rubric!$E$3:$E$94=I$2)*([2]Rubric!$F$3:$F$94='[2]Questionnaire Responses'!I270),0)),"MISSING"))</f>
        <v/>
      </c>
      <c r="J269" s="183" t="str">
        <f t="array" ref="J269">IF(Table133[[#This Row],[Survey?]]="","",IFERROR(INDEX([2]Rubric!$G$3:$G$94,MATCH(1,([2]Rubric!$E$3:$E$94=J$2)*([2]Rubric!$F$3:$F$94='[2]Questionnaire Responses'!J270),0)),"MISSING"))</f>
        <v/>
      </c>
      <c r="K269" s="206"/>
      <c r="L269" s="183" t="str">
        <f t="array" ref="L269">IF(Table133[[#This Row],[Survey?]]="","",IFERROR(INDEX([2]Rubric!$G$3:$G$94,MATCH(1,([2]Rubric!$E$3:$E$94=L$2)*([2]Rubric!$F$3:$F$94='[2]Questionnaire Responses'!L270),0)),"MISSING"))</f>
        <v/>
      </c>
      <c r="M269" s="206"/>
      <c r="N269" s="183" t="str">
        <f t="array" ref="N269">IF(Table133[[#This Row],[Survey?]]="","",IFERROR(INDEX([2]Rubric!$G$3:$G$94,MATCH(1,([2]Rubric!$E$3:$E$94=N$2)*([2]Rubric!$F$3:$F$94='[2]Questionnaire Responses'!N270),0)),"MISSING"))</f>
        <v/>
      </c>
      <c r="O269" s="183" t="str">
        <f t="array" ref="O269">IF(Table133[[#This Row],[Survey?]]="","",IFERROR(INDEX([2]Rubric!$G$3:$G$94,MATCH(1,([2]Rubric!$E$3:$E$94=O$2)*([2]Rubric!$F$3:$F$94='[2]Questionnaire Responses'!O270),0)),"MISSING"))</f>
        <v/>
      </c>
      <c r="P269" s="206"/>
      <c r="Q269" s="183" t="str">
        <f t="array" ref="Q269">IF(Table133[[#This Row],[Survey?]]="","",IFERROR(INDEX([2]Rubric!$G$3:$G$94,MATCH(1,([2]Rubric!$E$3:$E$94=Q$2)*([2]Rubric!$F$3:$F$94='[2]Questionnaire Responses'!Q270),0)),"MISSING"))</f>
        <v/>
      </c>
      <c r="R269" s="183" t="str">
        <f t="array" ref="R269">IF(Table133[[#This Row],[Survey?]]="","",IFERROR(INDEX([2]Rubric!$G$3:$G$94,MATCH(1,([2]Rubric!$E$3:$E$94=R$2)*([2]Rubric!$F$3:$F$94='[2]Questionnaire Responses'!R270),0)),"MISSING"))</f>
        <v/>
      </c>
      <c r="S269" s="183" t="str">
        <f t="array" ref="S269">IF(Table133[[#This Row],[Survey?]]="","",IFERROR(INDEX([2]Rubric!$G$3:$G$94,MATCH(1,([2]Rubric!$E$3:$E$94=S$2)*([2]Rubric!$F$3:$F$94='[2]Questionnaire Responses'!S270),0)),"MISSING"))</f>
        <v/>
      </c>
      <c r="T269" s="183" t="str">
        <f t="array" ref="T269">IF(Table133[[#This Row],[Survey?]]="","",IFERROR(INDEX([2]Rubric!$G$3:$G$94,MATCH(1,([2]Rubric!$E$3:$E$94=T$2)*([2]Rubric!$F$3:$F$94='[2]Questionnaire Responses'!T270),0)),"MISSING"))</f>
        <v/>
      </c>
      <c r="U269" s="206"/>
      <c r="V269" s="183" t="str">
        <f t="array" ref="V269">IF(Table133[[#This Row],[Survey?]]="","",IFERROR(INDEX([2]Rubric!$G$3:$G$94,MATCH(1,([2]Rubric!$E$3:$E$94=V$2)*([2]Rubric!$F$3:$F$94='[2]Questionnaire Responses'!V270),0)),"MISSING"))</f>
        <v/>
      </c>
      <c r="W269" s="206"/>
      <c r="X269" s="183" t="str">
        <f t="array" ref="X269">IF(Table133[[#This Row],[Survey?]]="","",IFERROR(INDEX([2]Rubric!$G$3:$G$94,MATCH(1,([2]Rubric!$E$3:$E$94=X$2)*([2]Rubric!$F$3:$F$94='[2]Questionnaire Responses'!X270),0)),"MISSING"))</f>
        <v/>
      </c>
      <c r="Y269" s="206"/>
      <c r="Z269" s="183" t="str">
        <f t="array" ref="Z269">IF(Table133[[#This Row],[Survey?]]="","",IFERROR(INDEX([2]Rubric!$G$3:$G$94,MATCH(1,([2]Rubric!$E$3:$E$94=Z$2)*([2]Rubric!$F$3:$F$94='[2]Questionnaire Responses'!Z270),0)),"MISSING"))</f>
        <v/>
      </c>
      <c r="AA269" s="183" t="str">
        <f t="array" ref="AA269">IF(Table133[[#This Row],[Survey?]]="","",IFERROR(INDEX([2]Rubric!$G$3:$G$94,MATCH(1,([2]Rubric!$E$3:$E$94=AA$2)*([2]Rubric!$F$3:$F$94='[2]Questionnaire Responses'!AA270),0)),"MISSING"))</f>
        <v/>
      </c>
      <c r="AB269" s="183" t="str">
        <f t="array" ref="AB269">IF(Table133[[#This Row],[Survey?]]="","",IFERROR(INDEX([2]Rubric!$G$3:$G$94,MATCH(1,([2]Rubric!$E$3:$E$94=AB$2)*([2]Rubric!$F$3:$F$94='[2]Questionnaire Responses'!AB270),0)),"MISSING"))</f>
        <v/>
      </c>
      <c r="AC269" s="206"/>
      <c r="AD269" s="183" t="str">
        <f t="array" ref="AD269">IF(Table133[[#This Row],[Survey?]]="","",IFERROR(INDEX([2]Rubric!$G$3:$G$94,MATCH(1,([2]Rubric!$E$3:$E$94=AD$2)*([2]Rubric!$F$3:$F$94='[2]Questionnaire Responses'!AD270),0)),"MISSING"))</f>
        <v/>
      </c>
      <c r="AE269" s="183" t="str">
        <f t="array" ref="AE269">IF(Table133[[#This Row],[Survey?]]="","",IFERROR(INDEX([2]Rubric!$G$3:$G$94,MATCH(1,([2]Rubric!$E$3:$E$94=AE$2)*([2]Rubric!$F$3:$F$94='[2]Questionnaire Responses'!AE270),0)),"MISSING"))</f>
        <v/>
      </c>
      <c r="AF269" s="206"/>
      <c r="AG269" s="183" t="str">
        <f t="array" ref="AG269">IF(Table133[[#This Row],[Survey?]]="","",IFERROR(INDEX([2]Rubric!$G$3:$G$94,MATCH(1,([2]Rubric!$E$3:$E$94=AG$2)*([2]Rubric!$F$3:$F$94='[2]Questionnaire Responses'!AG270),0)),"MISSING"))</f>
        <v/>
      </c>
    </row>
    <row r="270" spans="1:33" ht="12.75" customHeight="1" x14ac:dyDescent="0.25">
      <c r="A270" s="207">
        <f>'[2]Questionnaire Responses'!A271</f>
        <v>0</v>
      </c>
      <c r="B270" s="198">
        <f>'[2]Questionnaire Responses'!B271</f>
        <v>0</v>
      </c>
      <c r="C270" s="153">
        <f>'[2]Questionnaire Responses'!C271</f>
        <v>0</v>
      </c>
      <c r="D270" s="208"/>
      <c r="E270" s="206"/>
      <c r="F270" s="183" t="str">
        <f t="array" ref="F270">IF(Table133[[#This Row],[Survey?]]="","",IFERROR(INDEX([2]Rubric!$G$3:$G$94,MATCH(1,([2]Rubric!$E$3:$E$94=F$2)*([2]Rubric!$F$3:$F$94='[2]Questionnaire Responses'!F271),0)),"MISSING"))</f>
        <v/>
      </c>
      <c r="G270" s="183" t="str">
        <f t="array" ref="G270">IF(Table133[[#This Row],[Survey?]]="","",IFERROR(INDEX([2]Rubric!$G$3:$G$94,MATCH(1,([2]Rubric!$E$3:$E$94=G$2)*([2]Rubric!$F$3:$F$94='[2]Questionnaire Responses'!G271),0)),"MISSING"))</f>
        <v/>
      </c>
      <c r="H270" s="183" t="str">
        <f t="array" ref="H270">IF(Table133[[#This Row],[Survey?]]="","",IFERROR(INDEX([2]Rubric!$G$3:$G$94,MATCH(1,([2]Rubric!$E$3:$E$94=H$2)*([2]Rubric!$F$3:$F$94='[2]Questionnaire Responses'!H271),0)),"MISSING"))</f>
        <v/>
      </c>
      <c r="I270" s="183" t="str">
        <f t="array" ref="I270">IF(Table133[[#This Row],[Survey?]]="","",IFERROR(INDEX([2]Rubric!$G$3:$G$94,MATCH(1,([2]Rubric!$E$3:$E$94=I$2)*([2]Rubric!$F$3:$F$94='[2]Questionnaire Responses'!I271),0)),"MISSING"))</f>
        <v/>
      </c>
      <c r="J270" s="183" t="str">
        <f t="array" ref="J270">IF(Table133[[#This Row],[Survey?]]="","",IFERROR(INDEX([2]Rubric!$G$3:$G$94,MATCH(1,([2]Rubric!$E$3:$E$94=J$2)*([2]Rubric!$F$3:$F$94='[2]Questionnaire Responses'!J271),0)),"MISSING"))</f>
        <v/>
      </c>
      <c r="K270" s="206"/>
      <c r="L270" s="183" t="str">
        <f t="array" ref="L270">IF(Table133[[#This Row],[Survey?]]="","",IFERROR(INDEX([2]Rubric!$G$3:$G$94,MATCH(1,([2]Rubric!$E$3:$E$94=L$2)*([2]Rubric!$F$3:$F$94='[2]Questionnaire Responses'!L271),0)),"MISSING"))</f>
        <v/>
      </c>
      <c r="M270" s="206"/>
      <c r="N270" s="183" t="str">
        <f t="array" ref="N270">IF(Table133[[#This Row],[Survey?]]="","",IFERROR(INDEX([2]Rubric!$G$3:$G$94,MATCH(1,([2]Rubric!$E$3:$E$94=N$2)*([2]Rubric!$F$3:$F$94='[2]Questionnaire Responses'!N271),0)),"MISSING"))</f>
        <v/>
      </c>
      <c r="O270" s="183" t="str">
        <f t="array" ref="O270">IF(Table133[[#This Row],[Survey?]]="","",IFERROR(INDEX([2]Rubric!$G$3:$G$94,MATCH(1,([2]Rubric!$E$3:$E$94=O$2)*([2]Rubric!$F$3:$F$94='[2]Questionnaire Responses'!O271),0)),"MISSING"))</f>
        <v/>
      </c>
      <c r="P270" s="206"/>
      <c r="Q270" s="183" t="str">
        <f t="array" ref="Q270">IF(Table133[[#This Row],[Survey?]]="","",IFERROR(INDEX([2]Rubric!$G$3:$G$94,MATCH(1,([2]Rubric!$E$3:$E$94=Q$2)*([2]Rubric!$F$3:$F$94='[2]Questionnaire Responses'!Q271),0)),"MISSING"))</f>
        <v/>
      </c>
      <c r="R270" s="183" t="str">
        <f t="array" ref="R270">IF(Table133[[#This Row],[Survey?]]="","",IFERROR(INDEX([2]Rubric!$G$3:$G$94,MATCH(1,([2]Rubric!$E$3:$E$94=R$2)*([2]Rubric!$F$3:$F$94='[2]Questionnaire Responses'!R271),0)),"MISSING"))</f>
        <v/>
      </c>
      <c r="S270" s="183" t="str">
        <f t="array" ref="S270">IF(Table133[[#This Row],[Survey?]]="","",IFERROR(INDEX([2]Rubric!$G$3:$G$94,MATCH(1,([2]Rubric!$E$3:$E$94=S$2)*([2]Rubric!$F$3:$F$94='[2]Questionnaire Responses'!S271),0)),"MISSING"))</f>
        <v/>
      </c>
      <c r="T270" s="183" t="str">
        <f t="array" ref="T270">IF(Table133[[#This Row],[Survey?]]="","",IFERROR(INDEX([2]Rubric!$G$3:$G$94,MATCH(1,([2]Rubric!$E$3:$E$94=T$2)*([2]Rubric!$F$3:$F$94='[2]Questionnaire Responses'!T271),0)),"MISSING"))</f>
        <v/>
      </c>
      <c r="U270" s="206"/>
      <c r="V270" s="183" t="str">
        <f t="array" ref="V270">IF(Table133[[#This Row],[Survey?]]="","",IFERROR(INDEX([2]Rubric!$G$3:$G$94,MATCH(1,([2]Rubric!$E$3:$E$94=V$2)*([2]Rubric!$F$3:$F$94='[2]Questionnaire Responses'!V271),0)),"MISSING"))</f>
        <v/>
      </c>
      <c r="W270" s="206"/>
      <c r="X270" s="183" t="str">
        <f t="array" ref="X270">IF(Table133[[#This Row],[Survey?]]="","",IFERROR(INDEX([2]Rubric!$G$3:$G$94,MATCH(1,([2]Rubric!$E$3:$E$94=X$2)*([2]Rubric!$F$3:$F$94='[2]Questionnaire Responses'!X271),0)),"MISSING"))</f>
        <v/>
      </c>
      <c r="Y270" s="206"/>
      <c r="Z270" s="183" t="str">
        <f t="array" ref="Z270">IF(Table133[[#This Row],[Survey?]]="","",IFERROR(INDEX([2]Rubric!$G$3:$G$94,MATCH(1,([2]Rubric!$E$3:$E$94=Z$2)*([2]Rubric!$F$3:$F$94='[2]Questionnaire Responses'!Z271),0)),"MISSING"))</f>
        <v/>
      </c>
      <c r="AA270" s="183" t="str">
        <f t="array" ref="AA270">IF(Table133[[#This Row],[Survey?]]="","",IFERROR(INDEX([2]Rubric!$G$3:$G$94,MATCH(1,([2]Rubric!$E$3:$E$94=AA$2)*([2]Rubric!$F$3:$F$94='[2]Questionnaire Responses'!AA271),0)),"MISSING"))</f>
        <v/>
      </c>
      <c r="AB270" s="183" t="str">
        <f t="array" ref="AB270">IF(Table133[[#This Row],[Survey?]]="","",IFERROR(INDEX([2]Rubric!$G$3:$G$94,MATCH(1,([2]Rubric!$E$3:$E$94=AB$2)*([2]Rubric!$F$3:$F$94='[2]Questionnaire Responses'!AB271),0)),"MISSING"))</f>
        <v/>
      </c>
      <c r="AC270" s="206"/>
      <c r="AD270" s="183" t="str">
        <f t="array" ref="AD270">IF(Table133[[#This Row],[Survey?]]="","",IFERROR(INDEX([2]Rubric!$G$3:$G$94,MATCH(1,([2]Rubric!$E$3:$E$94=AD$2)*([2]Rubric!$F$3:$F$94='[2]Questionnaire Responses'!AD271),0)),"MISSING"))</f>
        <v/>
      </c>
      <c r="AE270" s="183" t="str">
        <f t="array" ref="AE270">IF(Table133[[#This Row],[Survey?]]="","",IFERROR(INDEX([2]Rubric!$G$3:$G$94,MATCH(1,([2]Rubric!$E$3:$E$94=AE$2)*([2]Rubric!$F$3:$F$94='[2]Questionnaire Responses'!AE271),0)),"MISSING"))</f>
        <v/>
      </c>
      <c r="AF270" s="206"/>
      <c r="AG270" s="183" t="str">
        <f t="array" ref="AG270">IF(Table133[[#This Row],[Survey?]]="","",IFERROR(INDEX([2]Rubric!$G$3:$G$94,MATCH(1,([2]Rubric!$E$3:$E$94=AG$2)*([2]Rubric!$F$3:$F$94='[2]Questionnaire Responses'!AG271),0)),"MISSING"))</f>
        <v/>
      </c>
    </row>
    <row r="271" spans="1:33" ht="12.75" customHeight="1" x14ac:dyDescent="0.25">
      <c r="A271" s="207">
        <f>'[2]Questionnaire Responses'!A272</f>
        <v>0</v>
      </c>
      <c r="B271" s="198">
        <f>'[2]Questionnaire Responses'!B272</f>
        <v>0</v>
      </c>
      <c r="C271" s="153">
        <f>'[2]Questionnaire Responses'!C272</f>
        <v>0</v>
      </c>
      <c r="D271" s="208"/>
      <c r="E271" s="206"/>
      <c r="F271" s="183" t="str">
        <f t="array" ref="F271">IF(Table133[[#This Row],[Survey?]]="","",IFERROR(INDEX([2]Rubric!$G$3:$G$94,MATCH(1,([2]Rubric!$E$3:$E$94=F$2)*([2]Rubric!$F$3:$F$94='[2]Questionnaire Responses'!F272),0)),"MISSING"))</f>
        <v/>
      </c>
      <c r="G271" s="183" t="str">
        <f t="array" ref="G271">IF(Table133[[#This Row],[Survey?]]="","",IFERROR(INDEX([2]Rubric!$G$3:$G$94,MATCH(1,([2]Rubric!$E$3:$E$94=G$2)*([2]Rubric!$F$3:$F$94='[2]Questionnaire Responses'!G272),0)),"MISSING"))</f>
        <v/>
      </c>
      <c r="H271" s="183" t="str">
        <f t="array" ref="H271">IF(Table133[[#This Row],[Survey?]]="","",IFERROR(INDEX([2]Rubric!$G$3:$G$94,MATCH(1,([2]Rubric!$E$3:$E$94=H$2)*([2]Rubric!$F$3:$F$94='[2]Questionnaire Responses'!H272),0)),"MISSING"))</f>
        <v/>
      </c>
      <c r="I271" s="183" t="str">
        <f t="array" ref="I271">IF(Table133[[#This Row],[Survey?]]="","",IFERROR(INDEX([2]Rubric!$G$3:$G$94,MATCH(1,([2]Rubric!$E$3:$E$94=I$2)*([2]Rubric!$F$3:$F$94='[2]Questionnaire Responses'!I272),0)),"MISSING"))</f>
        <v/>
      </c>
      <c r="J271" s="183" t="str">
        <f t="array" ref="J271">IF(Table133[[#This Row],[Survey?]]="","",IFERROR(INDEX([2]Rubric!$G$3:$G$94,MATCH(1,([2]Rubric!$E$3:$E$94=J$2)*([2]Rubric!$F$3:$F$94='[2]Questionnaire Responses'!J272),0)),"MISSING"))</f>
        <v/>
      </c>
      <c r="K271" s="206"/>
      <c r="L271" s="183" t="str">
        <f t="array" ref="L271">IF(Table133[[#This Row],[Survey?]]="","",IFERROR(INDEX([2]Rubric!$G$3:$G$94,MATCH(1,([2]Rubric!$E$3:$E$94=L$2)*([2]Rubric!$F$3:$F$94='[2]Questionnaire Responses'!L272),0)),"MISSING"))</f>
        <v/>
      </c>
      <c r="M271" s="206"/>
      <c r="N271" s="183" t="str">
        <f t="array" ref="N271">IF(Table133[[#This Row],[Survey?]]="","",IFERROR(INDEX([2]Rubric!$G$3:$G$94,MATCH(1,([2]Rubric!$E$3:$E$94=N$2)*([2]Rubric!$F$3:$F$94='[2]Questionnaire Responses'!N272),0)),"MISSING"))</f>
        <v/>
      </c>
      <c r="O271" s="183" t="str">
        <f t="array" ref="O271">IF(Table133[[#This Row],[Survey?]]="","",IFERROR(INDEX([2]Rubric!$G$3:$G$94,MATCH(1,([2]Rubric!$E$3:$E$94=O$2)*([2]Rubric!$F$3:$F$94='[2]Questionnaire Responses'!O272),0)),"MISSING"))</f>
        <v/>
      </c>
      <c r="P271" s="206"/>
      <c r="Q271" s="183" t="str">
        <f t="array" ref="Q271">IF(Table133[[#This Row],[Survey?]]="","",IFERROR(INDEX([2]Rubric!$G$3:$G$94,MATCH(1,([2]Rubric!$E$3:$E$94=Q$2)*([2]Rubric!$F$3:$F$94='[2]Questionnaire Responses'!Q272),0)),"MISSING"))</f>
        <v/>
      </c>
      <c r="R271" s="183" t="str">
        <f t="array" ref="R271">IF(Table133[[#This Row],[Survey?]]="","",IFERROR(INDEX([2]Rubric!$G$3:$G$94,MATCH(1,([2]Rubric!$E$3:$E$94=R$2)*([2]Rubric!$F$3:$F$94='[2]Questionnaire Responses'!R272),0)),"MISSING"))</f>
        <v/>
      </c>
      <c r="S271" s="183" t="str">
        <f t="array" ref="S271">IF(Table133[[#This Row],[Survey?]]="","",IFERROR(INDEX([2]Rubric!$G$3:$G$94,MATCH(1,([2]Rubric!$E$3:$E$94=S$2)*([2]Rubric!$F$3:$F$94='[2]Questionnaire Responses'!S272),0)),"MISSING"))</f>
        <v/>
      </c>
      <c r="T271" s="183" t="str">
        <f t="array" ref="T271">IF(Table133[[#This Row],[Survey?]]="","",IFERROR(INDEX([2]Rubric!$G$3:$G$94,MATCH(1,([2]Rubric!$E$3:$E$94=T$2)*([2]Rubric!$F$3:$F$94='[2]Questionnaire Responses'!T272),0)),"MISSING"))</f>
        <v/>
      </c>
      <c r="U271" s="206"/>
      <c r="V271" s="183" t="str">
        <f t="array" ref="V271">IF(Table133[[#This Row],[Survey?]]="","",IFERROR(INDEX([2]Rubric!$G$3:$G$94,MATCH(1,([2]Rubric!$E$3:$E$94=V$2)*([2]Rubric!$F$3:$F$94='[2]Questionnaire Responses'!V272),0)),"MISSING"))</f>
        <v/>
      </c>
      <c r="W271" s="206"/>
      <c r="X271" s="183" t="str">
        <f t="array" ref="X271">IF(Table133[[#This Row],[Survey?]]="","",IFERROR(INDEX([2]Rubric!$G$3:$G$94,MATCH(1,([2]Rubric!$E$3:$E$94=X$2)*([2]Rubric!$F$3:$F$94='[2]Questionnaire Responses'!X272),0)),"MISSING"))</f>
        <v/>
      </c>
      <c r="Y271" s="206"/>
      <c r="Z271" s="183" t="str">
        <f t="array" ref="Z271">IF(Table133[[#This Row],[Survey?]]="","",IFERROR(INDEX([2]Rubric!$G$3:$G$94,MATCH(1,([2]Rubric!$E$3:$E$94=Z$2)*([2]Rubric!$F$3:$F$94='[2]Questionnaire Responses'!Z272),0)),"MISSING"))</f>
        <v/>
      </c>
      <c r="AA271" s="183" t="str">
        <f t="array" ref="AA271">IF(Table133[[#This Row],[Survey?]]="","",IFERROR(INDEX([2]Rubric!$G$3:$G$94,MATCH(1,([2]Rubric!$E$3:$E$94=AA$2)*([2]Rubric!$F$3:$F$94='[2]Questionnaire Responses'!AA272),0)),"MISSING"))</f>
        <v/>
      </c>
      <c r="AB271" s="183" t="str">
        <f t="array" ref="AB271">IF(Table133[[#This Row],[Survey?]]="","",IFERROR(INDEX([2]Rubric!$G$3:$G$94,MATCH(1,([2]Rubric!$E$3:$E$94=AB$2)*([2]Rubric!$F$3:$F$94='[2]Questionnaire Responses'!AB272),0)),"MISSING"))</f>
        <v/>
      </c>
      <c r="AC271" s="206"/>
      <c r="AD271" s="183" t="str">
        <f t="array" ref="AD271">IF(Table133[[#This Row],[Survey?]]="","",IFERROR(INDEX([2]Rubric!$G$3:$G$94,MATCH(1,([2]Rubric!$E$3:$E$94=AD$2)*([2]Rubric!$F$3:$F$94='[2]Questionnaire Responses'!AD272),0)),"MISSING"))</f>
        <v/>
      </c>
      <c r="AE271" s="183" t="str">
        <f t="array" ref="AE271">IF(Table133[[#This Row],[Survey?]]="","",IFERROR(INDEX([2]Rubric!$G$3:$G$94,MATCH(1,([2]Rubric!$E$3:$E$94=AE$2)*([2]Rubric!$F$3:$F$94='[2]Questionnaire Responses'!AE272),0)),"MISSING"))</f>
        <v/>
      </c>
      <c r="AF271" s="206"/>
      <c r="AG271" s="183" t="str">
        <f t="array" ref="AG271">IF(Table133[[#This Row],[Survey?]]="","",IFERROR(INDEX([2]Rubric!$G$3:$G$94,MATCH(1,([2]Rubric!$E$3:$E$94=AG$2)*([2]Rubric!$F$3:$F$94='[2]Questionnaire Responses'!AG272),0)),"MISSING"))</f>
        <v/>
      </c>
    </row>
    <row r="272" spans="1:33" ht="12.75" customHeight="1" x14ac:dyDescent="0.25">
      <c r="A272" s="207">
        <f>'[2]Questionnaire Responses'!A273</f>
        <v>0</v>
      </c>
      <c r="B272" s="198">
        <f>'[2]Questionnaire Responses'!B273</f>
        <v>0</v>
      </c>
      <c r="C272" s="153">
        <f>'[2]Questionnaire Responses'!C273</f>
        <v>0</v>
      </c>
      <c r="D272" s="208"/>
      <c r="E272" s="206"/>
      <c r="F272" s="183" t="str">
        <f t="array" ref="F272">IF(Table133[[#This Row],[Survey?]]="","",IFERROR(INDEX([2]Rubric!$G$3:$G$94,MATCH(1,([2]Rubric!$E$3:$E$94=F$2)*([2]Rubric!$F$3:$F$94='[2]Questionnaire Responses'!F273),0)),"MISSING"))</f>
        <v/>
      </c>
      <c r="G272" s="183" t="str">
        <f t="array" ref="G272">IF(Table133[[#This Row],[Survey?]]="","",IFERROR(INDEX([2]Rubric!$G$3:$G$94,MATCH(1,([2]Rubric!$E$3:$E$94=G$2)*([2]Rubric!$F$3:$F$94='[2]Questionnaire Responses'!G273),0)),"MISSING"))</f>
        <v/>
      </c>
      <c r="H272" s="183" t="str">
        <f t="array" ref="H272">IF(Table133[[#This Row],[Survey?]]="","",IFERROR(INDEX([2]Rubric!$G$3:$G$94,MATCH(1,([2]Rubric!$E$3:$E$94=H$2)*([2]Rubric!$F$3:$F$94='[2]Questionnaire Responses'!H273),0)),"MISSING"))</f>
        <v/>
      </c>
      <c r="I272" s="183" t="str">
        <f t="array" ref="I272">IF(Table133[[#This Row],[Survey?]]="","",IFERROR(INDEX([2]Rubric!$G$3:$G$94,MATCH(1,([2]Rubric!$E$3:$E$94=I$2)*([2]Rubric!$F$3:$F$94='[2]Questionnaire Responses'!I273),0)),"MISSING"))</f>
        <v/>
      </c>
      <c r="J272" s="183" t="str">
        <f t="array" ref="J272">IF(Table133[[#This Row],[Survey?]]="","",IFERROR(INDEX([2]Rubric!$G$3:$G$94,MATCH(1,([2]Rubric!$E$3:$E$94=J$2)*([2]Rubric!$F$3:$F$94='[2]Questionnaire Responses'!J273),0)),"MISSING"))</f>
        <v/>
      </c>
      <c r="K272" s="206"/>
      <c r="L272" s="183" t="str">
        <f t="array" ref="L272">IF(Table133[[#This Row],[Survey?]]="","",IFERROR(INDEX([2]Rubric!$G$3:$G$94,MATCH(1,([2]Rubric!$E$3:$E$94=L$2)*([2]Rubric!$F$3:$F$94='[2]Questionnaire Responses'!L273),0)),"MISSING"))</f>
        <v/>
      </c>
      <c r="M272" s="206"/>
      <c r="N272" s="183" t="str">
        <f t="array" ref="N272">IF(Table133[[#This Row],[Survey?]]="","",IFERROR(INDEX([2]Rubric!$G$3:$G$94,MATCH(1,([2]Rubric!$E$3:$E$94=N$2)*([2]Rubric!$F$3:$F$94='[2]Questionnaire Responses'!N273),0)),"MISSING"))</f>
        <v/>
      </c>
      <c r="O272" s="183" t="str">
        <f t="array" ref="O272">IF(Table133[[#This Row],[Survey?]]="","",IFERROR(INDEX([2]Rubric!$G$3:$G$94,MATCH(1,([2]Rubric!$E$3:$E$94=O$2)*([2]Rubric!$F$3:$F$94='[2]Questionnaire Responses'!O273),0)),"MISSING"))</f>
        <v/>
      </c>
      <c r="P272" s="206"/>
      <c r="Q272" s="183" t="str">
        <f t="array" ref="Q272">IF(Table133[[#This Row],[Survey?]]="","",IFERROR(INDEX([2]Rubric!$G$3:$G$94,MATCH(1,([2]Rubric!$E$3:$E$94=Q$2)*([2]Rubric!$F$3:$F$94='[2]Questionnaire Responses'!Q273),0)),"MISSING"))</f>
        <v/>
      </c>
      <c r="R272" s="183" t="str">
        <f t="array" ref="R272">IF(Table133[[#This Row],[Survey?]]="","",IFERROR(INDEX([2]Rubric!$G$3:$G$94,MATCH(1,([2]Rubric!$E$3:$E$94=R$2)*([2]Rubric!$F$3:$F$94='[2]Questionnaire Responses'!R273),0)),"MISSING"))</f>
        <v/>
      </c>
      <c r="S272" s="183" t="str">
        <f t="array" ref="S272">IF(Table133[[#This Row],[Survey?]]="","",IFERROR(INDEX([2]Rubric!$G$3:$G$94,MATCH(1,([2]Rubric!$E$3:$E$94=S$2)*([2]Rubric!$F$3:$F$94='[2]Questionnaire Responses'!S273),0)),"MISSING"))</f>
        <v/>
      </c>
      <c r="T272" s="183" t="str">
        <f t="array" ref="T272">IF(Table133[[#This Row],[Survey?]]="","",IFERROR(INDEX([2]Rubric!$G$3:$G$94,MATCH(1,([2]Rubric!$E$3:$E$94=T$2)*([2]Rubric!$F$3:$F$94='[2]Questionnaire Responses'!T273),0)),"MISSING"))</f>
        <v/>
      </c>
      <c r="U272" s="206"/>
      <c r="V272" s="183" t="str">
        <f t="array" ref="V272">IF(Table133[[#This Row],[Survey?]]="","",IFERROR(INDEX([2]Rubric!$G$3:$G$94,MATCH(1,([2]Rubric!$E$3:$E$94=V$2)*([2]Rubric!$F$3:$F$94='[2]Questionnaire Responses'!V273),0)),"MISSING"))</f>
        <v/>
      </c>
      <c r="W272" s="206"/>
      <c r="X272" s="183" t="str">
        <f t="array" ref="X272">IF(Table133[[#This Row],[Survey?]]="","",IFERROR(INDEX([2]Rubric!$G$3:$G$94,MATCH(1,([2]Rubric!$E$3:$E$94=X$2)*([2]Rubric!$F$3:$F$94='[2]Questionnaire Responses'!X273),0)),"MISSING"))</f>
        <v/>
      </c>
      <c r="Y272" s="206"/>
      <c r="Z272" s="183" t="str">
        <f t="array" ref="Z272">IF(Table133[[#This Row],[Survey?]]="","",IFERROR(INDEX([2]Rubric!$G$3:$G$94,MATCH(1,([2]Rubric!$E$3:$E$94=Z$2)*([2]Rubric!$F$3:$F$94='[2]Questionnaire Responses'!Z273),0)),"MISSING"))</f>
        <v/>
      </c>
      <c r="AA272" s="183" t="str">
        <f t="array" ref="AA272">IF(Table133[[#This Row],[Survey?]]="","",IFERROR(INDEX([2]Rubric!$G$3:$G$94,MATCH(1,([2]Rubric!$E$3:$E$94=AA$2)*([2]Rubric!$F$3:$F$94='[2]Questionnaire Responses'!AA273),0)),"MISSING"))</f>
        <v/>
      </c>
      <c r="AB272" s="183" t="str">
        <f t="array" ref="AB272">IF(Table133[[#This Row],[Survey?]]="","",IFERROR(INDEX([2]Rubric!$G$3:$G$94,MATCH(1,([2]Rubric!$E$3:$E$94=AB$2)*([2]Rubric!$F$3:$F$94='[2]Questionnaire Responses'!AB273),0)),"MISSING"))</f>
        <v/>
      </c>
      <c r="AC272" s="206"/>
      <c r="AD272" s="183" t="str">
        <f t="array" ref="AD272">IF(Table133[[#This Row],[Survey?]]="","",IFERROR(INDEX([2]Rubric!$G$3:$G$94,MATCH(1,([2]Rubric!$E$3:$E$94=AD$2)*([2]Rubric!$F$3:$F$94='[2]Questionnaire Responses'!AD273),0)),"MISSING"))</f>
        <v/>
      </c>
      <c r="AE272" s="183" t="str">
        <f t="array" ref="AE272">IF(Table133[[#This Row],[Survey?]]="","",IFERROR(INDEX([2]Rubric!$G$3:$G$94,MATCH(1,([2]Rubric!$E$3:$E$94=AE$2)*([2]Rubric!$F$3:$F$94='[2]Questionnaire Responses'!AE273),0)),"MISSING"))</f>
        <v/>
      </c>
      <c r="AF272" s="206"/>
      <c r="AG272" s="183" t="str">
        <f t="array" ref="AG272">IF(Table133[[#This Row],[Survey?]]="","",IFERROR(INDEX([2]Rubric!$G$3:$G$94,MATCH(1,([2]Rubric!$E$3:$E$94=AG$2)*([2]Rubric!$F$3:$F$94='[2]Questionnaire Responses'!AG273),0)),"MISSING"))</f>
        <v/>
      </c>
    </row>
    <row r="273" spans="1:33" ht="12.75" customHeight="1" x14ac:dyDescent="0.25">
      <c r="A273" s="207">
        <f>'[2]Questionnaire Responses'!A274</f>
        <v>0</v>
      </c>
      <c r="B273" s="198">
        <f>'[2]Questionnaire Responses'!B274</f>
        <v>0</v>
      </c>
      <c r="C273" s="153">
        <f>'[2]Questionnaire Responses'!C274</f>
        <v>0</v>
      </c>
      <c r="D273" s="208"/>
      <c r="E273" s="206"/>
      <c r="F273" s="183" t="str">
        <f t="array" ref="F273">IF(Table133[[#This Row],[Survey?]]="","",IFERROR(INDEX([2]Rubric!$G$3:$G$94,MATCH(1,([2]Rubric!$E$3:$E$94=F$2)*([2]Rubric!$F$3:$F$94='[2]Questionnaire Responses'!F274),0)),"MISSING"))</f>
        <v/>
      </c>
      <c r="G273" s="183" t="str">
        <f t="array" ref="G273">IF(Table133[[#This Row],[Survey?]]="","",IFERROR(INDEX([2]Rubric!$G$3:$G$94,MATCH(1,([2]Rubric!$E$3:$E$94=G$2)*([2]Rubric!$F$3:$F$94='[2]Questionnaire Responses'!G274),0)),"MISSING"))</f>
        <v/>
      </c>
      <c r="H273" s="183" t="str">
        <f t="array" ref="H273">IF(Table133[[#This Row],[Survey?]]="","",IFERROR(INDEX([2]Rubric!$G$3:$G$94,MATCH(1,([2]Rubric!$E$3:$E$94=H$2)*([2]Rubric!$F$3:$F$94='[2]Questionnaire Responses'!H274),0)),"MISSING"))</f>
        <v/>
      </c>
      <c r="I273" s="183" t="str">
        <f t="array" ref="I273">IF(Table133[[#This Row],[Survey?]]="","",IFERROR(INDEX([2]Rubric!$G$3:$G$94,MATCH(1,([2]Rubric!$E$3:$E$94=I$2)*([2]Rubric!$F$3:$F$94='[2]Questionnaire Responses'!I274),0)),"MISSING"))</f>
        <v/>
      </c>
      <c r="J273" s="183" t="str">
        <f t="array" ref="J273">IF(Table133[[#This Row],[Survey?]]="","",IFERROR(INDEX([2]Rubric!$G$3:$G$94,MATCH(1,([2]Rubric!$E$3:$E$94=J$2)*([2]Rubric!$F$3:$F$94='[2]Questionnaire Responses'!J274),0)),"MISSING"))</f>
        <v/>
      </c>
      <c r="K273" s="206"/>
      <c r="L273" s="183" t="str">
        <f t="array" ref="L273">IF(Table133[[#This Row],[Survey?]]="","",IFERROR(INDEX([2]Rubric!$G$3:$G$94,MATCH(1,([2]Rubric!$E$3:$E$94=L$2)*([2]Rubric!$F$3:$F$94='[2]Questionnaire Responses'!L274),0)),"MISSING"))</f>
        <v/>
      </c>
      <c r="M273" s="206"/>
      <c r="N273" s="183" t="str">
        <f t="array" ref="N273">IF(Table133[[#This Row],[Survey?]]="","",IFERROR(INDEX([2]Rubric!$G$3:$G$94,MATCH(1,([2]Rubric!$E$3:$E$94=N$2)*([2]Rubric!$F$3:$F$94='[2]Questionnaire Responses'!N274),0)),"MISSING"))</f>
        <v/>
      </c>
      <c r="O273" s="183" t="str">
        <f t="array" ref="O273">IF(Table133[[#This Row],[Survey?]]="","",IFERROR(INDEX([2]Rubric!$G$3:$G$94,MATCH(1,([2]Rubric!$E$3:$E$94=O$2)*([2]Rubric!$F$3:$F$94='[2]Questionnaire Responses'!O274),0)),"MISSING"))</f>
        <v/>
      </c>
      <c r="P273" s="206"/>
      <c r="Q273" s="183" t="str">
        <f t="array" ref="Q273">IF(Table133[[#This Row],[Survey?]]="","",IFERROR(INDEX([2]Rubric!$G$3:$G$94,MATCH(1,([2]Rubric!$E$3:$E$94=Q$2)*([2]Rubric!$F$3:$F$94='[2]Questionnaire Responses'!Q274),0)),"MISSING"))</f>
        <v/>
      </c>
      <c r="R273" s="183" t="str">
        <f t="array" ref="R273">IF(Table133[[#This Row],[Survey?]]="","",IFERROR(INDEX([2]Rubric!$G$3:$G$94,MATCH(1,([2]Rubric!$E$3:$E$94=R$2)*([2]Rubric!$F$3:$F$94='[2]Questionnaire Responses'!R274),0)),"MISSING"))</f>
        <v/>
      </c>
      <c r="S273" s="183" t="str">
        <f t="array" ref="S273">IF(Table133[[#This Row],[Survey?]]="","",IFERROR(INDEX([2]Rubric!$G$3:$G$94,MATCH(1,([2]Rubric!$E$3:$E$94=S$2)*([2]Rubric!$F$3:$F$94='[2]Questionnaire Responses'!S274),0)),"MISSING"))</f>
        <v/>
      </c>
      <c r="T273" s="183" t="str">
        <f t="array" ref="T273">IF(Table133[[#This Row],[Survey?]]="","",IFERROR(INDEX([2]Rubric!$G$3:$G$94,MATCH(1,([2]Rubric!$E$3:$E$94=T$2)*([2]Rubric!$F$3:$F$94='[2]Questionnaire Responses'!T274),0)),"MISSING"))</f>
        <v/>
      </c>
      <c r="U273" s="206"/>
      <c r="V273" s="183" t="str">
        <f t="array" ref="V273">IF(Table133[[#This Row],[Survey?]]="","",IFERROR(INDEX([2]Rubric!$G$3:$G$94,MATCH(1,([2]Rubric!$E$3:$E$94=V$2)*([2]Rubric!$F$3:$F$94='[2]Questionnaire Responses'!V274),0)),"MISSING"))</f>
        <v/>
      </c>
      <c r="W273" s="206"/>
      <c r="X273" s="183" t="str">
        <f t="array" ref="X273">IF(Table133[[#This Row],[Survey?]]="","",IFERROR(INDEX([2]Rubric!$G$3:$G$94,MATCH(1,([2]Rubric!$E$3:$E$94=X$2)*([2]Rubric!$F$3:$F$94='[2]Questionnaire Responses'!X274),0)),"MISSING"))</f>
        <v/>
      </c>
      <c r="Y273" s="206"/>
      <c r="Z273" s="183" t="str">
        <f t="array" ref="Z273">IF(Table133[[#This Row],[Survey?]]="","",IFERROR(INDEX([2]Rubric!$G$3:$G$94,MATCH(1,([2]Rubric!$E$3:$E$94=Z$2)*([2]Rubric!$F$3:$F$94='[2]Questionnaire Responses'!Z274),0)),"MISSING"))</f>
        <v/>
      </c>
      <c r="AA273" s="183" t="str">
        <f t="array" ref="AA273">IF(Table133[[#This Row],[Survey?]]="","",IFERROR(INDEX([2]Rubric!$G$3:$G$94,MATCH(1,([2]Rubric!$E$3:$E$94=AA$2)*([2]Rubric!$F$3:$F$94='[2]Questionnaire Responses'!AA274),0)),"MISSING"))</f>
        <v/>
      </c>
      <c r="AB273" s="183" t="str">
        <f t="array" ref="AB273">IF(Table133[[#This Row],[Survey?]]="","",IFERROR(INDEX([2]Rubric!$G$3:$G$94,MATCH(1,([2]Rubric!$E$3:$E$94=AB$2)*([2]Rubric!$F$3:$F$94='[2]Questionnaire Responses'!AB274),0)),"MISSING"))</f>
        <v/>
      </c>
      <c r="AC273" s="206"/>
      <c r="AD273" s="183" t="str">
        <f t="array" ref="AD273">IF(Table133[[#This Row],[Survey?]]="","",IFERROR(INDEX([2]Rubric!$G$3:$G$94,MATCH(1,([2]Rubric!$E$3:$E$94=AD$2)*([2]Rubric!$F$3:$F$94='[2]Questionnaire Responses'!AD274),0)),"MISSING"))</f>
        <v/>
      </c>
      <c r="AE273" s="183" t="str">
        <f t="array" ref="AE273">IF(Table133[[#This Row],[Survey?]]="","",IFERROR(INDEX([2]Rubric!$G$3:$G$94,MATCH(1,([2]Rubric!$E$3:$E$94=AE$2)*([2]Rubric!$F$3:$F$94='[2]Questionnaire Responses'!AE274),0)),"MISSING"))</f>
        <v/>
      </c>
      <c r="AF273" s="206"/>
      <c r="AG273" s="183" t="str">
        <f t="array" ref="AG273">IF(Table133[[#This Row],[Survey?]]="","",IFERROR(INDEX([2]Rubric!$G$3:$G$94,MATCH(1,([2]Rubric!$E$3:$E$94=AG$2)*([2]Rubric!$F$3:$F$94='[2]Questionnaire Responses'!AG274),0)),"MISSING"))</f>
        <v/>
      </c>
    </row>
    <row r="274" spans="1:33" ht="12.75" customHeight="1" x14ac:dyDescent="0.25">
      <c r="A274" s="207">
        <f>'[2]Questionnaire Responses'!A275</f>
        <v>0</v>
      </c>
      <c r="B274" s="198">
        <f>'[2]Questionnaire Responses'!B275</f>
        <v>0</v>
      </c>
      <c r="C274" s="153">
        <f>'[2]Questionnaire Responses'!C275</f>
        <v>0</v>
      </c>
      <c r="D274" s="208"/>
      <c r="E274" s="206"/>
      <c r="F274" s="183" t="str">
        <f t="array" ref="F274">IF(Table133[[#This Row],[Survey?]]="","",IFERROR(INDEX([2]Rubric!$G$3:$G$94,MATCH(1,([2]Rubric!$E$3:$E$94=F$2)*([2]Rubric!$F$3:$F$94='[2]Questionnaire Responses'!F275),0)),"MISSING"))</f>
        <v/>
      </c>
      <c r="G274" s="183" t="str">
        <f t="array" ref="G274">IF(Table133[[#This Row],[Survey?]]="","",IFERROR(INDEX([2]Rubric!$G$3:$G$94,MATCH(1,([2]Rubric!$E$3:$E$94=G$2)*([2]Rubric!$F$3:$F$94='[2]Questionnaire Responses'!G275),0)),"MISSING"))</f>
        <v/>
      </c>
      <c r="H274" s="183" t="str">
        <f t="array" ref="H274">IF(Table133[[#This Row],[Survey?]]="","",IFERROR(INDEX([2]Rubric!$G$3:$G$94,MATCH(1,([2]Rubric!$E$3:$E$94=H$2)*([2]Rubric!$F$3:$F$94='[2]Questionnaire Responses'!H275),0)),"MISSING"))</f>
        <v/>
      </c>
      <c r="I274" s="183" t="str">
        <f t="array" ref="I274">IF(Table133[[#This Row],[Survey?]]="","",IFERROR(INDEX([2]Rubric!$G$3:$G$94,MATCH(1,([2]Rubric!$E$3:$E$94=I$2)*([2]Rubric!$F$3:$F$94='[2]Questionnaire Responses'!I275),0)),"MISSING"))</f>
        <v/>
      </c>
      <c r="J274" s="183" t="str">
        <f t="array" ref="J274">IF(Table133[[#This Row],[Survey?]]="","",IFERROR(INDEX([2]Rubric!$G$3:$G$94,MATCH(1,([2]Rubric!$E$3:$E$94=J$2)*([2]Rubric!$F$3:$F$94='[2]Questionnaire Responses'!J275),0)),"MISSING"))</f>
        <v/>
      </c>
      <c r="K274" s="206"/>
      <c r="L274" s="183" t="str">
        <f t="array" ref="L274">IF(Table133[[#This Row],[Survey?]]="","",IFERROR(INDEX([2]Rubric!$G$3:$G$94,MATCH(1,([2]Rubric!$E$3:$E$94=L$2)*([2]Rubric!$F$3:$F$94='[2]Questionnaire Responses'!L275),0)),"MISSING"))</f>
        <v/>
      </c>
      <c r="M274" s="206"/>
      <c r="N274" s="183" t="str">
        <f t="array" ref="N274">IF(Table133[[#This Row],[Survey?]]="","",IFERROR(INDEX([2]Rubric!$G$3:$G$94,MATCH(1,([2]Rubric!$E$3:$E$94=N$2)*([2]Rubric!$F$3:$F$94='[2]Questionnaire Responses'!N275),0)),"MISSING"))</f>
        <v/>
      </c>
      <c r="O274" s="183" t="str">
        <f t="array" ref="O274">IF(Table133[[#This Row],[Survey?]]="","",IFERROR(INDEX([2]Rubric!$G$3:$G$94,MATCH(1,([2]Rubric!$E$3:$E$94=O$2)*([2]Rubric!$F$3:$F$94='[2]Questionnaire Responses'!O275),0)),"MISSING"))</f>
        <v/>
      </c>
      <c r="P274" s="206"/>
      <c r="Q274" s="183" t="str">
        <f t="array" ref="Q274">IF(Table133[[#This Row],[Survey?]]="","",IFERROR(INDEX([2]Rubric!$G$3:$G$94,MATCH(1,([2]Rubric!$E$3:$E$94=Q$2)*([2]Rubric!$F$3:$F$94='[2]Questionnaire Responses'!Q275),0)),"MISSING"))</f>
        <v/>
      </c>
      <c r="R274" s="183" t="str">
        <f t="array" ref="R274">IF(Table133[[#This Row],[Survey?]]="","",IFERROR(INDEX([2]Rubric!$G$3:$G$94,MATCH(1,([2]Rubric!$E$3:$E$94=R$2)*([2]Rubric!$F$3:$F$94='[2]Questionnaire Responses'!R275),0)),"MISSING"))</f>
        <v/>
      </c>
      <c r="S274" s="183" t="str">
        <f t="array" ref="S274">IF(Table133[[#This Row],[Survey?]]="","",IFERROR(INDEX([2]Rubric!$G$3:$G$94,MATCH(1,([2]Rubric!$E$3:$E$94=S$2)*([2]Rubric!$F$3:$F$94='[2]Questionnaire Responses'!S275),0)),"MISSING"))</f>
        <v/>
      </c>
      <c r="T274" s="183" t="str">
        <f t="array" ref="T274">IF(Table133[[#This Row],[Survey?]]="","",IFERROR(INDEX([2]Rubric!$G$3:$G$94,MATCH(1,([2]Rubric!$E$3:$E$94=T$2)*([2]Rubric!$F$3:$F$94='[2]Questionnaire Responses'!T275),0)),"MISSING"))</f>
        <v/>
      </c>
      <c r="U274" s="206"/>
      <c r="V274" s="183" t="str">
        <f t="array" ref="V274">IF(Table133[[#This Row],[Survey?]]="","",IFERROR(INDEX([2]Rubric!$G$3:$G$94,MATCH(1,([2]Rubric!$E$3:$E$94=V$2)*([2]Rubric!$F$3:$F$94='[2]Questionnaire Responses'!V275),0)),"MISSING"))</f>
        <v/>
      </c>
      <c r="W274" s="206"/>
      <c r="X274" s="183" t="str">
        <f t="array" ref="X274">IF(Table133[[#This Row],[Survey?]]="","",IFERROR(INDEX([2]Rubric!$G$3:$G$94,MATCH(1,([2]Rubric!$E$3:$E$94=X$2)*([2]Rubric!$F$3:$F$94='[2]Questionnaire Responses'!X275),0)),"MISSING"))</f>
        <v/>
      </c>
      <c r="Y274" s="206"/>
      <c r="Z274" s="183" t="str">
        <f t="array" ref="Z274">IF(Table133[[#This Row],[Survey?]]="","",IFERROR(INDEX([2]Rubric!$G$3:$G$94,MATCH(1,([2]Rubric!$E$3:$E$94=Z$2)*([2]Rubric!$F$3:$F$94='[2]Questionnaire Responses'!Z275),0)),"MISSING"))</f>
        <v/>
      </c>
      <c r="AA274" s="183" t="str">
        <f t="array" ref="AA274">IF(Table133[[#This Row],[Survey?]]="","",IFERROR(INDEX([2]Rubric!$G$3:$G$94,MATCH(1,([2]Rubric!$E$3:$E$94=AA$2)*([2]Rubric!$F$3:$F$94='[2]Questionnaire Responses'!AA275),0)),"MISSING"))</f>
        <v/>
      </c>
      <c r="AB274" s="183" t="str">
        <f t="array" ref="AB274">IF(Table133[[#This Row],[Survey?]]="","",IFERROR(INDEX([2]Rubric!$G$3:$G$94,MATCH(1,([2]Rubric!$E$3:$E$94=AB$2)*([2]Rubric!$F$3:$F$94='[2]Questionnaire Responses'!AB275),0)),"MISSING"))</f>
        <v/>
      </c>
      <c r="AC274" s="206"/>
      <c r="AD274" s="183" t="str">
        <f t="array" ref="AD274">IF(Table133[[#This Row],[Survey?]]="","",IFERROR(INDEX([2]Rubric!$G$3:$G$94,MATCH(1,([2]Rubric!$E$3:$E$94=AD$2)*([2]Rubric!$F$3:$F$94='[2]Questionnaire Responses'!AD275),0)),"MISSING"))</f>
        <v/>
      </c>
      <c r="AE274" s="183" t="str">
        <f t="array" ref="AE274">IF(Table133[[#This Row],[Survey?]]="","",IFERROR(INDEX([2]Rubric!$G$3:$G$94,MATCH(1,([2]Rubric!$E$3:$E$94=AE$2)*([2]Rubric!$F$3:$F$94='[2]Questionnaire Responses'!AE275),0)),"MISSING"))</f>
        <v/>
      </c>
      <c r="AF274" s="206"/>
      <c r="AG274" s="183" t="str">
        <f t="array" ref="AG274">IF(Table133[[#This Row],[Survey?]]="","",IFERROR(INDEX([2]Rubric!$G$3:$G$94,MATCH(1,([2]Rubric!$E$3:$E$94=AG$2)*([2]Rubric!$F$3:$F$94='[2]Questionnaire Responses'!AG275),0)),"MISSING"))</f>
        <v/>
      </c>
    </row>
    <row r="275" spans="1:33" ht="12.75" customHeight="1" x14ac:dyDescent="0.25">
      <c r="A275" s="207">
        <f>'[2]Questionnaire Responses'!A276</f>
        <v>0</v>
      </c>
      <c r="B275" s="198">
        <f>'[2]Questionnaire Responses'!B276</f>
        <v>0</v>
      </c>
      <c r="C275" s="153">
        <f>'[2]Questionnaire Responses'!C276</f>
        <v>0</v>
      </c>
      <c r="D275" s="208"/>
      <c r="E275" s="206"/>
      <c r="F275" s="183" t="str">
        <f t="array" ref="F275">IF(Table133[[#This Row],[Survey?]]="","",IFERROR(INDEX([2]Rubric!$G$3:$G$94,MATCH(1,([2]Rubric!$E$3:$E$94=F$2)*([2]Rubric!$F$3:$F$94='[2]Questionnaire Responses'!F276),0)),"MISSING"))</f>
        <v/>
      </c>
      <c r="G275" s="183" t="str">
        <f t="array" ref="G275">IF(Table133[[#This Row],[Survey?]]="","",IFERROR(INDEX([2]Rubric!$G$3:$G$94,MATCH(1,([2]Rubric!$E$3:$E$94=G$2)*([2]Rubric!$F$3:$F$94='[2]Questionnaire Responses'!G276),0)),"MISSING"))</f>
        <v/>
      </c>
      <c r="H275" s="183" t="str">
        <f t="array" ref="H275">IF(Table133[[#This Row],[Survey?]]="","",IFERROR(INDEX([2]Rubric!$G$3:$G$94,MATCH(1,([2]Rubric!$E$3:$E$94=H$2)*([2]Rubric!$F$3:$F$94='[2]Questionnaire Responses'!H276),0)),"MISSING"))</f>
        <v/>
      </c>
      <c r="I275" s="183" t="str">
        <f t="array" ref="I275">IF(Table133[[#This Row],[Survey?]]="","",IFERROR(INDEX([2]Rubric!$G$3:$G$94,MATCH(1,([2]Rubric!$E$3:$E$94=I$2)*([2]Rubric!$F$3:$F$94='[2]Questionnaire Responses'!I276),0)),"MISSING"))</f>
        <v/>
      </c>
      <c r="J275" s="183" t="str">
        <f t="array" ref="J275">IF(Table133[[#This Row],[Survey?]]="","",IFERROR(INDEX([2]Rubric!$G$3:$G$94,MATCH(1,([2]Rubric!$E$3:$E$94=J$2)*([2]Rubric!$F$3:$F$94='[2]Questionnaire Responses'!J276),0)),"MISSING"))</f>
        <v/>
      </c>
      <c r="K275" s="206"/>
      <c r="L275" s="183" t="str">
        <f t="array" ref="L275">IF(Table133[[#This Row],[Survey?]]="","",IFERROR(INDEX([2]Rubric!$G$3:$G$94,MATCH(1,([2]Rubric!$E$3:$E$94=L$2)*([2]Rubric!$F$3:$F$94='[2]Questionnaire Responses'!L276),0)),"MISSING"))</f>
        <v/>
      </c>
      <c r="M275" s="206"/>
      <c r="N275" s="183" t="str">
        <f t="array" ref="N275">IF(Table133[[#This Row],[Survey?]]="","",IFERROR(INDEX([2]Rubric!$G$3:$G$94,MATCH(1,([2]Rubric!$E$3:$E$94=N$2)*([2]Rubric!$F$3:$F$94='[2]Questionnaire Responses'!N276),0)),"MISSING"))</f>
        <v/>
      </c>
      <c r="O275" s="183" t="str">
        <f t="array" ref="O275">IF(Table133[[#This Row],[Survey?]]="","",IFERROR(INDEX([2]Rubric!$G$3:$G$94,MATCH(1,([2]Rubric!$E$3:$E$94=O$2)*([2]Rubric!$F$3:$F$94='[2]Questionnaire Responses'!O276),0)),"MISSING"))</f>
        <v/>
      </c>
      <c r="P275" s="206"/>
      <c r="Q275" s="183" t="str">
        <f t="array" ref="Q275">IF(Table133[[#This Row],[Survey?]]="","",IFERROR(INDEX([2]Rubric!$G$3:$G$94,MATCH(1,([2]Rubric!$E$3:$E$94=Q$2)*([2]Rubric!$F$3:$F$94='[2]Questionnaire Responses'!Q276),0)),"MISSING"))</f>
        <v/>
      </c>
      <c r="R275" s="183" t="str">
        <f t="array" ref="R275">IF(Table133[[#This Row],[Survey?]]="","",IFERROR(INDEX([2]Rubric!$G$3:$G$94,MATCH(1,([2]Rubric!$E$3:$E$94=R$2)*([2]Rubric!$F$3:$F$94='[2]Questionnaire Responses'!R276),0)),"MISSING"))</f>
        <v/>
      </c>
      <c r="S275" s="183" t="str">
        <f t="array" ref="S275">IF(Table133[[#This Row],[Survey?]]="","",IFERROR(INDEX([2]Rubric!$G$3:$G$94,MATCH(1,([2]Rubric!$E$3:$E$94=S$2)*([2]Rubric!$F$3:$F$94='[2]Questionnaire Responses'!S276),0)),"MISSING"))</f>
        <v/>
      </c>
      <c r="T275" s="183" t="str">
        <f t="array" ref="T275">IF(Table133[[#This Row],[Survey?]]="","",IFERROR(INDEX([2]Rubric!$G$3:$G$94,MATCH(1,([2]Rubric!$E$3:$E$94=T$2)*([2]Rubric!$F$3:$F$94='[2]Questionnaire Responses'!T276),0)),"MISSING"))</f>
        <v/>
      </c>
      <c r="U275" s="206"/>
      <c r="V275" s="183" t="str">
        <f t="array" ref="V275">IF(Table133[[#This Row],[Survey?]]="","",IFERROR(INDEX([2]Rubric!$G$3:$G$94,MATCH(1,([2]Rubric!$E$3:$E$94=V$2)*([2]Rubric!$F$3:$F$94='[2]Questionnaire Responses'!V276),0)),"MISSING"))</f>
        <v/>
      </c>
      <c r="W275" s="206"/>
      <c r="X275" s="183" t="str">
        <f t="array" ref="X275">IF(Table133[[#This Row],[Survey?]]="","",IFERROR(INDEX([2]Rubric!$G$3:$G$94,MATCH(1,([2]Rubric!$E$3:$E$94=X$2)*([2]Rubric!$F$3:$F$94='[2]Questionnaire Responses'!X276),0)),"MISSING"))</f>
        <v/>
      </c>
      <c r="Y275" s="206"/>
      <c r="Z275" s="183" t="str">
        <f t="array" ref="Z275">IF(Table133[[#This Row],[Survey?]]="","",IFERROR(INDEX([2]Rubric!$G$3:$G$94,MATCH(1,([2]Rubric!$E$3:$E$94=Z$2)*([2]Rubric!$F$3:$F$94='[2]Questionnaire Responses'!Z276),0)),"MISSING"))</f>
        <v/>
      </c>
      <c r="AA275" s="183" t="str">
        <f t="array" ref="AA275">IF(Table133[[#This Row],[Survey?]]="","",IFERROR(INDEX([2]Rubric!$G$3:$G$94,MATCH(1,([2]Rubric!$E$3:$E$94=AA$2)*([2]Rubric!$F$3:$F$94='[2]Questionnaire Responses'!AA276),0)),"MISSING"))</f>
        <v/>
      </c>
      <c r="AB275" s="183" t="str">
        <f t="array" ref="AB275">IF(Table133[[#This Row],[Survey?]]="","",IFERROR(INDEX([2]Rubric!$G$3:$G$94,MATCH(1,([2]Rubric!$E$3:$E$94=AB$2)*([2]Rubric!$F$3:$F$94='[2]Questionnaire Responses'!AB276),0)),"MISSING"))</f>
        <v/>
      </c>
      <c r="AC275" s="206"/>
      <c r="AD275" s="183" t="str">
        <f t="array" ref="AD275">IF(Table133[[#This Row],[Survey?]]="","",IFERROR(INDEX([2]Rubric!$G$3:$G$94,MATCH(1,([2]Rubric!$E$3:$E$94=AD$2)*([2]Rubric!$F$3:$F$94='[2]Questionnaire Responses'!AD276),0)),"MISSING"))</f>
        <v/>
      </c>
      <c r="AE275" s="183" t="str">
        <f t="array" ref="AE275">IF(Table133[[#This Row],[Survey?]]="","",IFERROR(INDEX([2]Rubric!$G$3:$G$94,MATCH(1,([2]Rubric!$E$3:$E$94=AE$2)*([2]Rubric!$F$3:$F$94='[2]Questionnaire Responses'!AE276),0)),"MISSING"))</f>
        <v/>
      </c>
      <c r="AF275" s="206"/>
      <c r="AG275" s="183" t="str">
        <f t="array" ref="AG275">IF(Table133[[#This Row],[Survey?]]="","",IFERROR(INDEX([2]Rubric!$G$3:$G$94,MATCH(1,([2]Rubric!$E$3:$E$94=AG$2)*([2]Rubric!$F$3:$F$94='[2]Questionnaire Responses'!AG276),0)),"MISSING"))</f>
        <v/>
      </c>
    </row>
    <row r="276" spans="1:33" ht="12.75" customHeight="1" x14ac:dyDescent="0.25">
      <c r="A276" s="207">
        <f>'[2]Questionnaire Responses'!A277</f>
        <v>0</v>
      </c>
      <c r="B276" s="198">
        <f>'[2]Questionnaire Responses'!B277</f>
        <v>0</v>
      </c>
      <c r="C276" s="153">
        <f>'[2]Questionnaire Responses'!C277</f>
        <v>0</v>
      </c>
      <c r="D276" s="208"/>
      <c r="E276" s="206"/>
      <c r="F276" s="183" t="str">
        <f t="array" ref="F276">IF(Table133[[#This Row],[Survey?]]="","",IFERROR(INDEX([2]Rubric!$G$3:$G$94,MATCH(1,([2]Rubric!$E$3:$E$94=F$2)*([2]Rubric!$F$3:$F$94='[2]Questionnaire Responses'!F277),0)),"MISSING"))</f>
        <v/>
      </c>
      <c r="G276" s="183" t="str">
        <f t="array" ref="G276">IF(Table133[[#This Row],[Survey?]]="","",IFERROR(INDEX([2]Rubric!$G$3:$G$94,MATCH(1,([2]Rubric!$E$3:$E$94=G$2)*([2]Rubric!$F$3:$F$94='[2]Questionnaire Responses'!G277),0)),"MISSING"))</f>
        <v/>
      </c>
      <c r="H276" s="183" t="str">
        <f t="array" ref="H276">IF(Table133[[#This Row],[Survey?]]="","",IFERROR(INDEX([2]Rubric!$G$3:$G$94,MATCH(1,([2]Rubric!$E$3:$E$94=H$2)*([2]Rubric!$F$3:$F$94='[2]Questionnaire Responses'!H277),0)),"MISSING"))</f>
        <v/>
      </c>
      <c r="I276" s="183" t="str">
        <f t="array" ref="I276">IF(Table133[[#This Row],[Survey?]]="","",IFERROR(INDEX([2]Rubric!$G$3:$G$94,MATCH(1,([2]Rubric!$E$3:$E$94=I$2)*([2]Rubric!$F$3:$F$94='[2]Questionnaire Responses'!I277),0)),"MISSING"))</f>
        <v/>
      </c>
      <c r="J276" s="183" t="str">
        <f t="array" ref="J276">IF(Table133[[#This Row],[Survey?]]="","",IFERROR(INDEX([2]Rubric!$G$3:$G$94,MATCH(1,([2]Rubric!$E$3:$E$94=J$2)*([2]Rubric!$F$3:$F$94='[2]Questionnaire Responses'!J277),0)),"MISSING"))</f>
        <v/>
      </c>
      <c r="K276" s="206"/>
      <c r="L276" s="183" t="str">
        <f t="array" ref="L276">IF(Table133[[#This Row],[Survey?]]="","",IFERROR(INDEX([2]Rubric!$G$3:$G$94,MATCH(1,([2]Rubric!$E$3:$E$94=L$2)*([2]Rubric!$F$3:$F$94='[2]Questionnaire Responses'!L277),0)),"MISSING"))</f>
        <v/>
      </c>
      <c r="M276" s="206"/>
      <c r="N276" s="183" t="str">
        <f t="array" ref="N276">IF(Table133[[#This Row],[Survey?]]="","",IFERROR(INDEX([2]Rubric!$G$3:$G$94,MATCH(1,([2]Rubric!$E$3:$E$94=N$2)*([2]Rubric!$F$3:$F$94='[2]Questionnaire Responses'!N277),0)),"MISSING"))</f>
        <v/>
      </c>
      <c r="O276" s="183" t="str">
        <f t="array" ref="O276">IF(Table133[[#This Row],[Survey?]]="","",IFERROR(INDEX([2]Rubric!$G$3:$G$94,MATCH(1,([2]Rubric!$E$3:$E$94=O$2)*([2]Rubric!$F$3:$F$94='[2]Questionnaire Responses'!O277),0)),"MISSING"))</f>
        <v/>
      </c>
      <c r="P276" s="206"/>
      <c r="Q276" s="183" t="str">
        <f t="array" ref="Q276">IF(Table133[[#This Row],[Survey?]]="","",IFERROR(INDEX([2]Rubric!$G$3:$G$94,MATCH(1,([2]Rubric!$E$3:$E$94=Q$2)*([2]Rubric!$F$3:$F$94='[2]Questionnaire Responses'!Q277),0)),"MISSING"))</f>
        <v/>
      </c>
      <c r="R276" s="183" t="str">
        <f t="array" ref="R276">IF(Table133[[#This Row],[Survey?]]="","",IFERROR(INDEX([2]Rubric!$G$3:$G$94,MATCH(1,([2]Rubric!$E$3:$E$94=R$2)*([2]Rubric!$F$3:$F$94='[2]Questionnaire Responses'!R277),0)),"MISSING"))</f>
        <v/>
      </c>
      <c r="S276" s="183" t="str">
        <f t="array" ref="S276">IF(Table133[[#This Row],[Survey?]]="","",IFERROR(INDEX([2]Rubric!$G$3:$G$94,MATCH(1,([2]Rubric!$E$3:$E$94=S$2)*([2]Rubric!$F$3:$F$94='[2]Questionnaire Responses'!S277),0)),"MISSING"))</f>
        <v/>
      </c>
      <c r="T276" s="183" t="str">
        <f t="array" ref="T276">IF(Table133[[#This Row],[Survey?]]="","",IFERROR(INDEX([2]Rubric!$G$3:$G$94,MATCH(1,([2]Rubric!$E$3:$E$94=T$2)*([2]Rubric!$F$3:$F$94='[2]Questionnaire Responses'!T277),0)),"MISSING"))</f>
        <v/>
      </c>
      <c r="U276" s="206"/>
      <c r="V276" s="183" t="str">
        <f t="array" ref="V276">IF(Table133[[#This Row],[Survey?]]="","",IFERROR(INDEX([2]Rubric!$G$3:$G$94,MATCH(1,([2]Rubric!$E$3:$E$94=V$2)*([2]Rubric!$F$3:$F$94='[2]Questionnaire Responses'!V277),0)),"MISSING"))</f>
        <v/>
      </c>
      <c r="W276" s="206"/>
      <c r="X276" s="183" t="str">
        <f t="array" ref="X276">IF(Table133[[#This Row],[Survey?]]="","",IFERROR(INDEX([2]Rubric!$G$3:$G$94,MATCH(1,([2]Rubric!$E$3:$E$94=X$2)*([2]Rubric!$F$3:$F$94='[2]Questionnaire Responses'!X277),0)),"MISSING"))</f>
        <v/>
      </c>
      <c r="Y276" s="206"/>
      <c r="Z276" s="183" t="str">
        <f t="array" ref="Z276">IF(Table133[[#This Row],[Survey?]]="","",IFERROR(INDEX([2]Rubric!$G$3:$G$94,MATCH(1,([2]Rubric!$E$3:$E$94=Z$2)*([2]Rubric!$F$3:$F$94='[2]Questionnaire Responses'!Z277),0)),"MISSING"))</f>
        <v/>
      </c>
      <c r="AA276" s="183" t="str">
        <f t="array" ref="AA276">IF(Table133[[#This Row],[Survey?]]="","",IFERROR(INDEX([2]Rubric!$G$3:$G$94,MATCH(1,([2]Rubric!$E$3:$E$94=AA$2)*([2]Rubric!$F$3:$F$94='[2]Questionnaire Responses'!AA277),0)),"MISSING"))</f>
        <v/>
      </c>
      <c r="AB276" s="183" t="str">
        <f t="array" ref="AB276">IF(Table133[[#This Row],[Survey?]]="","",IFERROR(INDEX([2]Rubric!$G$3:$G$94,MATCH(1,([2]Rubric!$E$3:$E$94=AB$2)*([2]Rubric!$F$3:$F$94='[2]Questionnaire Responses'!AB277),0)),"MISSING"))</f>
        <v/>
      </c>
      <c r="AC276" s="206"/>
      <c r="AD276" s="183" t="str">
        <f t="array" ref="AD276">IF(Table133[[#This Row],[Survey?]]="","",IFERROR(INDEX([2]Rubric!$G$3:$G$94,MATCH(1,([2]Rubric!$E$3:$E$94=AD$2)*([2]Rubric!$F$3:$F$94='[2]Questionnaire Responses'!AD277),0)),"MISSING"))</f>
        <v/>
      </c>
      <c r="AE276" s="183" t="str">
        <f t="array" ref="AE276">IF(Table133[[#This Row],[Survey?]]="","",IFERROR(INDEX([2]Rubric!$G$3:$G$94,MATCH(1,([2]Rubric!$E$3:$E$94=AE$2)*([2]Rubric!$F$3:$F$94='[2]Questionnaire Responses'!AE277),0)),"MISSING"))</f>
        <v/>
      </c>
      <c r="AF276" s="206"/>
      <c r="AG276" s="183" t="str">
        <f t="array" ref="AG276">IF(Table133[[#This Row],[Survey?]]="","",IFERROR(INDEX([2]Rubric!$G$3:$G$94,MATCH(1,([2]Rubric!$E$3:$E$94=AG$2)*([2]Rubric!$F$3:$F$94='[2]Questionnaire Responses'!AG277),0)),"MISSING"))</f>
        <v/>
      </c>
    </row>
    <row r="277" spans="1:33" ht="12.75" customHeight="1" x14ac:dyDescent="0.25">
      <c r="A277" s="207">
        <f>'[2]Questionnaire Responses'!A278</f>
        <v>0</v>
      </c>
      <c r="B277" s="198">
        <f>'[2]Questionnaire Responses'!B278</f>
        <v>0</v>
      </c>
      <c r="C277" s="153">
        <f>'[2]Questionnaire Responses'!C278</f>
        <v>0</v>
      </c>
      <c r="D277" s="208"/>
      <c r="E277" s="206"/>
      <c r="F277" s="183" t="str">
        <f t="array" ref="F277">IF(Table133[[#This Row],[Survey?]]="","",IFERROR(INDEX([2]Rubric!$G$3:$G$94,MATCH(1,([2]Rubric!$E$3:$E$94=F$2)*([2]Rubric!$F$3:$F$94='[2]Questionnaire Responses'!F278),0)),"MISSING"))</f>
        <v/>
      </c>
      <c r="G277" s="183" t="str">
        <f t="array" ref="G277">IF(Table133[[#This Row],[Survey?]]="","",IFERROR(INDEX([2]Rubric!$G$3:$G$94,MATCH(1,([2]Rubric!$E$3:$E$94=G$2)*([2]Rubric!$F$3:$F$94='[2]Questionnaire Responses'!G278),0)),"MISSING"))</f>
        <v/>
      </c>
      <c r="H277" s="183" t="str">
        <f t="array" ref="H277">IF(Table133[[#This Row],[Survey?]]="","",IFERROR(INDEX([2]Rubric!$G$3:$G$94,MATCH(1,([2]Rubric!$E$3:$E$94=H$2)*([2]Rubric!$F$3:$F$94='[2]Questionnaire Responses'!H278),0)),"MISSING"))</f>
        <v/>
      </c>
      <c r="I277" s="183" t="str">
        <f t="array" ref="I277">IF(Table133[[#This Row],[Survey?]]="","",IFERROR(INDEX([2]Rubric!$G$3:$G$94,MATCH(1,([2]Rubric!$E$3:$E$94=I$2)*([2]Rubric!$F$3:$F$94='[2]Questionnaire Responses'!I278),0)),"MISSING"))</f>
        <v/>
      </c>
      <c r="J277" s="183" t="str">
        <f t="array" ref="J277">IF(Table133[[#This Row],[Survey?]]="","",IFERROR(INDEX([2]Rubric!$G$3:$G$94,MATCH(1,([2]Rubric!$E$3:$E$94=J$2)*([2]Rubric!$F$3:$F$94='[2]Questionnaire Responses'!J278),0)),"MISSING"))</f>
        <v/>
      </c>
      <c r="K277" s="206"/>
      <c r="L277" s="183" t="str">
        <f t="array" ref="L277">IF(Table133[[#This Row],[Survey?]]="","",IFERROR(INDEX([2]Rubric!$G$3:$G$94,MATCH(1,([2]Rubric!$E$3:$E$94=L$2)*([2]Rubric!$F$3:$F$94='[2]Questionnaire Responses'!L278),0)),"MISSING"))</f>
        <v/>
      </c>
      <c r="M277" s="206"/>
      <c r="N277" s="183" t="str">
        <f t="array" ref="N277">IF(Table133[[#This Row],[Survey?]]="","",IFERROR(INDEX([2]Rubric!$G$3:$G$94,MATCH(1,([2]Rubric!$E$3:$E$94=N$2)*([2]Rubric!$F$3:$F$94='[2]Questionnaire Responses'!N278),0)),"MISSING"))</f>
        <v/>
      </c>
      <c r="O277" s="183" t="str">
        <f t="array" ref="O277">IF(Table133[[#This Row],[Survey?]]="","",IFERROR(INDEX([2]Rubric!$G$3:$G$94,MATCH(1,([2]Rubric!$E$3:$E$94=O$2)*([2]Rubric!$F$3:$F$94='[2]Questionnaire Responses'!O278),0)),"MISSING"))</f>
        <v/>
      </c>
      <c r="P277" s="206"/>
      <c r="Q277" s="183" t="str">
        <f t="array" ref="Q277">IF(Table133[[#This Row],[Survey?]]="","",IFERROR(INDEX([2]Rubric!$G$3:$G$94,MATCH(1,([2]Rubric!$E$3:$E$94=Q$2)*([2]Rubric!$F$3:$F$94='[2]Questionnaire Responses'!Q278),0)),"MISSING"))</f>
        <v/>
      </c>
      <c r="R277" s="183" t="str">
        <f t="array" ref="R277">IF(Table133[[#This Row],[Survey?]]="","",IFERROR(INDEX([2]Rubric!$G$3:$G$94,MATCH(1,([2]Rubric!$E$3:$E$94=R$2)*([2]Rubric!$F$3:$F$94='[2]Questionnaire Responses'!R278),0)),"MISSING"))</f>
        <v/>
      </c>
      <c r="S277" s="183" t="str">
        <f t="array" ref="S277">IF(Table133[[#This Row],[Survey?]]="","",IFERROR(INDEX([2]Rubric!$G$3:$G$94,MATCH(1,([2]Rubric!$E$3:$E$94=S$2)*([2]Rubric!$F$3:$F$94='[2]Questionnaire Responses'!S278),0)),"MISSING"))</f>
        <v/>
      </c>
      <c r="T277" s="183" t="str">
        <f t="array" ref="T277">IF(Table133[[#This Row],[Survey?]]="","",IFERROR(INDEX([2]Rubric!$G$3:$G$94,MATCH(1,([2]Rubric!$E$3:$E$94=T$2)*([2]Rubric!$F$3:$F$94='[2]Questionnaire Responses'!T278),0)),"MISSING"))</f>
        <v/>
      </c>
      <c r="U277" s="206"/>
      <c r="V277" s="183" t="str">
        <f t="array" ref="V277">IF(Table133[[#This Row],[Survey?]]="","",IFERROR(INDEX([2]Rubric!$G$3:$G$94,MATCH(1,([2]Rubric!$E$3:$E$94=V$2)*([2]Rubric!$F$3:$F$94='[2]Questionnaire Responses'!V278),0)),"MISSING"))</f>
        <v/>
      </c>
      <c r="W277" s="206"/>
      <c r="X277" s="183" t="str">
        <f t="array" ref="X277">IF(Table133[[#This Row],[Survey?]]="","",IFERROR(INDEX([2]Rubric!$G$3:$G$94,MATCH(1,([2]Rubric!$E$3:$E$94=X$2)*([2]Rubric!$F$3:$F$94='[2]Questionnaire Responses'!X278),0)),"MISSING"))</f>
        <v/>
      </c>
      <c r="Y277" s="206"/>
      <c r="Z277" s="183" t="str">
        <f t="array" ref="Z277">IF(Table133[[#This Row],[Survey?]]="","",IFERROR(INDEX([2]Rubric!$G$3:$G$94,MATCH(1,([2]Rubric!$E$3:$E$94=Z$2)*([2]Rubric!$F$3:$F$94='[2]Questionnaire Responses'!Z278),0)),"MISSING"))</f>
        <v/>
      </c>
      <c r="AA277" s="183" t="str">
        <f t="array" ref="AA277">IF(Table133[[#This Row],[Survey?]]="","",IFERROR(INDEX([2]Rubric!$G$3:$G$94,MATCH(1,([2]Rubric!$E$3:$E$94=AA$2)*([2]Rubric!$F$3:$F$94='[2]Questionnaire Responses'!AA278),0)),"MISSING"))</f>
        <v/>
      </c>
      <c r="AB277" s="183" t="str">
        <f t="array" ref="AB277">IF(Table133[[#This Row],[Survey?]]="","",IFERROR(INDEX([2]Rubric!$G$3:$G$94,MATCH(1,([2]Rubric!$E$3:$E$94=AB$2)*([2]Rubric!$F$3:$F$94='[2]Questionnaire Responses'!AB278),0)),"MISSING"))</f>
        <v/>
      </c>
      <c r="AC277" s="206"/>
      <c r="AD277" s="183" t="str">
        <f t="array" ref="AD277">IF(Table133[[#This Row],[Survey?]]="","",IFERROR(INDEX([2]Rubric!$G$3:$G$94,MATCH(1,([2]Rubric!$E$3:$E$94=AD$2)*([2]Rubric!$F$3:$F$94='[2]Questionnaire Responses'!AD278),0)),"MISSING"))</f>
        <v/>
      </c>
      <c r="AE277" s="183" t="str">
        <f t="array" ref="AE277">IF(Table133[[#This Row],[Survey?]]="","",IFERROR(INDEX([2]Rubric!$G$3:$G$94,MATCH(1,([2]Rubric!$E$3:$E$94=AE$2)*([2]Rubric!$F$3:$F$94='[2]Questionnaire Responses'!AE278),0)),"MISSING"))</f>
        <v/>
      </c>
      <c r="AF277" s="206"/>
      <c r="AG277" s="183" t="str">
        <f t="array" ref="AG277">IF(Table133[[#This Row],[Survey?]]="","",IFERROR(INDEX([2]Rubric!$G$3:$G$94,MATCH(1,([2]Rubric!$E$3:$E$94=AG$2)*([2]Rubric!$F$3:$F$94='[2]Questionnaire Responses'!AG278),0)),"MISSING"))</f>
        <v/>
      </c>
    </row>
    <row r="278" spans="1:33" ht="12.75" customHeight="1" x14ac:dyDescent="0.25">
      <c r="A278" s="207">
        <f>'[2]Questionnaire Responses'!A279</f>
        <v>0</v>
      </c>
      <c r="B278" s="198">
        <f>'[2]Questionnaire Responses'!B279</f>
        <v>0</v>
      </c>
      <c r="C278" s="153">
        <f>'[2]Questionnaire Responses'!C279</f>
        <v>0</v>
      </c>
      <c r="D278" s="208"/>
      <c r="E278" s="206"/>
      <c r="F278" s="183" t="str">
        <f t="array" ref="F278">IF(Table133[[#This Row],[Survey?]]="","",IFERROR(INDEX([2]Rubric!$G$3:$G$94,MATCH(1,([2]Rubric!$E$3:$E$94=F$2)*([2]Rubric!$F$3:$F$94='[2]Questionnaire Responses'!F279),0)),"MISSING"))</f>
        <v/>
      </c>
      <c r="G278" s="183" t="str">
        <f t="array" ref="G278">IF(Table133[[#This Row],[Survey?]]="","",IFERROR(INDEX([2]Rubric!$G$3:$G$94,MATCH(1,([2]Rubric!$E$3:$E$94=G$2)*([2]Rubric!$F$3:$F$94='[2]Questionnaire Responses'!G279),0)),"MISSING"))</f>
        <v/>
      </c>
      <c r="H278" s="183" t="str">
        <f t="array" ref="H278">IF(Table133[[#This Row],[Survey?]]="","",IFERROR(INDEX([2]Rubric!$G$3:$G$94,MATCH(1,([2]Rubric!$E$3:$E$94=H$2)*([2]Rubric!$F$3:$F$94='[2]Questionnaire Responses'!H279),0)),"MISSING"))</f>
        <v/>
      </c>
      <c r="I278" s="183" t="str">
        <f t="array" ref="I278">IF(Table133[[#This Row],[Survey?]]="","",IFERROR(INDEX([2]Rubric!$G$3:$G$94,MATCH(1,([2]Rubric!$E$3:$E$94=I$2)*([2]Rubric!$F$3:$F$94='[2]Questionnaire Responses'!I279),0)),"MISSING"))</f>
        <v/>
      </c>
      <c r="J278" s="183" t="str">
        <f t="array" ref="J278">IF(Table133[[#This Row],[Survey?]]="","",IFERROR(INDEX([2]Rubric!$G$3:$G$94,MATCH(1,([2]Rubric!$E$3:$E$94=J$2)*([2]Rubric!$F$3:$F$94='[2]Questionnaire Responses'!J279),0)),"MISSING"))</f>
        <v/>
      </c>
      <c r="K278" s="206"/>
      <c r="L278" s="183" t="str">
        <f t="array" ref="L278">IF(Table133[[#This Row],[Survey?]]="","",IFERROR(INDEX([2]Rubric!$G$3:$G$94,MATCH(1,([2]Rubric!$E$3:$E$94=L$2)*([2]Rubric!$F$3:$F$94='[2]Questionnaire Responses'!L279),0)),"MISSING"))</f>
        <v/>
      </c>
      <c r="M278" s="206"/>
      <c r="N278" s="183" t="str">
        <f t="array" ref="N278">IF(Table133[[#This Row],[Survey?]]="","",IFERROR(INDEX([2]Rubric!$G$3:$G$94,MATCH(1,([2]Rubric!$E$3:$E$94=N$2)*([2]Rubric!$F$3:$F$94='[2]Questionnaire Responses'!N279),0)),"MISSING"))</f>
        <v/>
      </c>
      <c r="O278" s="183" t="str">
        <f t="array" ref="O278">IF(Table133[[#This Row],[Survey?]]="","",IFERROR(INDEX([2]Rubric!$G$3:$G$94,MATCH(1,([2]Rubric!$E$3:$E$94=O$2)*([2]Rubric!$F$3:$F$94='[2]Questionnaire Responses'!O279),0)),"MISSING"))</f>
        <v/>
      </c>
      <c r="P278" s="206"/>
      <c r="Q278" s="183" t="str">
        <f t="array" ref="Q278">IF(Table133[[#This Row],[Survey?]]="","",IFERROR(INDEX([2]Rubric!$G$3:$G$94,MATCH(1,([2]Rubric!$E$3:$E$94=Q$2)*([2]Rubric!$F$3:$F$94='[2]Questionnaire Responses'!Q279),0)),"MISSING"))</f>
        <v/>
      </c>
      <c r="R278" s="183" t="str">
        <f t="array" ref="R278">IF(Table133[[#This Row],[Survey?]]="","",IFERROR(INDEX([2]Rubric!$G$3:$G$94,MATCH(1,([2]Rubric!$E$3:$E$94=R$2)*([2]Rubric!$F$3:$F$94='[2]Questionnaire Responses'!R279),0)),"MISSING"))</f>
        <v/>
      </c>
      <c r="S278" s="183" t="str">
        <f t="array" ref="S278">IF(Table133[[#This Row],[Survey?]]="","",IFERROR(INDEX([2]Rubric!$G$3:$G$94,MATCH(1,([2]Rubric!$E$3:$E$94=S$2)*([2]Rubric!$F$3:$F$94='[2]Questionnaire Responses'!S279),0)),"MISSING"))</f>
        <v/>
      </c>
      <c r="T278" s="183" t="str">
        <f t="array" ref="T278">IF(Table133[[#This Row],[Survey?]]="","",IFERROR(INDEX([2]Rubric!$G$3:$G$94,MATCH(1,([2]Rubric!$E$3:$E$94=T$2)*([2]Rubric!$F$3:$F$94='[2]Questionnaire Responses'!T279),0)),"MISSING"))</f>
        <v/>
      </c>
      <c r="U278" s="206"/>
      <c r="V278" s="183" t="str">
        <f t="array" ref="V278">IF(Table133[[#This Row],[Survey?]]="","",IFERROR(INDEX([2]Rubric!$G$3:$G$94,MATCH(1,([2]Rubric!$E$3:$E$94=V$2)*([2]Rubric!$F$3:$F$94='[2]Questionnaire Responses'!V279),0)),"MISSING"))</f>
        <v/>
      </c>
      <c r="W278" s="206"/>
      <c r="X278" s="183" t="str">
        <f t="array" ref="X278">IF(Table133[[#This Row],[Survey?]]="","",IFERROR(INDEX([2]Rubric!$G$3:$G$94,MATCH(1,([2]Rubric!$E$3:$E$94=X$2)*([2]Rubric!$F$3:$F$94='[2]Questionnaire Responses'!X279),0)),"MISSING"))</f>
        <v/>
      </c>
      <c r="Y278" s="206"/>
      <c r="Z278" s="183" t="str">
        <f t="array" ref="Z278">IF(Table133[[#This Row],[Survey?]]="","",IFERROR(INDEX([2]Rubric!$G$3:$G$94,MATCH(1,([2]Rubric!$E$3:$E$94=Z$2)*([2]Rubric!$F$3:$F$94='[2]Questionnaire Responses'!Z279),0)),"MISSING"))</f>
        <v/>
      </c>
      <c r="AA278" s="183" t="str">
        <f t="array" ref="AA278">IF(Table133[[#This Row],[Survey?]]="","",IFERROR(INDEX([2]Rubric!$G$3:$G$94,MATCH(1,([2]Rubric!$E$3:$E$94=AA$2)*([2]Rubric!$F$3:$F$94='[2]Questionnaire Responses'!AA279),0)),"MISSING"))</f>
        <v/>
      </c>
      <c r="AB278" s="183" t="str">
        <f t="array" ref="AB278">IF(Table133[[#This Row],[Survey?]]="","",IFERROR(INDEX([2]Rubric!$G$3:$G$94,MATCH(1,([2]Rubric!$E$3:$E$94=AB$2)*([2]Rubric!$F$3:$F$94='[2]Questionnaire Responses'!AB279),0)),"MISSING"))</f>
        <v/>
      </c>
      <c r="AC278" s="206"/>
      <c r="AD278" s="183" t="str">
        <f t="array" ref="AD278">IF(Table133[[#This Row],[Survey?]]="","",IFERROR(INDEX([2]Rubric!$G$3:$G$94,MATCH(1,([2]Rubric!$E$3:$E$94=AD$2)*([2]Rubric!$F$3:$F$94='[2]Questionnaire Responses'!AD279),0)),"MISSING"))</f>
        <v/>
      </c>
      <c r="AE278" s="183" t="str">
        <f t="array" ref="AE278">IF(Table133[[#This Row],[Survey?]]="","",IFERROR(INDEX([2]Rubric!$G$3:$G$94,MATCH(1,([2]Rubric!$E$3:$E$94=AE$2)*([2]Rubric!$F$3:$F$94='[2]Questionnaire Responses'!AE279),0)),"MISSING"))</f>
        <v/>
      </c>
      <c r="AF278" s="206"/>
      <c r="AG278" s="183" t="str">
        <f t="array" ref="AG278">IF(Table133[[#This Row],[Survey?]]="","",IFERROR(INDEX([2]Rubric!$G$3:$G$94,MATCH(1,([2]Rubric!$E$3:$E$94=AG$2)*([2]Rubric!$F$3:$F$94='[2]Questionnaire Responses'!AG279),0)),"MISSING"))</f>
        <v/>
      </c>
    </row>
    <row r="279" spans="1:33" ht="12.75" customHeight="1" x14ac:dyDescent="0.25">
      <c r="A279" s="207">
        <f>'[2]Questionnaire Responses'!A280</f>
        <v>0</v>
      </c>
      <c r="B279" s="198">
        <f>'[2]Questionnaire Responses'!B280</f>
        <v>0</v>
      </c>
      <c r="C279" s="153">
        <f>'[2]Questionnaire Responses'!C280</f>
        <v>0</v>
      </c>
      <c r="D279" s="208"/>
      <c r="E279" s="206"/>
      <c r="F279" s="183" t="str">
        <f t="array" ref="F279">IF(Table133[[#This Row],[Survey?]]="","",IFERROR(INDEX([2]Rubric!$G$3:$G$94,MATCH(1,([2]Rubric!$E$3:$E$94=F$2)*([2]Rubric!$F$3:$F$94='[2]Questionnaire Responses'!F280),0)),"MISSING"))</f>
        <v/>
      </c>
      <c r="G279" s="183" t="str">
        <f t="array" ref="G279">IF(Table133[[#This Row],[Survey?]]="","",IFERROR(INDEX([2]Rubric!$G$3:$G$94,MATCH(1,([2]Rubric!$E$3:$E$94=G$2)*([2]Rubric!$F$3:$F$94='[2]Questionnaire Responses'!G280),0)),"MISSING"))</f>
        <v/>
      </c>
      <c r="H279" s="183" t="str">
        <f t="array" ref="H279">IF(Table133[[#This Row],[Survey?]]="","",IFERROR(INDEX([2]Rubric!$G$3:$G$94,MATCH(1,([2]Rubric!$E$3:$E$94=H$2)*([2]Rubric!$F$3:$F$94='[2]Questionnaire Responses'!H280),0)),"MISSING"))</f>
        <v/>
      </c>
      <c r="I279" s="183" t="str">
        <f t="array" ref="I279">IF(Table133[[#This Row],[Survey?]]="","",IFERROR(INDEX([2]Rubric!$G$3:$G$94,MATCH(1,([2]Rubric!$E$3:$E$94=I$2)*([2]Rubric!$F$3:$F$94='[2]Questionnaire Responses'!I280),0)),"MISSING"))</f>
        <v/>
      </c>
      <c r="J279" s="183" t="str">
        <f t="array" ref="J279">IF(Table133[[#This Row],[Survey?]]="","",IFERROR(INDEX([2]Rubric!$G$3:$G$94,MATCH(1,([2]Rubric!$E$3:$E$94=J$2)*([2]Rubric!$F$3:$F$94='[2]Questionnaire Responses'!J280),0)),"MISSING"))</f>
        <v/>
      </c>
      <c r="K279" s="206"/>
      <c r="L279" s="183" t="str">
        <f t="array" ref="L279">IF(Table133[[#This Row],[Survey?]]="","",IFERROR(INDEX([2]Rubric!$G$3:$G$94,MATCH(1,([2]Rubric!$E$3:$E$94=L$2)*([2]Rubric!$F$3:$F$94='[2]Questionnaire Responses'!L280),0)),"MISSING"))</f>
        <v/>
      </c>
      <c r="M279" s="206"/>
      <c r="N279" s="183" t="str">
        <f t="array" ref="N279">IF(Table133[[#This Row],[Survey?]]="","",IFERROR(INDEX([2]Rubric!$G$3:$G$94,MATCH(1,([2]Rubric!$E$3:$E$94=N$2)*([2]Rubric!$F$3:$F$94='[2]Questionnaire Responses'!N280),0)),"MISSING"))</f>
        <v/>
      </c>
      <c r="O279" s="183" t="str">
        <f t="array" ref="O279">IF(Table133[[#This Row],[Survey?]]="","",IFERROR(INDEX([2]Rubric!$G$3:$G$94,MATCH(1,([2]Rubric!$E$3:$E$94=O$2)*([2]Rubric!$F$3:$F$94='[2]Questionnaire Responses'!O280),0)),"MISSING"))</f>
        <v/>
      </c>
      <c r="P279" s="206"/>
      <c r="Q279" s="183" t="str">
        <f t="array" ref="Q279">IF(Table133[[#This Row],[Survey?]]="","",IFERROR(INDEX([2]Rubric!$G$3:$G$94,MATCH(1,([2]Rubric!$E$3:$E$94=Q$2)*([2]Rubric!$F$3:$F$94='[2]Questionnaire Responses'!Q280),0)),"MISSING"))</f>
        <v/>
      </c>
      <c r="R279" s="183" t="str">
        <f t="array" ref="R279">IF(Table133[[#This Row],[Survey?]]="","",IFERROR(INDEX([2]Rubric!$G$3:$G$94,MATCH(1,([2]Rubric!$E$3:$E$94=R$2)*([2]Rubric!$F$3:$F$94='[2]Questionnaire Responses'!R280),0)),"MISSING"))</f>
        <v/>
      </c>
      <c r="S279" s="183" t="str">
        <f t="array" ref="S279">IF(Table133[[#This Row],[Survey?]]="","",IFERROR(INDEX([2]Rubric!$G$3:$G$94,MATCH(1,([2]Rubric!$E$3:$E$94=S$2)*([2]Rubric!$F$3:$F$94='[2]Questionnaire Responses'!S280),0)),"MISSING"))</f>
        <v/>
      </c>
      <c r="T279" s="183" t="str">
        <f t="array" ref="T279">IF(Table133[[#This Row],[Survey?]]="","",IFERROR(INDEX([2]Rubric!$G$3:$G$94,MATCH(1,([2]Rubric!$E$3:$E$94=T$2)*([2]Rubric!$F$3:$F$94='[2]Questionnaire Responses'!T280),0)),"MISSING"))</f>
        <v/>
      </c>
      <c r="U279" s="206"/>
      <c r="V279" s="183" t="str">
        <f t="array" ref="V279">IF(Table133[[#This Row],[Survey?]]="","",IFERROR(INDEX([2]Rubric!$G$3:$G$94,MATCH(1,([2]Rubric!$E$3:$E$94=V$2)*([2]Rubric!$F$3:$F$94='[2]Questionnaire Responses'!V280),0)),"MISSING"))</f>
        <v/>
      </c>
      <c r="W279" s="206"/>
      <c r="X279" s="183" t="str">
        <f t="array" ref="X279">IF(Table133[[#This Row],[Survey?]]="","",IFERROR(INDEX([2]Rubric!$G$3:$G$94,MATCH(1,([2]Rubric!$E$3:$E$94=X$2)*([2]Rubric!$F$3:$F$94='[2]Questionnaire Responses'!X280),0)),"MISSING"))</f>
        <v/>
      </c>
      <c r="Y279" s="206"/>
      <c r="Z279" s="183" t="str">
        <f t="array" ref="Z279">IF(Table133[[#This Row],[Survey?]]="","",IFERROR(INDEX([2]Rubric!$G$3:$G$94,MATCH(1,([2]Rubric!$E$3:$E$94=Z$2)*([2]Rubric!$F$3:$F$94='[2]Questionnaire Responses'!Z280),0)),"MISSING"))</f>
        <v/>
      </c>
      <c r="AA279" s="183" t="str">
        <f t="array" ref="AA279">IF(Table133[[#This Row],[Survey?]]="","",IFERROR(INDEX([2]Rubric!$G$3:$G$94,MATCH(1,([2]Rubric!$E$3:$E$94=AA$2)*([2]Rubric!$F$3:$F$94='[2]Questionnaire Responses'!AA280),0)),"MISSING"))</f>
        <v/>
      </c>
      <c r="AB279" s="183" t="str">
        <f t="array" ref="AB279">IF(Table133[[#This Row],[Survey?]]="","",IFERROR(INDEX([2]Rubric!$G$3:$G$94,MATCH(1,([2]Rubric!$E$3:$E$94=AB$2)*([2]Rubric!$F$3:$F$94='[2]Questionnaire Responses'!AB280),0)),"MISSING"))</f>
        <v/>
      </c>
      <c r="AC279" s="206"/>
      <c r="AD279" s="183" t="str">
        <f t="array" ref="AD279">IF(Table133[[#This Row],[Survey?]]="","",IFERROR(INDEX([2]Rubric!$G$3:$G$94,MATCH(1,([2]Rubric!$E$3:$E$94=AD$2)*([2]Rubric!$F$3:$F$94='[2]Questionnaire Responses'!AD280),0)),"MISSING"))</f>
        <v/>
      </c>
      <c r="AE279" s="183" t="str">
        <f t="array" ref="AE279">IF(Table133[[#This Row],[Survey?]]="","",IFERROR(INDEX([2]Rubric!$G$3:$G$94,MATCH(1,([2]Rubric!$E$3:$E$94=AE$2)*([2]Rubric!$F$3:$F$94='[2]Questionnaire Responses'!AE280),0)),"MISSING"))</f>
        <v/>
      </c>
      <c r="AF279" s="206"/>
      <c r="AG279" s="183" t="str">
        <f t="array" ref="AG279">IF(Table133[[#This Row],[Survey?]]="","",IFERROR(INDEX([2]Rubric!$G$3:$G$94,MATCH(1,([2]Rubric!$E$3:$E$94=AG$2)*([2]Rubric!$F$3:$F$94='[2]Questionnaire Responses'!AG280),0)),"MISSING"))</f>
        <v/>
      </c>
    </row>
    <row r="280" spans="1:33" ht="12.75" customHeight="1" x14ac:dyDescent="0.25">
      <c r="A280" s="207">
        <f>'[2]Questionnaire Responses'!A281</f>
        <v>0</v>
      </c>
      <c r="B280" s="198">
        <f>'[2]Questionnaire Responses'!B281</f>
        <v>0</v>
      </c>
      <c r="C280" s="153">
        <f>'[2]Questionnaire Responses'!C281</f>
        <v>0</v>
      </c>
      <c r="D280" s="208"/>
      <c r="E280" s="206"/>
      <c r="F280" s="183" t="str">
        <f t="array" ref="F280">IF(Table133[[#This Row],[Survey?]]="","",IFERROR(INDEX([2]Rubric!$G$3:$G$94,MATCH(1,([2]Rubric!$E$3:$E$94=F$2)*([2]Rubric!$F$3:$F$94='[2]Questionnaire Responses'!F281),0)),"MISSING"))</f>
        <v/>
      </c>
      <c r="G280" s="183" t="str">
        <f t="array" ref="G280">IF(Table133[[#This Row],[Survey?]]="","",IFERROR(INDEX([2]Rubric!$G$3:$G$94,MATCH(1,([2]Rubric!$E$3:$E$94=G$2)*([2]Rubric!$F$3:$F$94='[2]Questionnaire Responses'!G281),0)),"MISSING"))</f>
        <v/>
      </c>
      <c r="H280" s="183" t="str">
        <f t="array" ref="H280">IF(Table133[[#This Row],[Survey?]]="","",IFERROR(INDEX([2]Rubric!$G$3:$G$94,MATCH(1,([2]Rubric!$E$3:$E$94=H$2)*([2]Rubric!$F$3:$F$94='[2]Questionnaire Responses'!H281),0)),"MISSING"))</f>
        <v/>
      </c>
      <c r="I280" s="183" t="str">
        <f t="array" ref="I280">IF(Table133[[#This Row],[Survey?]]="","",IFERROR(INDEX([2]Rubric!$G$3:$G$94,MATCH(1,([2]Rubric!$E$3:$E$94=I$2)*([2]Rubric!$F$3:$F$94='[2]Questionnaire Responses'!I281),0)),"MISSING"))</f>
        <v/>
      </c>
      <c r="J280" s="183" t="str">
        <f t="array" ref="J280">IF(Table133[[#This Row],[Survey?]]="","",IFERROR(INDEX([2]Rubric!$G$3:$G$94,MATCH(1,([2]Rubric!$E$3:$E$94=J$2)*([2]Rubric!$F$3:$F$94='[2]Questionnaire Responses'!J281),0)),"MISSING"))</f>
        <v/>
      </c>
      <c r="K280" s="206"/>
      <c r="L280" s="183" t="str">
        <f t="array" ref="L280">IF(Table133[[#This Row],[Survey?]]="","",IFERROR(INDEX([2]Rubric!$G$3:$G$94,MATCH(1,([2]Rubric!$E$3:$E$94=L$2)*([2]Rubric!$F$3:$F$94='[2]Questionnaire Responses'!L281),0)),"MISSING"))</f>
        <v/>
      </c>
      <c r="M280" s="206"/>
      <c r="N280" s="183" t="str">
        <f t="array" ref="N280">IF(Table133[[#This Row],[Survey?]]="","",IFERROR(INDEX([2]Rubric!$G$3:$G$94,MATCH(1,([2]Rubric!$E$3:$E$94=N$2)*([2]Rubric!$F$3:$F$94='[2]Questionnaire Responses'!N281),0)),"MISSING"))</f>
        <v/>
      </c>
      <c r="O280" s="183" t="str">
        <f t="array" ref="O280">IF(Table133[[#This Row],[Survey?]]="","",IFERROR(INDEX([2]Rubric!$G$3:$G$94,MATCH(1,([2]Rubric!$E$3:$E$94=O$2)*([2]Rubric!$F$3:$F$94='[2]Questionnaire Responses'!O281),0)),"MISSING"))</f>
        <v/>
      </c>
      <c r="P280" s="206"/>
      <c r="Q280" s="183" t="str">
        <f t="array" ref="Q280">IF(Table133[[#This Row],[Survey?]]="","",IFERROR(INDEX([2]Rubric!$G$3:$G$94,MATCH(1,([2]Rubric!$E$3:$E$94=Q$2)*([2]Rubric!$F$3:$F$94='[2]Questionnaire Responses'!Q281),0)),"MISSING"))</f>
        <v/>
      </c>
      <c r="R280" s="183" t="str">
        <f t="array" ref="R280">IF(Table133[[#This Row],[Survey?]]="","",IFERROR(INDEX([2]Rubric!$G$3:$G$94,MATCH(1,([2]Rubric!$E$3:$E$94=R$2)*([2]Rubric!$F$3:$F$94='[2]Questionnaire Responses'!R281),0)),"MISSING"))</f>
        <v/>
      </c>
      <c r="S280" s="183" t="str">
        <f t="array" ref="S280">IF(Table133[[#This Row],[Survey?]]="","",IFERROR(INDEX([2]Rubric!$G$3:$G$94,MATCH(1,([2]Rubric!$E$3:$E$94=S$2)*([2]Rubric!$F$3:$F$94='[2]Questionnaire Responses'!S281),0)),"MISSING"))</f>
        <v/>
      </c>
      <c r="T280" s="183" t="str">
        <f t="array" ref="T280">IF(Table133[[#This Row],[Survey?]]="","",IFERROR(INDEX([2]Rubric!$G$3:$G$94,MATCH(1,([2]Rubric!$E$3:$E$94=T$2)*([2]Rubric!$F$3:$F$94='[2]Questionnaire Responses'!T281),0)),"MISSING"))</f>
        <v/>
      </c>
      <c r="U280" s="206"/>
      <c r="V280" s="183" t="str">
        <f t="array" ref="V280">IF(Table133[[#This Row],[Survey?]]="","",IFERROR(INDEX([2]Rubric!$G$3:$G$94,MATCH(1,([2]Rubric!$E$3:$E$94=V$2)*([2]Rubric!$F$3:$F$94='[2]Questionnaire Responses'!V281),0)),"MISSING"))</f>
        <v/>
      </c>
      <c r="W280" s="206"/>
      <c r="X280" s="183" t="str">
        <f t="array" ref="X280">IF(Table133[[#This Row],[Survey?]]="","",IFERROR(INDEX([2]Rubric!$G$3:$G$94,MATCH(1,([2]Rubric!$E$3:$E$94=X$2)*([2]Rubric!$F$3:$F$94='[2]Questionnaire Responses'!X281),0)),"MISSING"))</f>
        <v/>
      </c>
      <c r="Y280" s="206"/>
      <c r="Z280" s="183" t="str">
        <f t="array" ref="Z280">IF(Table133[[#This Row],[Survey?]]="","",IFERROR(INDEX([2]Rubric!$G$3:$G$94,MATCH(1,([2]Rubric!$E$3:$E$94=Z$2)*([2]Rubric!$F$3:$F$94='[2]Questionnaire Responses'!Z281),0)),"MISSING"))</f>
        <v/>
      </c>
      <c r="AA280" s="183" t="str">
        <f t="array" ref="AA280">IF(Table133[[#This Row],[Survey?]]="","",IFERROR(INDEX([2]Rubric!$G$3:$G$94,MATCH(1,([2]Rubric!$E$3:$E$94=AA$2)*([2]Rubric!$F$3:$F$94='[2]Questionnaire Responses'!AA281),0)),"MISSING"))</f>
        <v/>
      </c>
      <c r="AB280" s="183" t="str">
        <f t="array" ref="AB280">IF(Table133[[#This Row],[Survey?]]="","",IFERROR(INDEX([2]Rubric!$G$3:$G$94,MATCH(1,([2]Rubric!$E$3:$E$94=AB$2)*([2]Rubric!$F$3:$F$94='[2]Questionnaire Responses'!AB281),0)),"MISSING"))</f>
        <v/>
      </c>
      <c r="AC280" s="206"/>
      <c r="AD280" s="183" t="str">
        <f t="array" ref="AD280">IF(Table133[[#This Row],[Survey?]]="","",IFERROR(INDEX([2]Rubric!$G$3:$G$94,MATCH(1,([2]Rubric!$E$3:$E$94=AD$2)*([2]Rubric!$F$3:$F$94='[2]Questionnaire Responses'!AD281),0)),"MISSING"))</f>
        <v/>
      </c>
      <c r="AE280" s="183" t="str">
        <f t="array" ref="AE280">IF(Table133[[#This Row],[Survey?]]="","",IFERROR(INDEX([2]Rubric!$G$3:$G$94,MATCH(1,([2]Rubric!$E$3:$E$94=AE$2)*([2]Rubric!$F$3:$F$94='[2]Questionnaire Responses'!AE281),0)),"MISSING"))</f>
        <v/>
      </c>
      <c r="AF280" s="206"/>
      <c r="AG280" s="183" t="str">
        <f t="array" ref="AG280">IF(Table133[[#This Row],[Survey?]]="","",IFERROR(INDEX([2]Rubric!$G$3:$G$94,MATCH(1,([2]Rubric!$E$3:$E$94=AG$2)*([2]Rubric!$F$3:$F$94='[2]Questionnaire Responses'!AG281),0)),"MISSING"))</f>
        <v/>
      </c>
    </row>
    <row r="281" spans="1:33" ht="12.75" customHeight="1" x14ac:dyDescent="0.25">
      <c r="A281" s="207">
        <f>'[2]Questionnaire Responses'!A282</f>
        <v>0</v>
      </c>
      <c r="B281" s="198">
        <f>'[2]Questionnaire Responses'!B282</f>
        <v>0</v>
      </c>
      <c r="C281" s="153">
        <f>'[2]Questionnaire Responses'!C282</f>
        <v>0</v>
      </c>
      <c r="D281" s="208"/>
      <c r="E281" s="206"/>
      <c r="F281" s="183" t="str">
        <f t="array" ref="F281">IF(Table133[[#This Row],[Survey?]]="","",IFERROR(INDEX([2]Rubric!$G$3:$G$94,MATCH(1,([2]Rubric!$E$3:$E$94=F$2)*([2]Rubric!$F$3:$F$94='[2]Questionnaire Responses'!F282),0)),"MISSING"))</f>
        <v/>
      </c>
      <c r="G281" s="183" t="str">
        <f t="array" ref="G281">IF(Table133[[#This Row],[Survey?]]="","",IFERROR(INDEX([2]Rubric!$G$3:$G$94,MATCH(1,([2]Rubric!$E$3:$E$94=G$2)*([2]Rubric!$F$3:$F$94='[2]Questionnaire Responses'!G282),0)),"MISSING"))</f>
        <v/>
      </c>
      <c r="H281" s="183" t="str">
        <f t="array" ref="H281">IF(Table133[[#This Row],[Survey?]]="","",IFERROR(INDEX([2]Rubric!$G$3:$G$94,MATCH(1,([2]Rubric!$E$3:$E$94=H$2)*([2]Rubric!$F$3:$F$94='[2]Questionnaire Responses'!H282),0)),"MISSING"))</f>
        <v/>
      </c>
      <c r="I281" s="183" t="str">
        <f t="array" ref="I281">IF(Table133[[#This Row],[Survey?]]="","",IFERROR(INDEX([2]Rubric!$G$3:$G$94,MATCH(1,([2]Rubric!$E$3:$E$94=I$2)*([2]Rubric!$F$3:$F$94='[2]Questionnaire Responses'!I282),0)),"MISSING"))</f>
        <v/>
      </c>
      <c r="J281" s="183" t="str">
        <f t="array" ref="J281">IF(Table133[[#This Row],[Survey?]]="","",IFERROR(INDEX([2]Rubric!$G$3:$G$94,MATCH(1,([2]Rubric!$E$3:$E$94=J$2)*([2]Rubric!$F$3:$F$94='[2]Questionnaire Responses'!J282),0)),"MISSING"))</f>
        <v/>
      </c>
      <c r="K281" s="206"/>
      <c r="L281" s="183" t="str">
        <f t="array" ref="L281">IF(Table133[[#This Row],[Survey?]]="","",IFERROR(INDEX([2]Rubric!$G$3:$G$94,MATCH(1,([2]Rubric!$E$3:$E$94=L$2)*([2]Rubric!$F$3:$F$94='[2]Questionnaire Responses'!L282),0)),"MISSING"))</f>
        <v/>
      </c>
      <c r="M281" s="206"/>
      <c r="N281" s="183" t="str">
        <f t="array" ref="N281">IF(Table133[[#This Row],[Survey?]]="","",IFERROR(INDEX([2]Rubric!$G$3:$G$94,MATCH(1,([2]Rubric!$E$3:$E$94=N$2)*([2]Rubric!$F$3:$F$94='[2]Questionnaire Responses'!N282),0)),"MISSING"))</f>
        <v/>
      </c>
      <c r="O281" s="183" t="str">
        <f t="array" ref="O281">IF(Table133[[#This Row],[Survey?]]="","",IFERROR(INDEX([2]Rubric!$G$3:$G$94,MATCH(1,([2]Rubric!$E$3:$E$94=O$2)*([2]Rubric!$F$3:$F$94='[2]Questionnaire Responses'!O282),0)),"MISSING"))</f>
        <v/>
      </c>
      <c r="P281" s="206"/>
      <c r="Q281" s="183" t="str">
        <f t="array" ref="Q281">IF(Table133[[#This Row],[Survey?]]="","",IFERROR(INDEX([2]Rubric!$G$3:$G$94,MATCH(1,([2]Rubric!$E$3:$E$94=Q$2)*([2]Rubric!$F$3:$F$94='[2]Questionnaire Responses'!Q282),0)),"MISSING"))</f>
        <v/>
      </c>
      <c r="R281" s="183" t="str">
        <f t="array" ref="R281">IF(Table133[[#This Row],[Survey?]]="","",IFERROR(INDEX([2]Rubric!$G$3:$G$94,MATCH(1,([2]Rubric!$E$3:$E$94=R$2)*([2]Rubric!$F$3:$F$94='[2]Questionnaire Responses'!R282),0)),"MISSING"))</f>
        <v/>
      </c>
      <c r="S281" s="183" t="str">
        <f t="array" ref="S281">IF(Table133[[#This Row],[Survey?]]="","",IFERROR(INDEX([2]Rubric!$G$3:$G$94,MATCH(1,([2]Rubric!$E$3:$E$94=S$2)*([2]Rubric!$F$3:$F$94='[2]Questionnaire Responses'!S282),0)),"MISSING"))</f>
        <v/>
      </c>
      <c r="T281" s="183" t="str">
        <f t="array" ref="T281">IF(Table133[[#This Row],[Survey?]]="","",IFERROR(INDEX([2]Rubric!$G$3:$G$94,MATCH(1,([2]Rubric!$E$3:$E$94=T$2)*([2]Rubric!$F$3:$F$94='[2]Questionnaire Responses'!T282),0)),"MISSING"))</f>
        <v/>
      </c>
      <c r="U281" s="206"/>
      <c r="V281" s="183" t="str">
        <f t="array" ref="V281">IF(Table133[[#This Row],[Survey?]]="","",IFERROR(INDEX([2]Rubric!$G$3:$G$94,MATCH(1,([2]Rubric!$E$3:$E$94=V$2)*([2]Rubric!$F$3:$F$94='[2]Questionnaire Responses'!V282),0)),"MISSING"))</f>
        <v/>
      </c>
      <c r="W281" s="206"/>
      <c r="X281" s="183" t="str">
        <f t="array" ref="X281">IF(Table133[[#This Row],[Survey?]]="","",IFERROR(INDEX([2]Rubric!$G$3:$G$94,MATCH(1,([2]Rubric!$E$3:$E$94=X$2)*([2]Rubric!$F$3:$F$94='[2]Questionnaire Responses'!X282),0)),"MISSING"))</f>
        <v/>
      </c>
      <c r="Y281" s="206"/>
      <c r="Z281" s="183" t="str">
        <f t="array" ref="Z281">IF(Table133[[#This Row],[Survey?]]="","",IFERROR(INDEX([2]Rubric!$G$3:$G$94,MATCH(1,([2]Rubric!$E$3:$E$94=Z$2)*([2]Rubric!$F$3:$F$94='[2]Questionnaire Responses'!Z282),0)),"MISSING"))</f>
        <v/>
      </c>
      <c r="AA281" s="183" t="str">
        <f t="array" ref="AA281">IF(Table133[[#This Row],[Survey?]]="","",IFERROR(INDEX([2]Rubric!$G$3:$G$94,MATCH(1,([2]Rubric!$E$3:$E$94=AA$2)*([2]Rubric!$F$3:$F$94='[2]Questionnaire Responses'!AA282),0)),"MISSING"))</f>
        <v/>
      </c>
      <c r="AB281" s="183" t="str">
        <f t="array" ref="AB281">IF(Table133[[#This Row],[Survey?]]="","",IFERROR(INDEX([2]Rubric!$G$3:$G$94,MATCH(1,([2]Rubric!$E$3:$E$94=AB$2)*([2]Rubric!$F$3:$F$94='[2]Questionnaire Responses'!AB282),0)),"MISSING"))</f>
        <v/>
      </c>
      <c r="AC281" s="206"/>
      <c r="AD281" s="183" t="str">
        <f t="array" ref="AD281">IF(Table133[[#This Row],[Survey?]]="","",IFERROR(INDEX([2]Rubric!$G$3:$G$94,MATCH(1,([2]Rubric!$E$3:$E$94=AD$2)*([2]Rubric!$F$3:$F$94='[2]Questionnaire Responses'!AD282),0)),"MISSING"))</f>
        <v/>
      </c>
      <c r="AE281" s="183" t="str">
        <f t="array" ref="AE281">IF(Table133[[#This Row],[Survey?]]="","",IFERROR(INDEX([2]Rubric!$G$3:$G$94,MATCH(1,([2]Rubric!$E$3:$E$94=AE$2)*([2]Rubric!$F$3:$F$94='[2]Questionnaire Responses'!AE282),0)),"MISSING"))</f>
        <v/>
      </c>
      <c r="AF281" s="206"/>
      <c r="AG281" s="183" t="str">
        <f t="array" ref="AG281">IF(Table133[[#This Row],[Survey?]]="","",IFERROR(INDEX([2]Rubric!$G$3:$G$94,MATCH(1,([2]Rubric!$E$3:$E$94=AG$2)*([2]Rubric!$F$3:$F$94='[2]Questionnaire Responses'!AG282),0)),"MISSING"))</f>
        <v/>
      </c>
    </row>
    <row r="282" spans="1:33" ht="12.75" customHeight="1" x14ac:dyDescent="0.25">
      <c r="A282" s="207">
        <f>'[2]Questionnaire Responses'!A283</f>
        <v>0</v>
      </c>
      <c r="B282" s="198">
        <f>'[2]Questionnaire Responses'!B283</f>
        <v>0</v>
      </c>
      <c r="C282" s="153">
        <f>'[2]Questionnaire Responses'!C283</f>
        <v>0</v>
      </c>
      <c r="D282" s="208"/>
      <c r="E282" s="206"/>
      <c r="F282" s="183" t="str">
        <f t="array" ref="F282">IF(Table133[[#This Row],[Survey?]]="","",IFERROR(INDEX([2]Rubric!$G$3:$G$94,MATCH(1,([2]Rubric!$E$3:$E$94=F$2)*([2]Rubric!$F$3:$F$94='[2]Questionnaire Responses'!F283),0)),"MISSING"))</f>
        <v/>
      </c>
      <c r="G282" s="183" t="str">
        <f t="array" ref="G282">IF(Table133[[#This Row],[Survey?]]="","",IFERROR(INDEX([2]Rubric!$G$3:$G$94,MATCH(1,([2]Rubric!$E$3:$E$94=G$2)*([2]Rubric!$F$3:$F$94='[2]Questionnaire Responses'!G283),0)),"MISSING"))</f>
        <v/>
      </c>
      <c r="H282" s="183" t="str">
        <f t="array" ref="H282">IF(Table133[[#This Row],[Survey?]]="","",IFERROR(INDEX([2]Rubric!$G$3:$G$94,MATCH(1,([2]Rubric!$E$3:$E$94=H$2)*([2]Rubric!$F$3:$F$94='[2]Questionnaire Responses'!H283),0)),"MISSING"))</f>
        <v/>
      </c>
      <c r="I282" s="183" t="str">
        <f t="array" ref="I282">IF(Table133[[#This Row],[Survey?]]="","",IFERROR(INDEX([2]Rubric!$G$3:$G$94,MATCH(1,([2]Rubric!$E$3:$E$94=I$2)*([2]Rubric!$F$3:$F$94='[2]Questionnaire Responses'!I283),0)),"MISSING"))</f>
        <v/>
      </c>
      <c r="J282" s="183" t="str">
        <f t="array" ref="J282">IF(Table133[[#This Row],[Survey?]]="","",IFERROR(INDEX([2]Rubric!$G$3:$G$94,MATCH(1,([2]Rubric!$E$3:$E$94=J$2)*([2]Rubric!$F$3:$F$94='[2]Questionnaire Responses'!J283),0)),"MISSING"))</f>
        <v/>
      </c>
      <c r="K282" s="206"/>
      <c r="L282" s="183" t="str">
        <f t="array" ref="L282">IF(Table133[[#This Row],[Survey?]]="","",IFERROR(INDEX([2]Rubric!$G$3:$G$94,MATCH(1,([2]Rubric!$E$3:$E$94=L$2)*([2]Rubric!$F$3:$F$94='[2]Questionnaire Responses'!L283),0)),"MISSING"))</f>
        <v/>
      </c>
      <c r="M282" s="206"/>
      <c r="N282" s="183" t="str">
        <f t="array" ref="N282">IF(Table133[[#This Row],[Survey?]]="","",IFERROR(INDEX([2]Rubric!$G$3:$G$94,MATCH(1,([2]Rubric!$E$3:$E$94=N$2)*([2]Rubric!$F$3:$F$94='[2]Questionnaire Responses'!N283),0)),"MISSING"))</f>
        <v/>
      </c>
      <c r="O282" s="183" t="str">
        <f t="array" ref="O282">IF(Table133[[#This Row],[Survey?]]="","",IFERROR(INDEX([2]Rubric!$G$3:$G$94,MATCH(1,([2]Rubric!$E$3:$E$94=O$2)*([2]Rubric!$F$3:$F$94='[2]Questionnaire Responses'!O283),0)),"MISSING"))</f>
        <v/>
      </c>
      <c r="P282" s="206"/>
      <c r="Q282" s="183" t="str">
        <f t="array" ref="Q282">IF(Table133[[#This Row],[Survey?]]="","",IFERROR(INDEX([2]Rubric!$G$3:$G$94,MATCH(1,([2]Rubric!$E$3:$E$94=Q$2)*([2]Rubric!$F$3:$F$94='[2]Questionnaire Responses'!Q283),0)),"MISSING"))</f>
        <v/>
      </c>
      <c r="R282" s="183" t="str">
        <f t="array" ref="R282">IF(Table133[[#This Row],[Survey?]]="","",IFERROR(INDEX([2]Rubric!$G$3:$G$94,MATCH(1,([2]Rubric!$E$3:$E$94=R$2)*([2]Rubric!$F$3:$F$94='[2]Questionnaire Responses'!R283),0)),"MISSING"))</f>
        <v/>
      </c>
      <c r="S282" s="183" t="str">
        <f t="array" ref="S282">IF(Table133[[#This Row],[Survey?]]="","",IFERROR(INDEX([2]Rubric!$G$3:$G$94,MATCH(1,([2]Rubric!$E$3:$E$94=S$2)*([2]Rubric!$F$3:$F$94='[2]Questionnaire Responses'!S283),0)),"MISSING"))</f>
        <v/>
      </c>
      <c r="T282" s="183" t="str">
        <f t="array" ref="T282">IF(Table133[[#This Row],[Survey?]]="","",IFERROR(INDEX([2]Rubric!$G$3:$G$94,MATCH(1,([2]Rubric!$E$3:$E$94=T$2)*([2]Rubric!$F$3:$F$94='[2]Questionnaire Responses'!T283),0)),"MISSING"))</f>
        <v/>
      </c>
      <c r="U282" s="206"/>
      <c r="V282" s="183" t="str">
        <f t="array" ref="V282">IF(Table133[[#This Row],[Survey?]]="","",IFERROR(INDEX([2]Rubric!$G$3:$G$94,MATCH(1,([2]Rubric!$E$3:$E$94=V$2)*([2]Rubric!$F$3:$F$94='[2]Questionnaire Responses'!V283),0)),"MISSING"))</f>
        <v/>
      </c>
      <c r="W282" s="206"/>
      <c r="X282" s="183" t="str">
        <f t="array" ref="X282">IF(Table133[[#This Row],[Survey?]]="","",IFERROR(INDEX([2]Rubric!$G$3:$G$94,MATCH(1,([2]Rubric!$E$3:$E$94=X$2)*([2]Rubric!$F$3:$F$94='[2]Questionnaire Responses'!X283),0)),"MISSING"))</f>
        <v/>
      </c>
      <c r="Y282" s="206"/>
      <c r="Z282" s="183" t="str">
        <f t="array" ref="Z282">IF(Table133[[#This Row],[Survey?]]="","",IFERROR(INDEX([2]Rubric!$G$3:$G$94,MATCH(1,([2]Rubric!$E$3:$E$94=Z$2)*([2]Rubric!$F$3:$F$94='[2]Questionnaire Responses'!Z283),0)),"MISSING"))</f>
        <v/>
      </c>
      <c r="AA282" s="183" t="str">
        <f t="array" ref="AA282">IF(Table133[[#This Row],[Survey?]]="","",IFERROR(INDEX([2]Rubric!$G$3:$G$94,MATCH(1,([2]Rubric!$E$3:$E$94=AA$2)*([2]Rubric!$F$3:$F$94='[2]Questionnaire Responses'!AA283),0)),"MISSING"))</f>
        <v/>
      </c>
      <c r="AB282" s="183" t="str">
        <f t="array" ref="AB282">IF(Table133[[#This Row],[Survey?]]="","",IFERROR(INDEX([2]Rubric!$G$3:$G$94,MATCH(1,([2]Rubric!$E$3:$E$94=AB$2)*([2]Rubric!$F$3:$F$94='[2]Questionnaire Responses'!AB283),0)),"MISSING"))</f>
        <v/>
      </c>
      <c r="AC282" s="206"/>
      <c r="AD282" s="183" t="str">
        <f t="array" ref="AD282">IF(Table133[[#This Row],[Survey?]]="","",IFERROR(INDEX([2]Rubric!$G$3:$G$94,MATCH(1,([2]Rubric!$E$3:$E$94=AD$2)*([2]Rubric!$F$3:$F$94='[2]Questionnaire Responses'!AD283),0)),"MISSING"))</f>
        <v/>
      </c>
      <c r="AE282" s="183" t="str">
        <f t="array" ref="AE282">IF(Table133[[#This Row],[Survey?]]="","",IFERROR(INDEX([2]Rubric!$G$3:$G$94,MATCH(1,([2]Rubric!$E$3:$E$94=AE$2)*([2]Rubric!$F$3:$F$94='[2]Questionnaire Responses'!AE283),0)),"MISSING"))</f>
        <v/>
      </c>
      <c r="AF282" s="206"/>
      <c r="AG282" s="183" t="str">
        <f t="array" ref="AG282">IF(Table133[[#This Row],[Survey?]]="","",IFERROR(INDEX([2]Rubric!$G$3:$G$94,MATCH(1,([2]Rubric!$E$3:$E$94=AG$2)*([2]Rubric!$F$3:$F$94='[2]Questionnaire Responses'!AG283),0)),"MISSING"))</f>
        <v/>
      </c>
    </row>
    <row r="283" spans="1:33" ht="12.75" customHeight="1" x14ac:dyDescent="0.25">
      <c r="A283" s="207">
        <f>'[2]Questionnaire Responses'!A284</f>
        <v>0</v>
      </c>
      <c r="B283" s="198">
        <f>'[2]Questionnaire Responses'!B284</f>
        <v>0</v>
      </c>
      <c r="C283" s="153">
        <f>'[2]Questionnaire Responses'!C284</f>
        <v>0</v>
      </c>
      <c r="D283" s="208"/>
      <c r="E283" s="206"/>
      <c r="F283" s="183" t="str">
        <f t="array" ref="F283">IF(Table133[[#This Row],[Survey?]]="","",IFERROR(INDEX([2]Rubric!$G$3:$G$94,MATCH(1,([2]Rubric!$E$3:$E$94=F$2)*([2]Rubric!$F$3:$F$94='[2]Questionnaire Responses'!F284),0)),"MISSING"))</f>
        <v/>
      </c>
      <c r="G283" s="183" t="str">
        <f t="array" ref="G283">IF(Table133[[#This Row],[Survey?]]="","",IFERROR(INDEX([2]Rubric!$G$3:$G$94,MATCH(1,([2]Rubric!$E$3:$E$94=G$2)*([2]Rubric!$F$3:$F$94='[2]Questionnaire Responses'!G284),0)),"MISSING"))</f>
        <v/>
      </c>
      <c r="H283" s="183" t="str">
        <f t="array" ref="H283">IF(Table133[[#This Row],[Survey?]]="","",IFERROR(INDEX([2]Rubric!$G$3:$G$94,MATCH(1,([2]Rubric!$E$3:$E$94=H$2)*([2]Rubric!$F$3:$F$94='[2]Questionnaire Responses'!H284),0)),"MISSING"))</f>
        <v/>
      </c>
      <c r="I283" s="183" t="str">
        <f t="array" ref="I283">IF(Table133[[#This Row],[Survey?]]="","",IFERROR(INDEX([2]Rubric!$G$3:$G$94,MATCH(1,([2]Rubric!$E$3:$E$94=I$2)*([2]Rubric!$F$3:$F$94='[2]Questionnaire Responses'!I284),0)),"MISSING"))</f>
        <v/>
      </c>
      <c r="J283" s="183" t="str">
        <f t="array" ref="J283">IF(Table133[[#This Row],[Survey?]]="","",IFERROR(INDEX([2]Rubric!$G$3:$G$94,MATCH(1,([2]Rubric!$E$3:$E$94=J$2)*([2]Rubric!$F$3:$F$94='[2]Questionnaire Responses'!J284),0)),"MISSING"))</f>
        <v/>
      </c>
      <c r="K283" s="206"/>
      <c r="L283" s="183" t="str">
        <f t="array" ref="L283">IF(Table133[[#This Row],[Survey?]]="","",IFERROR(INDEX([2]Rubric!$G$3:$G$94,MATCH(1,([2]Rubric!$E$3:$E$94=L$2)*([2]Rubric!$F$3:$F$94='[2]Questionnaire Responses'!L284),0)),"MISSING"))</f>
        <v/>
      </c>
      <c r="M283" s="206"/>
      <c r="N283" s="183" t="str">
        <f t="array" ref="N283">IF(Table133[[#This Row],[Survey?]]="","",IFERROR(INDEX([2]Rubric!$G$3:$G$94,MATCH(1,([2]Rubric!$E$3:$E$94=N$2)*([2]Rubric!$F$3:$F$94='[2]Questionnaire Responses'!N284),0)),"MISSING"))</f>
        <v/>
      </c>
      <c r="O283" s="183" t="str">
        <f t="array" ref="O283">IF(Table133[[#This Row],[Survey?]]="","",IFERROR(INDEX([2]Rubric!$G$3:$G$94,MATCH(1,([2]Rubric!$E$3:$E$94=O$2)*([2]Rubric!$F$3:$F$94='[2]Questionnaire Responses'!O284),0)),"MISSING"))</f>
        <v/>
      </c>
      <c r="P283" s="206"/>
      <c r="Q283" s="183" t="str">
        <f t="array" ref="Q283">IF(Table133[[#This Row],[Survey?]]="","",IFERROR(INDEX([2]Rubric!$G$3:$G$94,MATCH(1,([2]Rubric!$E$3:$E$94=Q$2)*([2]Rubric!$F$3:$F$94='[2]Questionnaire Responses'!Q284),0)),"MISSING"))</f>
        <v/>
      </c>
      <c r="R283" s="183" t="str">
        <f t="array" ref="R283">IF(Table133[[#This Row],[Survey?]]="","",IFERROR(INDEX([2]Rubric!$G$3:$G$94,MATCH(1,([2]Rubric!$E$3:$E$94=R$2)*([2]Rubric!$F$3:$F$94='[2]Questionnaire Responses'!R284),0)),"MISSING"))</f>
        <v/>
      </c>
      <c r="S283" s="183" t="str">
        <f t="array" ref="S283">IF(Table133[[#This Row],[Survey?]]="","",IFERROR(INDEX([2]Rubric!$G$3:$G$94,MATCH(1,([2]Rubric!$E$3:$E$94=S$2)*([2]Rubric!$F$3:$F$94='[2]Questionnaire Responses'!S284),0)),"MISSING"))</f>
        <v/>
      </c>
      <c r="T283" s="183" t="str">
        <f t="array" ref="T283">IF(Table133[[#This Row],[Survey?]]="","",IFERROR(INDEX([2]Rubric!$G$3:$G$94,MATCH(1,([2]Rubric!$E$3:$E$94=T$2)*([2]Rubric!$F$3:$F$94='[2]Questionnaire Responses'!T284),0)),"MISSING"))</f>
        <v/>
      </c>
      <c r="U283" s="206"/>
      <c r="V283" s="183" t="str">
        <f t="array" ref="V283">IF(Table133[[#This Row],[Survey?]]="","",IFERROR(INDEX([2]Rubric!$G$3:$G$94,MATCH(1,([2]Rubric!$E$3:$E$94=V$2)*([2]Rubric!$F$3:$F$94='[2]Questionnaire Responses'!V284),0)),"MISSING"))</f>
        <v/>
      </c>
      <c r="W283" s="206"/>
      <c r="X283" s="183" t="str">
        <f t="array" ref="X283">IF(Table133[[#This Row],[Survey?]]="","",IFERROR(INDEX([2]Rubric!$G$3:$G$94,MATCH(1,([2]Rubric!$E$3:$E$94=X$2)*([2]Rubric!$F$3:$F$94='[2]Questionnaire Responses'!X284),0)),"MISSING"))</f>
        <v/>
      </c>
      <c r="Y283" s="206"/>
      <c r="Z283" s="183" t="str">
        <f t="array" ref="Z283">IF(Table133[[#This Row],[Survey?]]="","",IFERROR(INDEX([2]Rubric!$G$3:$G$94,MATCH(1,([2]Rubric!$E$3:$E$94=Z$2)*([2]Rubric!$F$3:$F$94='[2]Questionnaire Responses'!Z284),0)),"MISSING"))</f>
        <v/>
      </c>
      <c r="AA283" s="183" t="str">
        <f t="array" ref="AA283">IF(Table133[[#This Row],[Survey?]]="","",IFERROR(INDEX([2]Rubric!$G$3:$G$94,MATCH(1,([2]Rubric!$E$3:$E$94=AA$2)*([2]Rubric!$F$3:$F$94='[2]Questionnaire Responses'!AA284),0)),"MISSING"))</f>
        <v/>
      </c>
      <c r="AB283" s="183" t="str">
        <f t="array" ref="AB283">IF(Table133[[#This Row],[Survey?]]="","",IFERROR(INDEX([2]Rubric!$G$3:$G$94,MATCH(1,([2]Rubric!$E$3:$E$94=AB$2)*([2]Rubric!$F$3:$F$94='[2]Questionnaire Responses'!AB284),0)),"MISSING"))</f>
        <v/>
      </c>
      <c r="AC283" s="206"/>
      <c r="AD283" s="183" t="str">
        <f t="array" ref="AD283">IF(Table133[[#This Row],[Survey?]]="","",IFERROR(INDEX([2]Rubric!$G$3:$G$94,MATCH(1,([2]Rubric!$E$3:$E$94=AD$2)*([2]Rubric!$F$3:$F$94='[2]Questionnaire Responses'!AD284),0)),"MISSING"))</f>
        <v/>
      </c>
      <c r="AE283" s="183" t="str">
        <f t="array" ref="AE283">IF(Table133[[#This Row],[Survey?]]="","",IFERROR(INDEX([2]Rubric!$G$3:$G$94,MATCH(1,([2]Rubric!$E$3:$E$94=AE$2)*([2]Rubric!$F$3:$F$94='[2]Questionnaire Responses'!AE284),0)),"MISSING"))</f>
        <v/>
      </c>
      <c r="AF283" s="206"/>
      <c r="AG283" s="183" t="str">
        <f t="array" ref="AG283">IF(Table133[[#This Row],[Survey?]]="","",IFERROR(INDEX([2]Rubric!$G$3:$G$94,MATCH(1,([2]Rubric!$E$3:$E$94=AG$2)*([2]Rubric!$F$3:$F$94='[2]Questionnaire Responses'!AG284),0)),"MISSING"))</f>
        <v/>
      </c>
    </row>
    <row r="284" spans="1:33" ht="12.75" customHeight="1" x14ac:dyDescent="0.25">
      <c r="A284" s="207">
        <f>'[2]Questionnaire Responses'!A285</f>
        <v>0</v>
      </c>
      <c r="B284" s="198">
        <f>'[2]Questionnaire Responses'!B285</f>
        <v>0</v>
      </c>
      <c r="C284" s="153">
        <f>'[2]Questionnaire Responses'!C285</f>
        <v>0</v>
      </c>
      <c r="D284" s="208"/>
      <c r="E284" s="206"/>
      <c r="F284" s="183" t="str">
        <f t="array" ref="F284">IF(Table133[[#This Row],[Survey?]]="","",IFERROR(INDEX([2]Rubric!$G$3:$G$94,MATCH(1,([2]Rubric!$E$3:$E$94=F$2)*([2]Rubric!$F$3:$F$94='[2]Questionnaire Responses'!F285),0)),"MISSING"))</f>
        <v/>
      </c>
      <c r="G284" s="183" t="str">
        <f t="array" ref="G284">IF(Table133[[#This Row],[Survey?]]="","",IFERROR(INDEX([2]Rubric!$G$3:$G$94,MATCH(1,([2]Rubric!$E$3:$E$94=G$2)*([2]Rubric!$F$3:$F$94='[2]Questionnaire Responses'!G285),0)),"MISSING"))</f>
        <v/>
      </c>
      <c r="H284" s="183" t="str">
        <f t="array" ref="H284">IF(Table133[[#This Row],[Survey?]]="","",IFERROR(INDEX([2]Rubric!$G$3:$G$94,MATCH(1,([2]Rubric!$E$3:$E$94=H$2)*([2]Rubric!$F$3:$F$94='[2]Questionnaire Responses'!H285),0)),"MISSING"))</f>
        <v/>
      </c>
      <c r="I284" s="183" t="str">
        <f t="array" ref="I284">IF(Table133[[#This Row],[Survey?]]="","",IFERROR(INDEX([2]Rubric!$G$3:$G$94,MATCH(1,([2]Rubric!$E$3:$E$94=I$2)*([2]Rubric!$F$3:$F$94='[2]Questionnaire Responses'!I285),0)),"MISSING"))</f>
        <v/>
      </c>
      <c r="J284" s="183" t="str">
        <f t="array" ref="J284">IF(Table133[[#This Row],[Survey?]]="","",IFERROR(INDEX([2]Rubric!$G$3:$G$94,MATCH(1,([2]Rubric!$E$3:$E$94=J$2)*([2]Rubric!$F$3:$F$94='[2]Questionnaire Responses'!J285),0)),"MISSING"))</f>
        <v/>
      </c>
      <c r="K284" s="206"/>
      <c r="L284" s="183" t="str">
        <f t="array" ref="L284">IF(Table133[[#This Row],[Survey?]]="","",IFERROR(INDEX([2]Rubric!$G$3:$G$94,MATCH(1,([2]Rubric!$E$3:$E$94=L$2)*([2]Rubric!$F$3:$F$94='[2]Questionnaire Responses'!L285),0)),"MISSING"))</f>
        <v/>
      </c>
      <c r="M284" s="206"/>
      <c r="N284" s="183" t="str">
        <f t="array" ref="N284">IF(Table133[[#This Row],[Survey?]]="","",IFERROR(INDEX([2]Rubric!$G$3:$G$94,MATCH(1,([2]Rubric!$E$3:$E$94=N$2)*([2]Rubric!$F$3:$F$94='[2]Questionnaire Responses'!N285),0)),"MISSING"))</f>
        <v/>
      </c>
      <c r="O284" s="183" t="str">
        <f t="array" ref="O284">IF(Table133[[#This Row],[Survey?]]="","",IFERROR(INDEX([2]Rubric!$G$3:$G$94,MATCH(1,([2]Rubric!$E$3:$E$94=O$2)*([2]Rubric!$F$3:$F$94='[2]Questionnaire Responses'!O285),0)),"MISSING"))</f>
        <v/>
      </c>
      <c r="P284" s="206"/>
      <c r="Q284" s="183" t="str">
        <f t="array" ref="Q284">IF(Table133[[#This Row],[Survey?]]="","",IFERROR(INDEX([2]Rubric!$G$3:$G$94,MATCH(1,([2]Rubric!$E$3:$E$94=Q$2)*([2]Rubric!$F$3:$F$94='[2]Questionnaire Responses'!Q285),0)),"MISSING"))</f>
        <v/>
      </c>
      <c r="R284" s="183" t="str">
        <f t="array" ref="R284">IF(Table133[[#This Row],[Survey?]]="","",IFERROR(INDEX([2]Rubric!$G$3:$G$94,MATCH(1,([2]Rubric!$E$3:$E$94=R$2)*([2]Rubric!$F$3:$F$94='[2]Questionnaire Responses'!R285),0)),"MISSING"))</f>
        <v/>
      </c>
      <c r="S284" s="183" t="str">
        <f t="array" ref="S284">IF(Table133[[#This Row],[Survey?]]="","",IFERROR(INDEX([2]Rubric!$G$3:$G$94,MATCH(1,([2]Rubric!$E$3:$E$94=S$2)*([2]Rubric!$F$3:$F$94='[2]Questionnaire Responses'!S285),0)),"MISSING"))</f>
        <v/>
      </c>
      <c r="T284" s="183" t="str">
        <f t="array" ref="T284">IF(Table133[[#This Row],[Survey?]]="","",IFERROR(INDEX([2]Rubric!$G$3:$G$94,MATCH(1,([2]Rubric!$E$3:$E$94=T$2)*([2]Rubric!$F$3:$F$94='[2]Questionnaire Responses'!T285),0)),"MISSING"))</f>
        <v/>
      </c>
      <c r="U284" s="206"/>
      <c r="V284" s="183" t="str">
        <f t="array" ref="V284">IF(Table133[[#This Row],[Survey?]]="","",IFERROR(INDEX([2]Rubric!$G$3:$G$94,MATCH(1,([2]Rubric!$E$3:$E$94=V$2)*([2]Rubric!$F$3:$F$94='[2]Questionnaire Responses'!V285),0)),"MISSING"))</f>
        <v/>
      </c>
      <c r="W284" s="206"/>
      <c r="X284" s="183" t="str">
        <f t="array" ref="X284">IF(Table133[[#This Row],[Survey?]]="","",IFERROR(INDEX([2]Rubric!$G$3:$G$94,MATCH(1,([2]Rubric!$E$3:$E$94=X$2)*([2]Rubric!$F$3:$F$94='[2]Questionnaire Responses'!X285),0)),"MISSING"))</f>
        <v/>
      </c>
      <c r="Y284" s="206"/>
      <c r="Z284" s="183" t="str">
        <f t="array" ref="Z284">IF(Table133[[#This Row],[Survey?]]="","",IFERROR(INDEX([2]Rubric!$G$3:$G$94,MATCH(1,([2]Rubric!$E$3:$E$94=Z$2)*([2]Rubric!$F$3:$F$94='[2]Questionnaire Responses'!Z285),0)),"MISSING"))</f>
        <v/>
      </c>
      <c r="AA284" s="183" t="str">
        <f t="array" ref="AA284">IF(Table133[[#This Row],[Survey?]]="","",IFERROR(INDEX([2]Rubric!$G$3:$G$94,MATCH(1,([2]Rubric!$E$3:$E$94=AA$2)*([2]Rubric!$F$3:$F$94='[2]Questionnaire Responses'!AA285),0)),"MISSING"))</f>
        <v/>
      </c>
      <c r="AB284" s="183" t="str">
        <f t="array" ref="AB284">IF(Table133[[#This Row],[Survey?]]="","",IFERROR(INDEX([2]Rubric!$G$3:$G$94,MATCH(1,([2]Rubric!$E$3:$E$94=AB$2)*([2]Rubric!$F$3:$F$94='[2]Questionnaire Responses'!AB285),0)),"MISSING"))</f>
        <v/>
      </c>
      <c r="AC284" s="206"/>
      <c r="AD284" s="183" t="str">
        <f t="array" ref="AD284">IF(Table133[[#This Row],[Survey?]]="","",IFERROR(INDEX([2]Rubric!$G$3:$G$94,MATCH(1,([2]Rubric!$E$3:$E$94=AD$2)*([2]Rubric!$F$3:$F$94='[2]Questionnaire Responses'!AD285),0)),"MISSING"))</f>
        <v/>
      </c>
      <c r="AE284" s="183" t="str">
        <f t="array" ref="AE284">IF(Table133[[#This Row],[Survey?]]="","",IFERROR(INDEX([2]Rubric!$G$3:$G$94,MATCH(1,([2]Rubric!$E$3:$E$94=AE$2)*([2]Rubric!$F$3:$F$94='[2]Questionnaire Responses'!AE285),0)),"MISSING"))</f>
        <v/>
      </c>
      <c r="AF284" s="206"/>
      <c r="AG284" s="183" t="str">
        <f t="array" ref="AG284">IF(Table133[[#This Row],[Survey?]]="","",IFERROR(INDEX([2]Rubric!$G$3:$G$94,MATCH(1,([2]Rubric!$E$3:$E$94=AG$2)*([2]Rubric!$F$3:$F$94='[2]Questionnaire Responses'!AG285),0)),"MISSING"))</f>
        <v/>
      </c>
    </row>
    <row r="285" spans="1:33" ht="12.75" customHeight="1" x14ac:dyDescent="0.25">
      <c r="A285" s="207">
        <f>'[2]Questionnaire Responses'!A286</f>
        <v>0</v>
      </c>
      <c r="B285" s="198">
        <f>'[2]Questionnaire Responses'!B286</f>
        <v>0</v>
      </c>
      <c r="C285" s="153">
        <f>'[2]Questionnaire Responses'!C286</f>
        <v>0</v>
      </c>
      <c r="D285" s="208"/>
      <c r="E285" s="206"/>
      <c r="F285" s="183" t="str">
        <f t="array" ref="F285">IF(Table133[[#This Row],[Survey?]]="","",IFERROR(INDEX([2]Rubric!$G$3:$G$94,MATCH(1,([2]Rubric!$E$3:$E$94=F$2)*([2]Rubric!$F$3:$F$94='[2]Questionnaire Responses'!F286),0)),"MISSING"))</f>
        <v/>
      </c>
      <c r="G285" s="183" t="str">
        <f t="array" ref="G285">IF(Table133[[#This Row],[Survey?]]="","",IFERROR(INDEX([2]Rubric!$G$3:$G$94,MATCH(1,([2]Rubric!$E$3:$E$94=G$2)*([2]Rubric!$F$3:$F$94='[2]Questionnaire Responses'!G286),0)),"MISSING"))</f>
        <v/>
      </c>
      <c r="H285" s="183" t="str">
        <f t="array" ref="H285">IF(Table133[[#This Row],[Survey?]]="","",IFERROR(INDEX([2]Rubric!$G$3:$G$94,MATCH(1,([2]Rubric!$E$3:$E$94=H$2)*([2]Rubric!$F$3:$F$94='[2]Questionnaire Responses'!H286),0)),"MISSING"))</f>
        <v/>
      </c>
      <c r="I285" s="183" t="str">
        <f t="array" ref="I285">IF(Table133[[#This Row],[Survey?]]="","",IFERROR(INDEX([2]Rubric!$G$3:$G$94,MATCH(1,([2]Rubric!$E$3:$E$94=I$2)*([2]Rubric!$F$3:$F$94='[2]Questionnaire Responses'!I286),0)),"MISSING"))</f>
        <v/>
      </c>
      <c r="J285" s="183" t="str">
        <f t="array" ref="J285">IF(Table133[[#This Row],[Survey?]]="","",IFERROR(INDEX([2]Rubric!$G$3:$G$94,MATCH(1,([2]Rubric!$E$3:$E$94=J$2)*([2]Rubric!$F$3:$F$94='[2]Questionnaire Responses'!J286),0)),"MISSING"))</f>
        <v/>
      </c>
      <c r="K285" s="206"/>
      <c r="L285" s="183" t="str">
        <f t="array" ref="L285">IF(Table133[[#This Row],[Survey?]]="","",IFERROR(INDEX([2]Rubric!$G$3:$G$94,MATCH(1,([2]Rubric!$E$3:$E$94=L$2)*([2]Rubric!$F$3:$F$94='[2]Questionnaire Responses'!L286),0)),"MISSING"))</f>
        <v/>
      </c>
      <c r="M285" s="206"/>
      <c r="N285" s="183" t="str">
        <f t="array" ref="N285">IF(Table133[[#This Row],[Survey?]]="","",IFERROR(INDEX([2]Rubric!$G$3:$G$94,MATCH(1,([2]Rubric!$E$3:$E$94=N$2)*([2]Rubric!$F$3:$F$94='[2]Questionnaire Responses'!N286),0)),"MISSING"))</f>
        <v/>
      </c>
      <c r="O285" s="183" t="str">
        <f t="array" ref="O285">IF(Table133[[#This Row],[Survey?]]="","",IFERROR(INDEX([2]Rubric!$G$3:$G$94,MATCH(1,([2]Rubric!$E$3:$E$94=O$2)*([2]Rubric!$F$3:$F$94='[2]Questionnaire Responses'!O286),0)),"MISSING"))</f>
        <v/>
      </c>
      <c r="P285" s="206"/>
      <c r="Q285" s="183" t="str">
        <f t="array" ref="Q285">IF(Table133[[#This Row],[Survey?]]="","",IFERROR(INDEX([2]Rubric!$G$3:$G$94,MATCH(1,([2]Rubric!$E$3:$E$94=Q$2)*([2]Rubric!$F$3:$F$94='[2]Questionnaire Responses'!Q286),0)),"MISSING"))</f>
        <v/>
      </c>
      <c r="R285" s="183" t="str">
        <f t="array" ref="R285">IF(Table133[[#This Row],[Survey?]]="","",IFERROR(INDEX([2]Rubric!$G$3:$G$94,MATCH(1,([2]Rubric!$E$3:$E$94=R$2)*([2]Rubric!$F$3:$F$94='[2]Questionnaire Responses'!R286),0)),"MISSING"))</f>
        <v/>
      </c>
      <c r="S285" s="183" t="str">
        <f t="array" ref="S285">IF(Table133[[#This Row],[Survey?]]="","",IFERROR(INDEX([2]Rubric!$G$3:$G$94,MATCH(1,([2]Rubric!$E$3:$E$94=S$2)*([2]Rubric!$F$3:$F$94='[2]Questionnaire Responses'!S286),0)),"MISSING"))</f>
        <v/>
      </c>
      <c r="T285" s="183" t="str">
        <f t="array" ref="T285">IF(Table133[[#This Row],[Survey?]]="","",IFERROR(INDEX([2]Rubric!$G$3:$G$94,MATCH(1,([2]Rubric!$E$3:$E$94=T$2)*([2]Rubric!$F$3:$F$94='[2]Questionnaire Responses'!T286),0)),"MISSING"))</f>
        <v/>
      </c>
      <c r="U285" s="206"/>
      <c r="V285" s="183" t="str">
        <f t="array" ref="V285">IF(Table133[[#This Row],[Survey?]]="","",IFERROR(INDEX([2]Rubric!$G$3:$G$94,MATCH(1,([2]Rubric!$E$3:$E$94=V$2)*([2]Rubric!$F$3:$F$94='[2]Questionnaire Responses'!V286),0)),"MISSING"))</f>
        <v/>
      </c>
      <c r="W285" s="206"/>
      <c r="X285" s="183" t="str">
        <f t="array" ref="X285">IF(Table133[[#This Row],[Survey?]]="","",IFERROR(INDEX([2]Rubric!$G$3:$G$94,MATCH(1,([2]Rubric!$E$3:$E$94=X$2)*([2]Rubric!$F$3:$F$94='[2]Questionnaire Responses'!X286),0)),"MISSING"))</f>
        <v/>
      </c>
      <c r="Y285" s="206"/>
      <c r="Z285" s="183" t="str">
        <f t="array" ref="Z285">IF(Table133[[#This Row],[Survey?]]="","",IFERROR(INDEX([2]Rubric!$G$3:$G$94,MATCH(1,([2]Rubric!$E$3:$E$94=Z$2)*([2]Rubric!$F$3:$F$94='[2]Questionnaire Responses'!Z286),0)),"MISSING"))</f>
        <v/>
      </c>
      <c r="AA285" s="183" t="str">
        <f t="array" ref="AA285">IF(Table133[[#This Row],[Survey?]]="","",IFERROR(INDEX([2]Rubric!$G$3:$G$94,MATCH(1,([2]Rubric!$E$3:$E$94=AA$2)*([2]Rubric!$F$3:$F$94='[2]Questionnaire Responses'!AA286),0)),"MISSING"))</f>
        <v/>
      </c>
      <c r="AB285" s="183" t="str">
        <f t="array" ref="AB285">IF(Table133[[#This Row],[Survey?]]="","",IFERROR(INDEX([2]Rubric!$G$3:$G$94,MATCH(1,([2]Rubric!$E$3:$E$94=AB$2)*([2]Rubric!$F$3:$F$94='[2]Questionnaire Responses'!AB286),0)),"MISSING"))</f>
        <v/>
      </c>
      <c r="AC285" s="206"/>
      <c r="AD285" s="183" t="str">
        <f t="array" ref="AD285">IF(Table133[[#This Row],[Survey?]]="","",IFERROR(INDEX([2]Rubric!$G$3:$G$94,MATCH(1,([2]Rubric!$E$3:$E$94=AD$2)*([2]Rubric!$F$3:$F$94='[2]Questionnaire Responses'!AD286),0)),"MISSING"))</f>
        <v/>
      </c>
      <c r="AE285" s="183" t="str">
        <f t="array" ref="AE285">IF(Table133[[#This Row],[Survey?]]="","",IFERROR(INDEX([2]Rubric!$G$3:$G$94,MATCH(1,([2]Rubric!$E$3:$E$94=AE$2)*([2]Rubric!$F$3:$F$94='[2]Questionnaire Responses'!AE286),0)),"MISSING"))</f>
        <v/>
      </c>
      <c r="AF285" s="206"/>
      <c r="AG285" s="183" t="str">
        <f t="array" ref="AG285">IF(Table133[[#This Row],[Survey?]]="","",IFERROR(INDEX([2]Rubric!$G$3:$G$94,MATCH(1,([2]Rubric!$E$3:$E$94=AG$2)*([2]Rubric!$F$3:$F$94='[2]Questionnaire Responses'!AG286),0)),"MISSING"))</f>
        <v/>
      </c>
    </row>
    <row r="286" spans="1:33" ht="12.75" customHeight="1" x14ac:dyDescent="0.25">
      <c r="A286" s="207">
        <f>'[2]Questionnaire Responses'!A287</f>
        <v>0</v>
      </c>
      <c r="B286" s="198">
        <f>'[2]Questionnaire Responses'!B287</f>
        <v>0</v>
      </c>
      <c r="C286" s="153">
        <f>'[2]Questionnaire Responses'!C287</f>
        <v>0</v>
      </c>
      <c r="D286" s="208"/>
      <c r="E286" s="206"/>
      <c r="F286" s="183" t="str">
        <f t="array" ref="F286">IF(Table133[[#This Row],[Survey?]]="","",IFERROR(INDEX([2]Rubric!$G$3:$G$94,MATCH(1,([2]Rubric!$E$3:$E$94=F$2)*([2]Rubric!$F$3:$F$94='[2]Questionnaire Responses'!F287),0)),"MISSING"))</f>
        <v/>
      </c>
      <c r="G286" s="183" t="str">
        <f t="array" ref="G286">IF(Table133[[#This Row],[Survey?]]="","",IFERROR(INDEX([2]Rubric!$G$3:$G$94,MATCH(1,([2]Rubric!$E$3:$E$94=G$2)*([2]Rubric!$F$3:$F$94='[2]Questionnaire Responses'!G287),0)),"MISSING"))</f>
        <v/>
      </c>
      <c r="H286" s="183" t="str">
        <f t="array" ref="H286">IF(Table133[[#This Row],[Survey?]]="","",IFERROR(INDEX([2]Rubric!$G$3:$G$94,MATCH(1,([2]Rubric!$E$3:$E$94=H$2)*([2]Rubric!$F$3:$F$94='[2]Questionnaire Responses'!H287),0)),"MISSING"))</f>
        <v/>
      </c>
      <c r="I286" s="183" t="str">
        <f t="array" ref="I286">IF(Table133[[#This Row],[Survey?]]="","",IFERROR(INDEX([2]Rubric!$G$3:$G$94,MATCH(1,([2]Rubric!$E$3:$E$94=I$2)*([2]Rubric!$F$3:$F$94='[2]Questionnaire Responses'!I287),0)),"MISSING"))</f>
        <v/>
      </c>
      <c r="J286" s="183" t="str">
        <f t="array" ref="J286">IF(Table133[[#This Row],[Survey?]]="","",IFERROR(INDEX([2]Rubric!$G$3:$G$94,MATCH(1,([2]Rubric!$E$3:$E$94=J$2)*([2]Rubric!$F$3:$F$94='[2]Questionnaire Responses'!J287),0)),"MISSING"))</f>
        <v/>
      </c>
      <c r="K286" s="206"/>
      <c r="L286" s="183" t="str">
        <f t="array" ref="L286">IF(Table133[[#This Row],[Survey?]]="","",IFERROR(INDEX([2]Rubric!$G$3:$G$94,MATCH(1,([2]Rubric!$E$3:$E$94=L$2)*([2]Rubric!$F$3:$F$94='[2]Questionnaire Responses'!L287),0)),"MISSING"))</f>
        <v/>
      </c>
      <c r="M286" s="206"/>
      <c r="N286" s="183" t="str">
        <f t="array" ref="N286">IF(Table133[[#This Row],[Survey?]]="","",IFERROR(INDEX([2]Rubric!$G$3:$G$94,MATCH(1,([2]Rubric!$E$3:$E$94=N$2)*([2]Rubric!$F$3:$F$94='[2]Questionnaire Responses'!N287),0)),"MISSING"))</f>
        <v/>
      </c>
      <c r="O286" s="183" t="str">
        <f t="array" ref="O286">IF(Table133[[#This Row],[Survey?]]="","",IFERROR(INDEX([2]Rubric!$G$3:$G$94,MATCH(1,([2]Rubric!$E$3:$E$94=O$2)*([2]Rubric!$F$3:$F$94='[2]Questionnaire Responses'!O287),0)),"MISSING"))</f>
        <v/>
      </c>
      <c r="P286" s="206"/>
      <c r="Q286" s="183" t="str">
        <f t="array" ref="Q286">IF(Table133[[#This Row],[Survey?]]="","",IFERROR(INDEX([2]Rubric!$G$3:$G$94,MATCH(1,([2]Rubric!$E$3:$E$94=Q$2)*([2]Rubric!$F$3:$F$94='[2]Questionnaire Responses'!Q287),0)),"MISSING"))</f>
        <v/>
      </c>
      <c r="R286" s="183" t="str">
        <f t="array" ref="R286">IF(Table133[[#This Row],[Survey?]]="","",IFERROR(INDEX([2]Rubric!$G$3:$G$94,MATCH(1,([2]Rubric!$E$3:$E$94=R$2)*([2]Rubric!$F$3:$F$94='[2]Questionnaire Responses'!R287),0)),"MISSING"))</f>
        <v/>
      </c>
      <c r="S286" s="183" t="str">
        <f t="array" ref="S286">IF(Table133[[#This Row],[Survey?]]="","",IFERROR(INDEX([2]Rubric!$G$3:$G$94,MATCH(1,([2]Rubric!$E$3:$E$94=S$2)*([2]Rubric!$F$3:$F$94='[2]Questionnaire Responses'!S287),0)),"MISSING"))</f>
        <v/>
      </c>
      <c r="T286" s="183" t="str">
        <f t="array" ref="T286">IF(Table133[[#This Row],[Survey?]]="","",IFERROR(INDEX([2]Rubric!$G$3:$G$94,MATCH(1,([2]Rubric!$E$3:$E$94=T$2)*([2]Rubric!$F$3:$F$94='[2]Questionnaire Responses'!T287),0)),"MISSING"))</f>
        <v/>
      </c>
      <c r="U286" s="206"/>
      <c r="V286" s="183" t="str">
        <f t="array" ref="V286">IF(Table133[[#This Row],[Survey?]]="","",IFERROR(INDEX([2]Rubric!$G$3:$G$94,MATCH(1,([2]Rubric!$E$3:$E$94=V$2)*([2]Rubric!$F$3:$F$94='[2]Questionnaire Responses'!V287),0)),"MISSING"))</f>
        <v/>
      </c>
      <c r="W286" s="206"/>
      <c r="X286" s="183" t="str">
        <f t="array" ref="X286">IF(Table133[[#This Row],[Survey?]]="","",IFERROR(INDEX([2]Rubric!$G$3:$G$94,MATCH(1,([2]Rubric!$E$3:$E$94=X$2)*([2]Rubric!$F$3:$F$94='[2]Questionnaire Responses'!X287),0)),"MISSING"))</f>
        <v/>
      </c>
      <c r="Y286" s="206"/>
      <c r="Z286" s="183" t="str">
        <f t="array" ref="Z286">IF(Table133[[#This Row],[Survey?]]="","",IFERROR(INDEX([2]Rubric!$G$3:$G$94,MATCH(1,([2]Rubric!$E$3:$E$94=Z$2)*([2]Rubric!$F$3:$F$94='[2]Questionnaire Responses'!Z287),0)),"MISSING"))</f>
        <v/>
      </c>
      <c r="AA286" s="183" t="str">
        <f t="array" ref="AA286">IF(Table133[[#This Row],[Survey?]]="","",IFERROR(INDEX([2]Rubric!$G$3:$G$94,MATCH(1,([2]Rubric!$E$3:$E$94=AA$2)*([2]Rubric!$F$3:$F$94='[2]Questionnaire Responses'!AA287),0)),"MISSING"))</f>
        <v/>
      </c>
      <c r="AB286" s="183" t="str">
        <f t="array" ref="AB286">IF(Table133[[#This Row],[Survey?]]="","",IFERROR(INDEX([2]Rubric!$G$3:$G$94,MATCH(1,([2]Rubric!$E$3:$E$94=AB$2)*([2]Rubric!$F$3:$F$94='[2]Questionnaire Responses'!AB287),0)),"MISSING"))</f>
        <v/>
      </c>
      <c r="AC286" s="206"/>
      <c r="AD286" s="183" t="str">
        <f t="array" ref="AD286">IF(Table133[[#This Row],[Survey?]]="","",IFERROR(INDEX([2]Rubric!$G$3:$G$94,MATCH(1,([2]Rubric!$E$3:$E$94=AD$2)*([2]Rubric!$F$3:$F$94='[2]Questionnaire Responses'!AD287),0)),"MISSING"))</f>
        <v/>
      </c>
      <c r="AE286" s="183" t="str">
        <f t="array" ref="AE286">IF(Table133[[#This Row],[Survey?]]="","",IFERROR(INDEX([2]Rubric!$G$3:$G$94,MATCH(1,([2]Rubric!$E$3:$E$94=AE$2)*([2]Rubric!$F$3:$F$94='[2]Questionnaire Responses'!AE287),0)),"MISSING"))</f>
        <v/>
      </c>
      <c r="AF286" s="206"/>
      <c r="AG286" s="183" t="str">
        <f t="array" ref="AG286">IF(Table133[[#This Row],[Survey?]]="","",IFERROR(INDEX([2]Rubric!$G$3:$G$94,MATCH(1,([2]Rubric!$E$3:$E$94=AG$2)*([2]Rubric!$F$3:$F$94='[2]Questionnaire Responses'!AG287),0)),"MISSING"))</f>
        <v/>
      </c>
    </row>
    <row r="287" spans="1:33" ht="12.75" customHeight="1" x14ac:dyDescent="0.25">
      <c r="A287" s="207">
        <f>'[2]Questionnaire Responses'!A288</f>
        <v>0</v>
      </c>
      <c r="B287" s="198">
        <f>'[2]Questionnaire Responses'!B288</f>
        <v>0</v>
      </c>
      <c r="C287" s="153">
        <f>'[2]Questionnaire Responses'!C288</f>
        <v>0</v>
      </c>
      <c r="D287" s="208"/>
      <c r="E287" s="206"/>
      <c r="F287" s="183" t="str">
        <f t="array" ref="F287">IF(Table133[[#This Row],[Survey?]]="","",IFERROR(INDEX([2]Rubric!$G$3:$G$94,MATCH(1,([2]Rubric!$E$3:$E$94=F$2)*([2]Rubric!$F$3:$F$94='[2]Questionnaire Responses'!F288),0)),"MISSING"))</f>
        <v/>
      </c>
      <c r="G287" s="183" t="str">
        <f t="array" ref="G287">IF(Table133[[#This Row],[Survey?]]="","",IFERROR(INDEX([2]Rubric!$G$3:$G$94,MATCH(1,([2]Rubric!$E$3:$E$94=G$2)*([2]Rubric!$F$3:$F$94='[2]Questionnaire Responses'!G288),0)),"MISSING"))</f>
        <v/>
      </c>
      <c r="H287" s="183" t="str">
        <f t="array" ref="H287">IF(Table133[[#This Row],[Survey?]]="","",IFERROR(INDEX([2]Rubric!$G$3:$G$94,MATCH(1,([2]Rubric!$E$3:$E$94=H$2)*([2]Rubric!$F$3:$F$94='[2]Questionnaire Responses'!H288),0)),"MISSING"))</f>
        <v/>
      </c>
      <c r="I287" s="183" t="str">
        <f t="array" ref="I287">IF(Table133[[#This Row],[Survey?]]="","",IFERROR(INDEX([2]Rubric!$G$3:$G$94,MATCH(1,([2]Rubric!$E$3:$E$94=I$2)*([2]Rubric!$F$3:$F$94='[2]Questionnaire Responses'!I288),0)),"MISSING"))</f>
        <v/>
      </c>
      <c r="J287" s="183" t="str">
        <f t="array" ref="J287">IF(Table133[[#This Row],[Survey?]]="","",IFERROR(INDEX([2]Rubric!$G$3:$G$94,MATCH(1,([2]Rubric!$E$3:$E$94=J$2)*([2]Rubric!$F$3:$F$94='[2]Questionnaire Responses'!J288),0)),"MISSING"))</f>
        <v/>
      </c>
      <c r="K287" s="206"/>
      <c r="L287" s="183" t="str">
        <f t="array" ref="L287">IF(Table133[[#This Row],[Survey?]]="","",IFERROR(INDEX([2]Rubric!$G$3:$G$94,MATCH(1,([2]Rubric!$E$3:$E$94=L$2)*([2]Rubric!$F$3:$F$94='[2]Questionnaire Responses'!L288),0)),"MISSING"))</f>
        <v/>
      </c>
      <c r="M287" s="206"/>
      <c r="N287" s="183" t="str">
        <f t="array" ref="N287">IF(Table133[[#This Row],[Survey?]]="","",IFERROR(INDEX([2]Rubric!$G$3:$G$94,MATCH(1,([2]Rubric!$E$3:$E$94=N$2)*([2]Rubric!$F$3:$F$94='[2]Questionnaire Responses'!N288),0)),"MISSING"))</f>
        <v/>
      </c>
      <c r="O287" s="183" t="str">
        <f t="array" ref="O287">IF(Table133[[#This Row],[Survey?]]="","",IFERROR(INDEX([2]Rubric!$G$3:$G$94,MATCH(1,([2]Rubric!$E$3:$E$94=O$2)*([2]Rubric!$F$3:$F$94='[2]Questionnaire Responses'!O288),0)),"MISSING"))</f>
        <v/>
      </c>
      <c r="P287" s="206"/>
      <c r="Q287" s="183" t="str">
        <f t="array" ref="Q287">IF(Table133[[#This Row],[Survey?]]="","",IFERROR(INDEX([2]Rubric!$G$3:$G$94,MATCH(1,([2]Rubric!$E$3:$E$94=Q$2)*([2]Rubric!$F$3:$F$94='[2]Questionnaire Responses'!Q288),0)),"MISSING"))</f>
        <v/>
      </c>
      <c r="R287" s="183" t="str">
        <f t="array" ref="R287">IF(Table133[[#This Row],[Survey?]]="","",IFERROR(INDEX([2]Rubric!$G$3:$G$94,MATCH(1,([2]Rubric!$E$3:$E$94=R$2)*([2]Rubric!$F$3:$F$94='[2]Questionnaire Responses'!R288),0)),"MISSING"))</f>
        <v/>
      </c>
      <c r="S287" s="183" t="str">
        <f t="array" ref="S287">IF(Table133[[#This Row],[Survey?]]="","",IFERROR(INDEX([2]Rubric!$G$3:$G$94,MATCH(1,([2]Rubric!$E$3:$E$94=S$2)*([2]Rubric!$F$3:$F$94='[2]Questionnaire Responses'!S288),0)),"MISSING"))</f>
        <v/>
      </c>
      <c r="T287" s="183" t="str">
        <f t="array" ref="T287">IF(Table133[[#This Row],[Survey?]]="","",IFERROR(INDEX([2]Rubric!$G$3:$G$94,MATCH(1,([2]Rubric!$E$3:$E$94=T$2)*([2]Rubric!$F$3:$F$94='[2]Questionnaire Responses'!T288),0)),"MISSING"))</f>
        <v/>
      </c>
      <c r="U287" s="206"/>
      <c r="V287" s="183" t="str">
        <f t="array" ref="V287">IF(Table133[[#This Row],[Survey?]]="","",IFERROR(INDEX([2]Rubric!$G$3:$G$94,MATCH(1,([2]Rubric!$E$3:$E$94=V$2)*([2]Rubric!$F$3:$F$94='[2]Questionnaire Responses'!V288),0)),"MISSING"))</f>
        <v/>
      </c>
      <c r="W287" s="206"/>
      <c r="X287" s="183" t="str">
        <f t="array" ref="X287">IF(Table133[[#This Row],[Survey?]]="","",IFERROR(INDEX([2]Rubric!$G$3:$G$94,MATCH(1,([2]Rubric!$E$3:$E$94=X$2)*([2]Rubric!$F$3:$F$94='[2]Questionnaire Responses'!X288),0)),"MISSING"))</f>
        <v/>
      </c>
      <c r="Y287" s="206"/>
      <c r="Z287" s="183" t="str">
        <f t="array" ref="Z287">IF(Table133[[#This Row],[Survey?]]="","",IFERROR(INDEX([2]Rubric!$G$3:$G$94,MATCH(1,([2]Rubric!$E$3:$E$94=Z$2)*([2]Rubric!$F$3:$F$94='[2]Questionnaire Responses'!Z288),0)),"MISSING"))</f>
        <v/>
      </c>
      <c r="AA287" s="183" t="str">
        <f t="array" ref="AA287">IF(Table133[[#This Row],[Survey?]]="","",IFERROR(INDEX([2]Rubric!$G$3:$G$94,MATCH(1,([2]Rubric!$E$3:$E$94=AA$2)*([2]Rubric!$F$3:$F$94='[2]Questionnaire Responses'!AA288),0)),"MISSING"))</f>
        <v/>
      </c>
      <c r="AB287" s="183" t="str">
        <f t="array" ref="AB287">IF(Table133[[#This Row],[Survey?]]="","",IFERROR(INDEX([2]Rubric!$G$3:$G$94,MATCH(1,([2]Rubric!$E$3:$E$94=AB$2)*([2]Rubric!$F$3:$F$94='[2]Questionnaire Responses'!AB288),0)),"MISSING"))</f>
        <v/>
      </c>
      <c r="AC287" s="206"/>
      <c r="AD287" s="183" t="str">
        <f t="array" ref="AD287">IF(Table133[[#This Row],[Survey?]]="","",IFERROR(INDEX([2]Rubric!$G$3:$G$94,MATCH(1,([2]Rubric!$E$3:$E$94=AD$2)*([2]Rubric!$F$3:$F$94='[2]Questionnaire Responses'!AD288),0)),"MISSING"))</f>
        <v/>
      </c>
      <c r="AE287" s="183" t="str">
        <f t="array" ref="AE287">IF(Table133[[#This Row],[Survey?]]="","",IFERROR(INDEX([2]Rubric!$G$3:$G$94,MATCH(1,([2]Rubric!$E$3:$E$94=AE$2)*([2]Rubric!$F$3:$F$94='[2]Questionnaire Responses'!AE288),0)),"MISSING"))</f>
        <v/>
      </c>
      <c r="AF287" s="206"/>
      <c r="AG287" s="183" t="str">
        <f t="array" ref="AG287">IF(Table133[[#This Row],[Survey?]]="","",IFERROR(INDEX([2]Rubric!$G$3:$G$94,MATCH(1,([2]Rubric!$E$3:$E$94=AG$2)*([2]Rubric!$F$3:$F$94='[2]Questionnaire Responses'!AG288),0)),"MISSING"))</f>
        <v/>
      </c>
    </row>
    <row r="288" spans="1:33" ht="12.75" customHeight="1" x14ac:dyDescent="0.25">
      <c r="A288" s="207">
        <f>'[2]Questionnaire Responses'!A289</f>
        <v>0</v>
      </c>
      <c r="B288" s="198">
        <f>'[2]Questionnaire Responses'!B289</f>
        <v>0</v>
      </c>
      <c r="C288" s="153">
        <f>'[2]Questionnaire Responses'!C289</f>
        <v>0</v>
      </c>
      <c r="D288" s="208"/>
      <c r="E288" s="206"/>
      <c r="F288" s="183" t="str">
        <f t="array" ref="F288">IF(Table133[[#This Row],[Survey?]]="","",IFERROR(INDEX([2]Rubric!$G$3:$G$94,MATCH(1,([2]Rubric!$E$3:$E$94=F$2)*([2]Rubric!$F$3:$F$94='[2]Questionnaire Responses'!F289),0)),"MISSING"))</f>
        <v/>
      </c>
      <c r="G288" s="183" t="str">
        <f t="array" ref="G288">IF(Table133[[#This Row],[Survey?]]="","",IFERROR(INDEX([2]Rubric!$G$3:$G$94,MATCH(1,([2]Rubric!$E$3:$E$94=G$2)*([2]Rubric!$F$3:$F$94='[2]Questionnaire Responses'!G289),0)),"MISSING"))</f>
        <v/>
      </c>
      <c r="H288" s="183" t="str">
        <f t="array" ref="H288">IF(Table133[[#This Row],[Survey?]]="","",IFERROR(INDEX([2]Rubric!$G$3:$G$94,MATCH(1,([2]Rubric!$E$3:$E$94=H$2)*([2]Rubric!$F$3:$F$94='[2]Questionnaire Responses'!H289),0)),"MISSING"))</f>
        <v/>
      </c>
      <c r="I288" s="183" t="str">
        <f t="array" ref="I288">IF(Table133[[#This Row],[Survey?]]="","",IFERROR(INDEX([2]Rubric!$G$3:$G$94,MATCH(1,([2]Rubric!$E$3:$E$94=I$2)*([2]Rubric!$F$3:$F$94='[2]Questionnaire Responses'!I289),0)),"MISSING"))</f>
        <v/>
      </c>
      <c r="J288" s="183" t="str">
        <f t="array" ref="J288">IF(Table133[[#This Row],[Survey?]]="","",IFERROR(INDEX([2]Rubric!$G$3:$G$94,MATCH(1,([2]Rubric!$E$3:$E$94=J$2)*([2]Rubric!$F$3:$F$94='[2]Questionnaire Responses'!J289),0)),"MISSING"))</f>
        <v/>
      </c>
      <c r="K288" s="206"/>
      <c r="L288" s="183" t="str">
        <f t="array" ref="L288">IF(Table133[[#This Row],[Survey?]]="","",IFERROR(INDEX([2]Rubric!$G$3:$G$94,MATCH(1,([2]Rubric!$E$3:$E$94=L$2)*([2]Rubric!$F$3:$F$94='[2]Questionnaire Responses'!L289),0)),"MISSING"))</f>
        <v/>
      </c>
      <c r="M288" s="206"/>
      <c r="N288" s="183" t="str">
        <f t="array" ref="N288">IF(Table133[[#This Row],[Survey?]]="","",IFERROR(INDEX([2]Rubric!$G$3:$G$94,MATCH(1,([2]Rubric!$E$3:$E$94=N$2)*([2]Rubric!$F$3:$F$94='[2]Questionnaire Responses'!N289),0)),"MISSING"))</f>
        <v/>
      </c>
      <c r="O288" s="183" t="str">
        <f t="array" ref="O288">IF(Table133[[#This Row],[Survey?]]="","",IFERROR(INDEX([2]Rubric!$G$3:$G$94,MATCH(1,([2]Rubric!$E$3:$E$94=O$2)*([2]Rubric!$F$3:$F$94='[2]Questionnaire Responses'!O289),0)),"MISSING"))</f>
        <v/>
      </c>
      <c r="P288" s="206"/>
      <c r="Q288" s="183" t="str">
        <f t="array" ref="Q288">IF(Table133[[#This Row],[Survey?]]="","",IFERROR(INDEX([2]Rubric!$G$3:$G$94,MATCH(1,([2]Rubric!$E$3:$E$94=Q$2)*([2]Rubric!$F$3:$F$94='[2]Questionnaire Responses'!Q289),0)),"MISSING"))</f>
        <v/>
      </c>
      <c r="R288" s="183" t="str">
        <f t="array" ref="R288">IF(Table133[[#This Row],[Survey?]]="","",IFERROR(INDEX([2]Rubric!$G$3:$G$94,MATCH(1,([2]Rubric!$E$3:$E$94=R$2)*([2]Rubric!$F$3:$F$94='[2]Questionnaire Responses'!R289),0)),"MISSING"))</f>
        <v/>
      </c>
      <c r="S288" s="183" t="str">
        <f t="array" ref="S288">IF(Table133[[#This Row],[Survey?]]="","",IFERROR(INDEX([2]Rubric!$G$3:$G$94,MATCH(1,([2]Rubric!$E$3:$E$94=S$2)*([2]Rubric!$F$3:$F$94='[2]Questionnaire Responses'!S289),0)),"MISSING"))</f>
        <v/>
      </c>
      <c r="T288" s="183" t="str">
        <f t="array" ref="T288">IF(Table133[[#This Row],[Survey?]]="","",IFERROR(INDEX([2]Rubric!$G$3:$G$94,MATCH(1,([2]Rubric!$E$3:$E$94=T$2)*([2]Rubric!$F$3:$F$94='[2]Questionnaire Responses'!T289),0)),"MISSING"))</f>
        <v/>
      </c>
      <c r="U288" s="206"/>
      <c r="V288" s="183" t="str">
        <f t="array" ref="V288">IF(Table133[[#This Row],[Survey?]]="","",IFERROR(INDEX([2]Rubric!$G$3:$G$94,MATCH(1,([2]Rubric!$E$3:$E$94=V$2)*([2]Rubric!$F$3:$F$94='[2]Questionnaire Responses'!V289),0)),"MISSING"))</f>
        <v/>
      </c>
      <c r="W288" s="206"/>
      <c r="X288" s="183" t="str">
        <f t="array" ref="X288">IF(Table133[[#This Row],[Survey?]]="","",IFERROR(INDEX([2]Rubric!$G$3:$G$94,MATCH(1,([2]Rubric!$E$3:$E$94=X$2)*([2]Rubric!$F$3:$F$94='[2]Questionnaire Responses'!X289),0)),"MISSING"))</f>
        <v/>
      </c>
      <c r="Y288" s="206"/>
      <c r="Z288" s="183" t="str">
        <f t="array" ref="Z288">IF(Table133[[#This Row],[Survey?]]="","",IFERROR(INDEX([2]Rubric!$G$3:$G$94,MATCH(1,([2]Rubric!$E$3:$E$94=Z$2)*([2]Rubric!$F$3:$F$94='[2]Questionnaire Responses'!Z289),0)),"MISSING"))</f>
        <v/>
      </c>
      <c r="AA288" s="183" t="str">
        <f t="array" ref="AA288">IF(Table133[[#This Row],[Survey?]]="","",IFERROR(INDEX([2]Rubric!$G$3:$G$94,MATCH(1,([2]Rubric!$E$3:$E$94=AA$2)*([2]Rubric!$F$3:$F$94='[2]Questionnaire Responses'!AA289),0)),"MISSING"))</f>
        <v/>
      </c>
      <c r="AB288" s="183" t="str">
        <f t="array" ref="AB288">IF(Table133[[#This Row],[Survey?]]="","",IFERROR(INDEX([2]Rubric!$G$3:$G$94,MATCH(1,([2]Rubric!$E$3:$E$94=AB$2)*([2]Rubric!$F$3:$F$94='[2]Questionnaire Responses'!AB289),0)),"MISSING"))</f>
        <v/>
      </c>
      <c r="AC288" s="206"/>
      <c r="AD288" s="183" t="str">
        <f t="array" ref="AD288">IF(Table133[[#This Row],[Survey?]]="","",IFERROR(INDEX([2]Rubric!$G$3:$G$94,MATCH(1,([2]Rubric!$E$3:$E$94=AD$2)*([2]Rubric!$F$3:$F$94='[2]Questionnaire Responses'!AD289),0)),"MISSING"))</f>
        <v/>
      </c>
      <c r="AE288" s="183" t="str">
        <f t="array" ref="AE288">IF(Table133[[#This Row],[Survey?]]="","",IFERROR(INDEX([2]Rubric!$G$3:$G$94,MATCH(1,([2]Rubric!$E$3:$E$94=AE$2)*([2]Rubric!$F$3:$F$94='[2]Questionnaire Responses'!AE289),0)),"MISSING"))</f>
        <v/>
      </c>
      <c r="AF288" s="206"/>
      <c r="AG288" s="183" t="str">
        <f t="array" ref="AG288">IF(Table133[[#This Row],[Survey?]]="","",IFERROR(INDEX([2]Rubric!$G$3:$G$94,MATCH(1,([2]Rubric!$E$3:$E$94=AG$2)*([2]Rubric!$F$3:$F$94='[2]Questionnaire Responses'!AG289),0)),"MISSING"))</f>
        <v/>
      </c>
    </row>
    <row r="289" spans="1:33" ht="12.75" customHeight="1" x14ac:dyDescent="0.25">
      <c r="A289" s="207">
        <f>'[2]Questionnaire Responses'!A290</f>
        <v>0</v>
      </c>
      <c r="B289" s="198">
        <f>'[2]Questionnaire Responses'!B290</f>
        <v>0</v>
      </c>
      <c r="C289" s="153">
        <f>'[2]Questionnaire Responses'!C290</f>
        <v>0</v>
      </c>
      <c r="D289" s="208"/>
      <c r="E289" s="206"/>
      <c r="F289" s="183" t="str">
        <f t="array" ref="F289">IF(Table133[[#This Row],[Survey?]]="","",IFERROR(INDEX([2]Rubric!$G$3:$G$94,MATCH(1,([2]Rubric!$E$3:$E$94=F$2)*([2]Rubric!$F$3:$F$94='[2]Questionnaire Responses'!F290),0)),"MISSING"))</f>
        <v/>
      </c>
      <c r="G289" s="183" t="str">
        <f t="array" ref="G289">IF(Table133[[#This Row],[Survey?]]="","",IFERROR(INDEX([2]Rubric!$G$3:$G$94,MATCH(1,([2]Rubric!$E$3:$E$94=G$2)*([2]Rubric!$F$3:$F$94='[2]Questionnaire Responses'!G290),0)),"MISSING"))</f>
        <v/>
      </c>
      <c r="H289" s="183" t="str">
        <f t="array" ref="H289">IF(Table133[[#This Row],[Survey?]]="","",IFERROR(INDEX([2]Rubric!$G$3:$G$94,MATCH(1,([2]Rubric!$E$3:$E$94=H$2)*([2]Rubric!$F$3:$F$94='[2]Questionnaire Responses'!H290),0)),"MISSING"))</f>
        <v/>
      </c>
      <c r="I289" s="183" t="str">
        <f t="array" ref="I289">IF(Table133[[#This Row],[Survey?]]="","",IFERROR(INDEX([2]Rubric!$G$3:$G$94,MATCH(1,([2]Rubric!$E$3:$E$94=I$2)*([2]Rubric!$F$3:$F$94='[2]Questionnaire Responses'!I290),0)),"MISSING"))</f>
        <v/>
      </c>
      <c r="J289" s="183" t="str">
        <f t="array" ref="J289">IF(Table133[[#This Row],[Survey?]]="","",IFERROR(INDEX([2]Rubric!$G$3:$G$94,MATCH(1,([2]Rubric!$E$3:$E$94=J$2)*([2]Rubric!$F$3:$F$94='[2]Questionnaire Responses'!J290),0)),"MISSING"))</f>
        <v/>
      </c>
      <c r="K289" s="206"/>
      <c r="L289" s="183" t="str">
        <f t="array" ref="L289">IF(Table133[[#This Row],[Survey?]]="","",IFERROR(INDEX([2]Rubric!$G$3:$G$94,MATCH(1,([2]Rubric!$E$3:$E$94=L$2)*([2]Rubric!$F$3:$F$94='[2]Questionnaire Responses'!L290),0)),"MISSING"))</f>
        <v/>
      </c>
      <c r="M289" s="206"/>
      <c r="N289" s="183" t="str">
        <f t="array" ref="N289">IF(Table133[[#This Row],[Survey?]]="","",IFERROR(INDEX([2]Rubric!$G$3:$G$94,MATCH(1,([2]Rubric!$E$3:$E$94=N$2)*([2]Rubric!$F$3:$F$94='[2]Questionnaire Responses'!N290),0)),"MISSING"))</f>
        <v/>
      </c>
      <c r="O289" s="183" t="str">
        <f t="array" ref="O289">IF(Table133[[#This Row],[Survey?]]="","",IFERROR(INDEX([2]Rubric!$G$3:$G$94,MATCH(1,([2]Rubric!$E$3:$E$94=O$2)*([2]Rubric!$F$3:$F$94='[2]Questionnaire Responses'!O290),0)),"MISSING"))</f>
        <v/>
      </c>
      <c r="P289" s="206"/>
      <c r="Q289" s="183" t="str">
        <f t="array" ref="Q289">IF(Table133[[#This Row],[Survey?]]="","",IFERROR(INDEX([2]Rubric!$G$3:$G$94,MATCH(1,([2]Rubric!$E$3:$E$94=Q$2)*([2]Rubric!$F$3:$F$94='[2]Questionnaire Responses'!Q290),0)),"MISSING"))</f>
        <v/>
      </c>
      <c r="R289" s="183" t="str">
        <f t="array" ref="R289">IF(Table133[[#This Row],[Survey?]]="","",IFERROR(INDEX([2]Rubric!$G$3:$G$94,MATCH(1,([2]Rubric!$E$3:$E$94=R$2)*([2]Rubric!$F$3:$F$94='[2]Questionnaire Responses'!R290),0)),"MISSING"))</f>
        <v/>
      </c>
      <c r="S289" s="183" t="str">
        <f t="array" ref="S289">IF(Table133[[#This Row],[Survey?]]="","",IFERROR(INDEX([2]Rubric!$G$3:$G$94,MATCH(1,([2]Rubric!$E$3:$E$94=S$2)*([2]Rubric!$F$3:$F$94='[2]Questionnaire Responses'!S290),0)),"MISSING"))</f>
        <v/>
      </c>
      <c r="T289" s="183" t="str">
        <f t="array" ref="T289">IF(Table133[[#This Row],[Survey?]]="","",IFERROR(INDEX([2]Rubric!$G$3:$G$94,MATCH(1,([2]Rubric!$E$3:$E$94=T$2)*([2]Rubric!$F$3:$F$94='[2]Questionnaire Responses'!T290),0)),"MISSING"))</f>
        <v/>
      </c>
      <c r="U289" s="206"/>
      <c r="V289" s="183" t="str">
        <f t="array" ref="V289">IF(Table133[[#This Row],[Survey?]]="","",IFERROR(INDEX([2]Rubric!$G$3:$G$94,MATCH(1,([2]Rubric!$E$3:$E$94=V$2)*([2]Rubric!$F$3:$F$94='[2]Questionnaire Responses'!V290),0)),"MISSING"))</f>
        <v/>
      </c>
      <c r="W289" s="206"/>
      <c r="X289" s="183" t="str">
        <f t="array" ref="X289">IF(Table133[[#This Row],[Survey?]]="","",IFERROR(INDEX([2]Rubric!$G$3:$G$94,MATCH(1,([2]Rubric!$E$3:$E$94=X$2)*([2]Rubric!$F$3:$F$94='[2]Questionnaire Responses'!X290),0)),"MISSING"))</f>
        <v/>
      </c>
      <c r="Y289" s="206"/>
      <c r="Z289" s="183" t="str">
        <f t="array" ref="Z289">IF(Table133[[#This Row],[Survey?]]="","",IFERROR(INDEX([2]Rubric!$G$3:$G$94,MATCH(1,([2]Rubric!$E$3:$E$94=Z$2)*([2]Rubric!$F$3:$F$94='[2]Questionnaire Responses'!Z290),0)),"MISSING"))</f>
        <v/>
      </c>
      <c r="AA289" s="183" t="str">
        <f t="array" ref="AA289">IF(Table133[[#This Row],[Survey?]]="","",IFERROR(INDEX([2]Rubric!$G$3:$G$94,MATCH(1,([2]Rubric!$E$3:$E$94=AA$2)*([2]Rubric!$F$3:$F$94='[2]Questionnaire Responses'!AA290),0)),"MISSING"))</f>
        <v/>
      </c>
      <c r="AB289" s="183" t="str">
        <f t="array" ref="AB289">IF(Table133[[#This Row],[Survey?]]="","",IFERROR(INDEX([2]Rubric!$G$3:$G$94,MATCH(1,([2]Rubric!$E$3:$E$94=AB$2)*([2]Rubric!$F$3:$F$94='[2]Questionnaire Responses'!AB290),0)),"MISSING"))</f>
        <v/>
      </c>
      <c r="AC289" s="206"/>
      <c r="AD289" s="183" t="str">
        <f t="array" ref="AD289">IF(Table133[[#This Row],[Survey?]]="","",IFERROR(INDEX([2]Rubric!$G$3:$G$94,MATCH(1,([2]Rubric!$E$3:$E$94=AD$2)*([2]Rubric!$F$3:$F$94='[2]Questionnaire Responses'!AD290),0)),"MISSING"))</f>
        <v/>
      </c>
      <c r="AE289" s="183" t="str">
        <f t="array" ref="AE289">IF(Table133[[#This Row],[Survey?]]="","",IFERROR(INDEX([2]Rubric!$G$3:$G$94,MATCH(1,([2]Rubric!$E$3:$E$94=AE$2)*([2]Rubric!$F$3:$F$94='[2]Questionnaire Responses'!AE290),0)),"MISSING"))</f>
        <v/>
      </c>
      <c r="AF289" s="206"/>
      <c r="AG289" s="183" t="str">
        <f t="array" ref="AG289">IF(Table133[[#This Row],[Survey?]]="","",IFERROR(INDEX([2]Rubric!$G$3:$G$94,MATCH(1,([2]Rubric!$E$3:$E$94=AG$2)*([2]Rubric!$F$3:$F$94='[2]Questionnaire Responses'!AG290),0)),"MISSING"))</f>
        <v/>
      </c>
    </row>
    <row r="290" spans="1:33" ht="12.75" customHeight="1" x14ac:dyDescent="0.25">
      <c r="A290" s="207">
        <f>'[2]Questionnaire Responses'!A291</f>
        <v>0</v>
      </c>
      <c r="B290" s="198">
        <f>'[2]Questionnaire Responses'!B291</f>
        <v>0</v>
      </c>
      <c r="C290" s="153">
        <f>'[2]Questionnaire Responses'!C291</f>
        <v>0</v>
      </c>
      <c r="D290" s="208"/>
      <c r="E290" s="206"/>
      <c r="F290" s="183" t="str">
        <f t="array" ref="F290">IF(Table133[[#This Row],[Survey?]]="","",IFERROR(INDEX([2]Rubric!$G$3:$G$94,MATCH(1,([2]Rubric!$E$3:$E$94=F$2)*([2]Rubric!$F$3:$F$94='[2]Questionnaire Responses'!F291),0)),"MISSING"))</f>
        <v/>
      </c>
      <c r="G290" s="183" t="str">
        <f t="array" ref="G290">IF(Table133[[#This Row],[Survey?]]="","",IFERROR(INDEX([2]Rubric!$G$3:$G$94,MATCH(1,([2]Rubric!$E$3:$E$94=G$2)*([2]Rubric!$F$3:$F$94='[2]Questionnaire Responses'!G291),0)),"MISSING"))</f>
        <v/>
      </c>
      <c r="H290" s="183" t="str">
        <f t="array" ref="H290">IF(Table133[[#This Row],[Survey?]]="","",IFERROR(INDEX([2]Rubric!$G$3:$G$94,MATCH(1,([2]Rubric!$E$3:$E$94=H$2)*([2]Rubric!$F$3:$F$94='[2]Questionnaire Responses'!H291),0)),"MISSING"))</f>
        <v/>
      </c>
      <c r="I290" s="183" t="str">
        <f t="array" ref="I290">IF(Table133[[#This Row],[Survey?]]="","",IFERROR(INDEX([2]Rubric!$G$3:$G$94,MATCH(1,([2]Rubric!$E$3:$E$94=I$2)*([2]Rubric!$F$3:$F$94='[2]Questionnaire Responses'!I291),0)),"MISSING"))</f>
        <v/>
      </c>
      <c r="J290" s="183" t="str">
        <f t="array" ref="J290">IF(Table133[[#This Row],[Survey?]]="","",IFERROR(INDEX([2]Rubric!$G$3:$G$94,MATCH(1,([2]Rubric!$E$3:$E$94=J$2)*([2]Rubric!$F$3:$F$94='[2]Questionnaire Responses'!J291),0)),"MISSING"))</f>
        <v/>
      </c>
      <c r="K290" s="206"/>
      <c r="L290" s="183" t="str">
        <f t="array" ref="L290">IF(Table133[[#This Row],[Survey?]]="","",IFERROR(INDEX([2]Rubric!$G$3:$G$94,MATCH(1,([2]Rubric!$E$3:$E$94=L$2)*([2]Rubric!$F$3:$F$94='[2]Questionnaire Responses'!L291),0)),"MISSING"))</f>
        <v/>
      </c>
      <c r="M290" s="206"/>
      <c r="N290" s="183" t="str">
        <f t="array" ref="N290">IF(Table133[[#This Row],[Survey?]]="","",IFERROR(INDEX([2]Rubric!$G$3:$G$94,MATCH(1,([2]Rubric!$E$3:$E$94=N$2)*([2]Rubric!$F$3:$F$94='[2]Questionnaire Responses'!N291),0)),"MISSING"))</f>
        <v/>
      </c>
      <c r="O290" s="183" t="str">
        <f t="array" ref="O290">IF(Table133[[#This Row],[Survey?]]="","",IFERROR(INDEX([2]Rubric!$G$3:$G$94,MATCH(1,([2]Rubric!$E$3:$E$94=O$2)*([2]Rubric!$F$3:$F$94='[2]Questionnaire Responses'!O291),0)),"MISSING"))</f>
        <v/>
      </c>
      <c r="P290" s="206"/>
      <c r="Q290" s="183" t="str">
        <f t="array" ref="Q290">IF(Table133[[#This Row],[Survey?]]="","",IFERROR(INDEX([2]Rubric!$G$3:$G$94,MATCH(1,([2]Rubric!$E$3:$E$94=Q$2)*([2]Rubric!$F$3:$F$94='[2]Questionnaire Responses'!Q291),0)),"MISSING"))</f>
        <v/>
      </c>
      <c r="R290" s="183" t="str">
        <f t="array" ref="R290">IF(Table133[[#This Row],[Survey?]]="","",IFERROR(INDEX([2]Rubric!$G$3:$G$94,MATCH(1,([2]Rubric!$E$3:$E$94=R$2)*([2]Rubric!$F$3:$F$94='[2]Questionnaire Responses'!R291),0)),"MISSING"))</f>
        <v/>
      </c>
      <c r="S290" s="183" t="str">
        <f t="array" ref="S290">IF(Table133[[#This Row],[Survey?]]="","",IFERROR(INDEX([2]Rubric!$G$3:$G$94,MATCH(1,([2]Rubric!$E$3:$E$94=S$2)*([2]Rubric!$F$3:$F$94='[2]Questionnaire Responses'!S291),0)),"MISSING"))</f>
        <v/>
      </c>
      <c r="T290" s="183" t="str">
        <f t="array" ref="T290">IF(Table133[[#This Row],[Survey?]]="","",IFERROR(INDEX([2]Rubric!$G$3:$G$94,MATCH(1,([2]Rubric!$E$3:$E$94=T$2)*([2]Rubric!$F$3:$F$94='[2]Questionnaire Responses'!T291),0)),"MISSING"))</f>
        <v/>
      </c>
      <c r="U290" s="206"/>
      <c r="V290" s="183" t="str">
        <f t="array" ref="V290">IF(Table133[[#This Row],[Survey?]]="","",IFERROR(INDEX([2]Rubric!$G$3:$G$94,MATCH(1,([2]Rubric!$E$3:$E$94=V$2)*([2]Rubric!$F$3:$F$94='[2]Questionnaire Responses'!V291),0)),"MISSING"))</f>
        <v/>
      </c>
      <c r="W290" s="206"/>
      <c r="X290" s="183" t="str">
        <f t="array" ref="X290">IF(Table133[[#This Row],[Survey?]]="","",IFERROR(INDEX([2]Rubric!$G$3:$G$94,MATCH(1,([2]Rubric!$E$3:$E$94=X$2)*([2]Rubric!$F$3:$F$94='[2]Questionnaire Responses'!X291),0)),"MISSING"))</f>
        <v/>
      </c>
      <c r="Y290" s="206"/>
      <c r="Z290" s="183" t="str">
        <f t="array" ref="Z290">IF(Table133[[#This Row],[Survey?]]="","",IFERROR(INDEX([2]Rubric!$G$3:$G$94,MATCH(1,([2]Rubric!$E$3:$E$94=Z$2)*([2]Rubric!$F$3:$F$94='[2]Questionnaire Responses'!Z291),0)),"MISSING"))</f>
        <v/>
      </c>
      <c r="AA290" s="183" t="str">
        <f t="array" ref="AA290">IF(Table133[[#This Row],[Survey?]]="","",IFERROR(INDEX([2]Rubric!$G$3:$G$94,MATCH(1,([2]Rubric!$E$3:$E$94=AA$2)*([2]Rubric!$F$3:$F$94='[2]Questionnaire Responses'!AA291),0)),"MISSING"))</f>
        <v/>
      </c>
      <c r="AB290" s="183" t="str">
        <f t="array" ref="AB290">IF(Table133[[#This Row],[Survey?]]="","",IFERROR(INDEX([2]Rubric!$G$3:$G$94,MATCH(1,([2]Rubric!$E$3:$E$94=AB$2)*([2]Rubric!$F$3:$F$94='[2]Questionnaire Responses'!AB291),0)),"MISSING"))</f>
        <v/>
      </c>
      <c r="AC290" s="206"/>
      <c r="AD290" s="183" t="str">
        <f t="array" ref="AD290">IF(Table133[[#This Row],[Survey?]]="","",IFERROR(INDEX([2]Rubric!$G$3:$G$94,MATCH(1,([2]Rubric!$E$3:$E$94=AD$2)*([2]Rubric!$F$3:$F$94='[2]Questionnaire Responses'!AD291),0)),"MISSING"))</f>
        <v/>
      </c>
      <c r="AE290" s="183" t="str">
        <f t="array" ref="AE290">IF(Table133[[#This Row],[Survey?]]="","",IFERROR(INDEX([2]Rubric!$G$3:$G$94,MATCH(1,([2]Rubric!$E$3:$E$94=AE$2)*([2]Rubric!$F$3:$F$94='[2]Questionnaire Responses'!AE291),0)),"MISSING"))</f>
        <v/>
      </c>
      <c r="AF290" s="206"/>
      <c r="AG290" s="183" t="str">
        <f t="array" ref="AG290">IF(Table133[[#This Row],[Survey?]]="","",IFERROR(INDEX([2]Rubric!$G$3:$G$94,MATCH(1,([2]Rubric!$E$3:$E$94=AG$2)*([2]Rubric!$F$3:$F$94='[2]Questionnaire Responses'!AG291),0)),"MISSING"))</f>
        <v/>
      </c>
    </row>
    <row r="291" spans="1:33" ht="12.75" customHeight="1" x14ac:dyDescent="0.25">
      <c r="A291" s="207">
        <f>'[2]Questionnaire Responses'!A292</f>
        <v>0</v>
      </c>
      <c r="B291" s="198">
        <f>'[2]Questionnaire Responses'!B292</f>
        <v>0</v>
      </c>
      <c r="C291" s="153">
        <f>'[2]Questionnaire Responses'!C292</f>
        <v>0</v>
      </c>
      <c r="D291" s="208"/>
      <c r="E291" s="206"/>
      <c r="F291" s="183" t="str">
        <f t="array" ref="F291">IF(Table133[[#This Row],[Survey?]]="","",IFERROR(INDEX([2]Rubric!$G$3:$G$94,MATCH(1,([2]Rubric!$E$3:$E$94=F$2)*([2]Rubric!$F$3:$F$94='[2]Questionnaire Responses'!F292),0)),"MISSING"))</f>
        <v/>
      </c>
      <c r="G291" s="183" t="str">
        <f t="array" ref="G291">IF(Table133[[#This Row],[Survey?]]="","",IFERROR(INDEX([2]Rubric!$G$3:$G$94,MATCH(1,([2]Rubric!$E$3:$E$94=G$2)*([2]Rubric!$F$3:$F$94='[2]Questionnaire Responses'!G292),0)),"MISSING"))</f>
        <v/>
      </c>
      <c r="H291" s="183" t="str">
        <f t="array" ref="H291">IF(Table133[[#This Row],[Survey?]]="","",IFERROR(INDEX([2]Rubric!$G$3:$G$94,MATCH(1,([2]Rubric!$E$3:$E$94=H$2)*([2]Rubric!$F$3:$F$94='[2]Questionnaire Responses'!H292),0)),"MISSING"))</f>
        <v/>
      </c>
      <c r="I291" s="183" t="str">
        <f t="array" ref="I291">IF(Table133[[#This Row],[Survey?]]="","",IFERROR(INDEX([2]Rubric!$G$3:$G$94,MATCH(1,([2]Rubric!$E$3:$E$94=I$2)*([2]Rubric!$F$3:$F$94='[2]Questionnaire Responses'!I292),0)),"MISSING"))</f>
        <v/>
      </c>
      <c r="J291" s="183" t="str">
        <f t="array" ref="J291">IF(Table133[[#This Row],[Survey?]]="","",IFERROR(INDEX([2]Rubric!$G$3:$G$94,MATCH(1,([2]Rubric!$E$3:$E$94=J$2)*([2]Rubric!$F$3:$F$94='[2]Questionnaire Responses'!J292),0)),"MISSING"))</f>
        <v/>
      </c>
      <c r="K291" s="206"/>
      <c r="L291" s="183" t="str">
        <f t="array" ref="L291">IF(Table133[[#This Row],[Survey?]]="","",IFERROR(INDEX([2]Rubric!$G$3:$G$94,MATCH(1,([2]Rubric!$E$3:$E$94=L$2)*([2]Rubric!$F$3:$F$94='[2]Questionnaire Responses'!L292),0)),"MISSING"))</f>
        <v/>
      </c>
      <c r="M291" s="206"/>
      <c r="N291" s="183" t="str">
        <f t="array" ref="N291">IF(Table133[[#This Row],[Survey?]]="","",IFERROR(INDEX([2]Rubric!$G$3:$G$94,MATCH(1,([2]Rubric!$E$3:$E$94=N$2)*([2]Rubric!$F$3:$F$94='[2]Questionnaire Responses'!N292),0)),"MISSING"))</f>
        <v/>
      </c>
      <c r="O291" s="183" t="str">
        <f t="array" ref="O291">IF(Table133[[#This Row],[Survey?]]="","",IFERROR(INDEX([2]Rubric!$G$3:$G$94,MATCH(1,([2]Rubric!$E$3:$E$94=O$2)*([2]Rubric!$F$3:$F$94='[2]Questionnaire Responses'!O292),0)),"MISSING"))</f>
        <v/>
      </c>
      <c r="P291" s="206"/>
      <c r="Q291" s="183" t="str">
        <f t="array" ref="Q291">IF(Table133[[#This Row],[Survey?]]="","",IFERROR(INDEX([2]Rubric!$G$3:$G$94,MATCH(1,([2]Rubric!$E$3:$E$94=Q$2)*([2]Rubric!$F$3:$F$94='[2]Questionnaire Responses'!Q292),0)),"MISSING"))</f>
        <v/>
      </c>
      <c r="R291" s="183" t="str">
        <f t="array" ref="R291">IF(Table133[[#This Row],[Survey?]]="","",IFERROR(INDEX([2]Rubric!$G$3:$G$94,MATCH(1,([2]Rubric!$E$3:$E$94=R$2)*([2]Rubric!$F$3:$F$94='[2]Questionnaire Responses'!R292),0)),"MISSING"))</f>
        <v/>
      </c>
      <c r="S291" s="183" t="str">
        <f t="array" ref="S291">IF(Table133[[#This Row],[Survey?]]="","",IFERROR(INDEX([2]Rubric!$G$3:$G$94,MATCH(1,([2]Rubric!$E$3:$E$94=S$2)*([2]Rubric!$F$3:$F$94='[2]Questionnaire Responses'!S292),0)),"MISSING"))</f>
        <v/>
      </c>
      <c r="T291" s="183" t="str">
        <f t="array" ref="T291">IF(Table133[[#This Row],[Survey?]]="","",IFERROR(INDEX([2]Rubric!$G$3:$G$94,MATCH(1,([2]Rubric!$E$3:$E$94=T$2)*([2]Rubric!$F$3:$F$94='[2]Questionnaire Responses'!T292),0)),"MISSING"))</f>
        <v/>
      </c>
      <c r="U291" s="206"/>
      <c r="V291" s="183" t="str">
        <f t="array" ref="V291">IF(Table133[[#This Row],[Survey?]]="","",IFERROR(INDEX([2]Rubric!$G$3:$G$94,MATCH(1,([2]Rubric!$E$3:$E$94=V$2)*([2]Rubric!$F$3:$F$94='[2]Questionnaire Responses'!V292),0)),"MISSING"))</f>
        <v/>
      </c>
      <c r="W291" s="206"/>
      <c r="X291" s="183" t="str">
        <f t="array" ref="X291">IF(Table133[[#This Row],[Survey?]]="","",IFERROR(INDEX([2]Rubric!$G$3:$G$94,MATCH(1,([2]Rubric!$E$3:$E$94=X$2)*([2]Rubric!$F$3:$F$94='[2]Questionnaire Responses'!X292),0)),"MISSING"))</f>
        <v/>
      </c>
      <c r="Y291" s="206"/>
      <c r="Z291" s="183" t="str">
        <f t="array" ref="Z291">IF(Table133[[#This Row],[Survey?]]="","",IFERROR(INDEX([2]Rubric!$G$3:$G$94,MATCH(1,([2]Rubric!$E$3:$E$94=Z$2)*([2]Rubric!$F$3:$F$94='[2]Questionnaire Responses'!Z292),0)),"MISSING"))</f>
        <v/>
      </c>
      <c r="AA291" s="183" t="str">
        <f t="array" ref="AA291">IF(Table133[[#This Row],[Survey?]]="","",IFERROR(INDEX([2]Rubric!$G$3:$G$94,MATCH(1,([2]Rubric!$E$3:$E$94=AA$2)*([2]Rubric!$F$3:$F$94='[2]Questionnaire Responses'!AA292),0)),"MISSING"))</f>
        <v/>
      </c>
      <c r="AB291" s="183" t="str">
        <f t="array" ref="AB291">IF(Table133[[#This Row],[Survey?]]="","",IFERROR(INDEX([2]Rubric!$G$3:$G$94,MATCH(1,([2]Rubric!$E$3:$E$94=AB$2)*([2]Rubric!$F$3:$F$94='[2]Questionnaire Responses'!AB292),0)),"MISSING"))</f>
        <v/>
      </c>
      <c r="AC291" s="206"/>
      <c r="AD291" s="183" t="str">
        <f t="array" ref="AD291">IF(Table133[[#This Row],[Survey?]]="","",IFERROR(INDEX([2]Rubric!$G$3:$G$94,MATCH(1,([2]Rubric!$E$3:$E$94=AD$2)*([2]Rubric!$F$3:$F$94='[2]Questionnaire Responses'!AD292),0)),"MISSING"))</f>
        <v/>
      </c>
      <c r="AE291" s="183" t="str">
        <f t="array" ref="AE291">IF(Table133[[#This Row],[Survey?]]="","",IFERROR(INDEX([2]Rubric!$G$3:$G$94,MATCH(1,([2]Rubric!$E$3:$E$94=AE$2)*([2]Rubric!$F$3:$F$94='[2]Questionnaire Responses'!AE292),0)),"MISSING"))</f>
        <v/>
      </c>
      <c r="AF291" s="206"/>
      <c r="AG291" s="183" t="str">
        <f t="array" ref="AG291">IF(Table133[[#This Row],[Survey?]]="","",IFERROR(INDEX([2]Rubric!$G$3:$G$94,MATCH(1,([2]Rubric!$E$3:$E$94=AG$2)*([2]Rubric!$F$3:$F$94='[2]Questionnaire Responses'!AG292),0)),"MISSING"))</f>
        <v/>
      </c>
    </row>
    <row r="292" spans="1:33" ht="12.75" customHeight="1" x14ac:dyDescent="0.25">
      <c r="A292" s="207">
        <f>'[2]Questionnaire Responses'!A293</f>
        <v>0</v>
      </c>
      <c r="B292" s="198">
        <f>'[2]Questionnaire Responses'!B293</f>
        <v>0</v>
      </c>
      <c r="C292" s="153">
        <f>'[2]Questionnaire Responses'!C293</f>
        <v>0</v>
      </c>
      <c r="D292" s="208"/>
      <c r="E292" s="206"/>
      <c r="F292" s="183" t="str">
        <f t="array" ref="F292">IF(Table133[[#This Row],[Survey?]]="","",IFERROR(INDEX([2]Rubric!$G$3:$G$94,MATCH(1,([2]Rubric!$E$3:$E$94=F$2)*([2]Rubric!$F$3:$F$94='[2]Questionnaire Responses'!F293),0)),"MISSING"))</f>
        <v/>
      </c>
      <c r="G292" s="183" t="str">
        <f t="array" ref="G292">IF(Table133[[#This Row],[Survey?]]="","",IFERROR(INDEX([2]Rubric!$G$3:$G$94,MATCH(1,([2]Rubric!$E$3:$E$94=G$2)*([2]Rubric!$F$3:$F$94='[2]Questionnaire Responses'!G293),0)),"MISSING"))</f>
        <v/>
      </c>
      <c r="H292" s="183" t="str">
        <f t="array" ref="H292">IF(Table133[[#This Row],[Survey?]]="","",IFERROR(INDEX([2]Rubric!$G$3:$G$94,MATCH(1,([2]Rubric!$E$3:$E$94=H$2)*([2]Rubric!$F$3:$F$94='[2]Questionnaire Responses'!H293),0)),"MISSING"))</f>
        <v/>
      </c>
      <c r="I292" s="183" t="str">
        <f t="array" ref="I292">IF(Table133[[#This Row],[Survey?]]="","",IFERROR(INDEX([2]Rubric!$G$3:$G$94,MATCH(1,([2]Rubric!$E$3:$E$94=I$2)*([2]Rubric!$F$3:$F$94='[2]Questionnaire Responses'!I293),0)),"MISSING"))</f>
        <v/>
      </c>
      <c r="J292" s="183" t="str">
        <f t="array" ref="J292">IF(Table133[[#This Row],[Survey?]]="","",IFERROR(INDEX([2]Rubric!$G$3:$G$94,MATCH(1,([2]Rubric!$E$3:$E$94=J$2)*([2]Rubric!$F$3:$F$94='[2]Questionnaire Responses'!J293),0)),"MISSING"))</f>
        <v/>
      </c>
      <c r="K292" s="206"/>
      <c r="L292" s="183" t="str">
        <f t="array" ref="L292">IF(Table133[[#This Row],[Survey?]]="","",IFERROR(INDEX([2]Rubric!$G$3:$G$94,MATCH(1,([2]Rubric!$E$3:$E$94=L$2)*([2]Rubric!$F$3:$F$94='[2]Questionnaire Responses'!L293),0)),"MISSING"))</f>
        <v/>
      </c>
      <c r="M292" s="206"/>
      <c r="N292" s="183" t="str">
        <f t="array" ref="N292">IF(Table133[[#This Row],[Survey?]]="","",IFERROR(INDEX([2]Rubric!$G$3:$G$94,MATCH(1,([2]Rubric!$E$3:$E$94=N$2)*([2]Rubric!$F$3:$F$94='[2]Questionnaire Responses'!N293),0)),"MISSING"))</f>
        <v/>
      </c>
      <c r="O292" s="183" t="str">
        <f t="array" ref="O292">IF(Table133[[#This Row],[Survey?]]="","",IFERROR(INDEX([2]Rubric!$G$3:$G$94,MATCH(1,([2]Rubric!$E$3:$E$94=O$2)*([2]Rubric!$F$3:$F$94='[2]Questionnaire Responses'!O293),0)),"MISSING"))</f>
        <v/>
      </c>
      <c r="P292" s="206"/>
      <c r="Q292" s="183" t="str">
        <f t="array" ref="Q292">IF(Table133[[#This Row],[Survey?]]="","",IFERROR(INDEX([2]Rubric!$G$3:$G$94,MATCH(1,([2]Rubric!$E$3:$E$94=Q$2)*([2]Rubric!$F$3:$F$94='[2]Questionnaire Responses'!Q293),0)),"MISSING"))</f>
        <v/>
      </c>
      <c r="R292" s="183" t="str">
        <f t="array" ref="R292">IF(Table133[[#This Row],[Survey?]]="","",IFERROR(INDEX([2]Rubric!$G$3:$G$94,MATCH(1,([2]Rubric!$E$3:$E$94=R$2)*([2]Rubric!$F$3:$F$94='[2]Questionnaire Responses'!R293),0)),"MISSING"))</f>
        <v/>
      </c>
      <c r="S292" s="183" t="str">
        <f t="array" ref="S292">IF(Table133[[#This Row],[Survey?]]="","",IFERROR(INDEX([2]Rubric!$G$3:$G$94,MATCH(1,([2]Rubric!$E$3:$E$94=S$2)*([2]Rubric!$F$3:$F$94='[2]Questionnaire Responses'!S293),0)),"MISSING"))</f>
        <v/>
      </c>
      <c r="T292" s="183" t="str">
        <f t="array" ref="T292">IF(Table133[[#This Row],[Survey?]]="","",IFERROR(INDEX([2]Rubric!$G$3:$G$94,MATCH(1,([2]Rubric!$E$3:$E$94=T$2)*([2]Rubric!$F$3:$F$94='[2]Questionnaire Responses'!T293),0)),"MISSING"))</f>
        <v/>
      </c>
      <c r="U292" s="206"/>
      <c r="V292" s="183" t="str">
        <f t="array" ref="V292">IF(Table133[[#This Row],[Survey?]]="","",IFERROR(INDEX([2]Rubric!$G$3:$G$94,MATCH(1,([2]Rubric!$E$3:$E$94=V$2)*([2]Rubric!$F$3:$F$94='[2]Questionnaire Responses'!V293),0)),"MISSING"))</f>
        <v/>
      </c>
      <c r="W292" s="206"/>
      <c r="X292" s="183" t="str">
        <f t="array" ref="X292">IF(Table133[[#This Row],[Survey?]]="","",IFERROR(INDEX([2]Rubric!$G$3:$G$94,MATCH(1,([2]Rubric!$E$3:$E$94=X$2)*([2]Rubric!$F$3:$F$94='[2]Questionnaire Responses'!X293),0)),"MISSING"))</f>
        <v/>
      </c>
      <c r="Y292" s="206"/>
      <c r="Z292" s="183" t="str">
        <f t="array" ref="Z292">IF(Table133[[#This Row],[Survey?]]="","",IFERROR(INDEX([2]Rubric!$G$3:$G$94,MATCH(1,([2]Rubric!$E$3:$E$94=Z$2)*([2]Rubric!$F$3:$F$94='[2]Questionnaire Responses'!Z293),0)),"MISSING"))</f>
        <v/>
      </c>
      <c r="AA292" s="183" t="str">
        <f t="array" ref="AA292">IF(Table133[[#This Row],[Survey?]]="","",IFERROR(INDEX([2]Rubric!$G$3:$G$94,MATCH(1,([2]Rubric!$E$3:$E$94=AA$2)*([2]Rubric!$F$3:$F$94='[2]Questionnaire Responses'!AA293),0)),"MISSING"))</f>
        <v/>
      </c>
      <c r="AB292" s="183" t="str">
        <f t="array" ref="AB292">IF(Table133[[#This Row],[Survey?]]="","",IFERROR(INDEX([2]Rubric!$G$3:$G$94,MATCH(1,([2]Rubric!$E$3:$E$94=AB$2)*([2]Rubric!$F$3:$F$94='[2]Questionnaire Responses'!AB293),0)),"MISSING"))</f>
        <v/>
      </c>
      <c r="AC292" s="206"/>
      <c r="AD292" s="183" t="str">
        <f t="array" ref="AD292">IF(Table133[[#This Row],[Survey?]]="","",IFERROR(INDEX([2]Rubric!$G$3:$G$94,MATCH(1,([2]Rubric!$E$3:$E$94=AD$2)*([2]Rubric!$F$3:$F$94='[2]Questionnaire Responses'!AD293),0)),"MISSING"))</f>
        <v/>
      </c>
      <c r="AE292" s="183" t="str">
        <f t="array" ref="AE292">IF(Table133[[#This Row],[Survey?]]="","",IFERROR(INDEX([2]Rubric!$G$3:$G$94,MATCH(1,([2]Rubric!$E$3:$E$94=AE$2)*([2]Rubric!$F$3:$F$94='[2]Questionnaire Responses'!AE293),0)),"MISSING"))</f>
        <v/>
      </c>
      <c r="AF292" s="206"/>
      <c r="AG292" s="183" t="str">
        <f t="array" ref="AG292">IF(Table133[[#This Row],[Survey?]]="","",IFERROR(INDEX([2]Rubric!$G$3:$G$94,MATCH(1,([2]Rubric!$E$3:$E$94=AG$2)*([2]Rubric!$F$3:$F$94='[2]Questionnaire Responses'!AG293),0)),"MISSING"))</f>
        <v/>
      </c>
    </row>
    <row r="293" spans="1:33" ht="12.75" customHeight="1" x14ac:dyDescent="0.25">
      <c r="A293" s="207">
        <f>'[2]Questionnaire Responses'!A294</f>
        <v>0</v>
      </c>
      <c r="B293" s="198">
        <f>'[2]Questionnaire Responses'!B294</f>
        <v>0</v>
      </c>
      <c r="C293" s="153">
        <f>'[2]Questionnaire Responses'!C294</f>
        <v>0</v>
      </c>
      <c r="D293" s="208"/>
      <c r="E293" s="206"/>
      <c r="F293" s="183" t="str">
        <f t="array" ref="F293">IF(Table133[[#This Row],[Survey?]]="","",IFERROR(INDEX([2]Rubric!$G$3:$G$94,MATCH(1,([2]Rubric!$E$3:$E$94=F$2)*([2]Rubric!$F$3:$F$94='[2]Questionnaire Responses'!F294),0)),"MISSING"))</f>
        <v/>
      </c>
      <c r="G293" s="183" t="str">
        <f t="array" ref="G293">IF(Table133[[#This Row],[Survey?]]="","",IFERROR(INDEX([2]Rubric!$G$3:$G$94,MATCH(1,([2]Rubric!$E$3:$E$94=G$2)*([2]Rubric!$F$3:$F$94='[2]Questionnaire Responses'!G294),0)),"MISSING"))</f>
        <v/>
      </c>
      <c r="H293" s="183" t="str">
        <f t="array" ref="H293">IF(Table133[[#This Row],[Survey?]]="","",IFERROR(INDEX([2]Rubric!$G$3:$G$94,MATCH(1,([2]Rubric!$E$3:$E$94=H$2)*([2]Rubric!$F$3:$F$94='[2]Questionnaire Responses'!H294),0)),"MISSING"))</f>
        <v/>
      </c>
      <c r="I293" s="183" t="str">
        <f t="array" ref="I293">IF(Table133[[#This Row],[Survey?]]="","",IFERROR(INDEX([2]Rubric!$G$3:$G$94,MATCH(1,([2]Rubric!$E$3:$E$94=I$2)*([2]Rubric!$F$3:$F$94='[2]Questionnaire Responses'!I294),0)),"MISSING"))</f>
        <v/>
      </c>
      <c r="J293" s="183" t="str">
        <f t="array" ref="J293">IF(Table133[[#This Row],[Survey?]]="","",IFERROR(INDEX([2]Rubric!$G$3:$G$94,MATCH(1,([2]Rubric!$E$3:$E$94=J$2)*([2]Rubric!$F$3:$F$94='[2]Questionnaire Responses'!J294),0)),"MISSING"))</f>
        <v/>
      </c>
      <c r="K293" s="206"/>
      <c r="L293" s="183" t="str">
        <f t="array" ref="L293">IF(Table133[[#This Row],[Survey?]]="","",IFERROR(INDEX([2]Rubric!$G$3:$G$94,MATCH(1,([2]Rubric!$E$3:$E$94=L$2)*([2]Rubric!$F$3:$F$94='[2]Questionnaire Responses'!L294),0)),"MISSING"))</f>
        <v/>
      </c>
      <c r="M293" s="206"/>
      <c r="N293" s="183" t="str">
        <f t="array" ref="N293">IF(Table133[[#This Row],[Survey?]]="","",IFERROR(INDEX([2]Rubric!$G$3:$G$94,MATCH(1,([2]Rubric!$E$3:$E$94=N$2)*([2]Rubric!$F$3:$F$94='[2]Questionnaire Responses'!N294),0)),"MISSING"))</f>
        <v/>
      </c>
      <c r="O293" s="183" t="str">
        <f t="array" ref="O293">IF(Table133[[#This Row],[Survey?]]="","",IFERROR(INDEX([2]Rubric!$G$3:$G$94,MATCH(1,([2]Rubric!$E$3:$E$94=O$2)*([2]Rubric!$F$3:$F$94='[2]Questionnaire Responses'!O294),0)),"MISSING"))</f>
        <v/>
      </c>
      <c r="P293" s="206"/>
      <c r="Q293" s="183" t="str">
        <f t="array" ref="Q293">IF(Table133[[#This Row],[Survey?]]="","",IFERROR(INDEX([2]Rubric!$G$3:$G$94,MATCH(1,([2]Rubric!$E$3:$E$94=Q$2)*([2]Rubric!$F$3:$F$94='[2]Questionnaire Responses'!Q294),0)),"MISSING"))</f>
        <v/>
      </c>
      <c r="R293" s="183" t="str">
        <f t="array" ref="R293">IF(Table133[[#This Row],[Survey?]]="","",IFERROR(INDEX([2]Rubric!$G$3:$G$94,MATCH(1,([2]Rubric!$E$3:$E$94=R$2)*([2]Rubric!$F$3:$F$94='[2]Questionnaire Responses'!R294),0)),"MISSING"))</f>
        <v/>
      </c>
      <c r="S293" s="183" t="str">
        <f t="array" ref="S293">IF(Table133[[#This Row],[Survey?]]="","",IFERROR(INDEX([2]Rubric!$G$3:$G$94,MATCH(1,([2]Rubric!$E$3:$E$94=S$2)*([2]Rubric!$F$3:$F$94='[2]Questionnaire Responses'!S294),0)),"MISSING"))</f>
        <v/>
      </c>
      <c r="T293" s="183" t="str">
        <f t="array" ref="T293">IF(Table133[[#This Row],[Survey?]]="","",IFERROR(INDEX([2]Rubric!$G$3:$G$94,MATCH(1,([2]Rubric!$E$3:$E$94=T$2)*([2]Rubric!$F$3:$F$94='[2]Questionnaire Responses'!T294),0)),"MISSING"))</f>
        <v/>
      </c>
      <c r="U293" s="206"/>
      <c r="V293" s="183" t="str">
        <f t="array" ref="V293">IF(Table133[[#This Row],[Survey?]]="","",IFERROR(INDEX([2]Rubric!$G$3:$G$94,MATCH(1,([2]Rubric!$E$3:$E$94=V$2)*([2]Rubric!$F$3:$F$94='[2]Questionnaire Responses'!V294),0)),"MISSING"))</f>
        <v/>
      </c>
      <c r="W293" s="206"/>
      <c r="X293" s="183" t="str">
        <f t="array" ref="X293">IF(Table133[[#This Row],[Survey?]]="","",IFERROR(INDEX([2]Rubric!$G$3:$G$94,MATCH(1,([2]Rubric!$E$3:$E$94=X$2)*([2]Rubric!$F$3:$F$94='[2]Questionnaire Responses'!X294),0)),"MISSING"))</f>
        <v/>
      </c>
      <c r="Y293" s="206"/>
      <c r="Z293" s="183" t="str">
        <f t="array" ref="Z293">IF(Table133[[#This Row],[Survey?]]="","",IFERROR(INDEX([2]Rubric!$G$3:$G$94,MATCH(1,([2]Rubric!$E$3:$E$94=Z$2)*([2]Rubric!$F$3:$F$94='[2]Questionnaire Responses'!Z294),0)),"MISSING"))</f>
        <v/>
      </c>
      <c r="AA293" s="183" t="str">
        <f t="array" ref="AA293">IF(Table133[[#This Row],[Survey?]]="","",IFERROR(INDEX([2]Rubric!$G$3:$G$94,MATCH(1,([2]Rubric!$E$3:$E$94=AA$2)*([2]Rubric!$F$3:$F$94='[2]Questionnaire Responses'!AA294),0)),"MISSING"))</f>
        <v/>
      </c>
      <c r="AB293" s="183" t="str">
        <f t="array" ref="AB293">IF(Table133[[#This Row],[Survey?]]="","",IFERROR(INDEX([2]Rubric!$G$3:$G$94,MATCH(1,([2]Rubric!$E$3:$E$94=AB$2)*([2]Rubric!$F$3:$F$94='[2]Questionnaire Responses'!AB294),0)),"MISSING"))</f>
        <v/>
      </c>
      <c r="AC293" s="206"/>
      <c r="AD293" s="183" t="str">
        <f t="array" ref="AD293">IF(Table133[[#This Row],[Survey?]]="","",IFERROR(INDEX([2]Rubric!$G$3:$G$94,MATCH(1,([2]Rubric!$E$3:$E$94=AD$2)*([2]Rubric!$F$3:$F$94='[2]Questionnaire Responses'!AD294),0)),"MISSING"))</f>
        <v/>
      </c>
      <c r="AE293" s="183" t="str">
        <f t="array" ref="AE293">IF(Table133[[#This Row],[Survey?]]="","",IFERROR(INDEX([2]Rubric!$G$3:$G$94,MATCH(1,([2]Rubric!$E$3:$E$94=AE$2)*([2]Rubric!$F$3:$F$94='[2]Questionnaire Responses'!AE294),0)),"MISSING"))</f>
        <v/>
      </c>
      <c r="AF293" s="206"/>
      <c r="AG293" s="183" t="str">
        <f t="array" ref="AG293">IF(Table133[[#This Row],[Survey?]]="","",IFERROR(INDEX([2]Rubric!$G$3:$G$94,MATCH(1,([2]Rubric!$E$3:$E$94=AG$2)*([2]Rubric!$F$3:$F$94='[2]Questionnaire Responses'!AG294),0)),"MISSING"))</f>
        <v/>
      </c>
    </row>
    <row r="294" spans="1:33" ht="12.75" customHeight="1" x14ac:dyDescent="0.25">
      <c r="A294" s="207">
        <f>'[2]Questionnaire Responses'!A295</f>
        <v>0</v>
      </c>
      <c r="B294" s="198">
        <f>'[2]Questionnaire Responses'!B295</f>
        <v>0</v>
      </c>
      <c r="C294" s="153">
        <f>'[2]Questionnaire Responses'!C295</f>
        <v>0</v>
      </c>
      <c r="D294" s="208"/>
      <c r="E294" s="206"/>
      <c r="F294" s="183" t="str">
        <f t="array" ref="F294">IF(Table133[[#This Row],[Survey?]]="","",IFERROR(INDEX([2]Rubric!$G$3:$G$94,MATCH(1,([2]Rubric!$E$3:$E$94=F$2)*([2]Rubric!$F$3:$F$94='[2]Questionnaire Responses'!F295),0)),"MISSING"))</f>
        <v/>
      </c>
      <c r="G294" s="183" t="str">
        <f t="array" ref="G294">IF(Table133[[#This Row],[Survey?]]="","",IFERROR(INDEX([2]Rubric!$G$3:$G$94,MATCH(1,([2]Rubric!$E$3:$E$94=G$2)*([2]Rubric!$F$3:$F$94='[2]Questionnaire Responses'!G295),0)),"MISSING"))</f>
        <v/>
      </c>
      <c r="H294" s="183" t="str">
        <f t="array" ref="H294">IF(Table133[[#This Row],[Survey?]]="","",IFERROR(INDEX([2]Rubric!$G$3:$G$94,MATCH(1,([2]Rubric!$E$3:$E$94=H$2)*([2]Rubric!$F$3:$F$94='[2]Questionnaire Responses'!H295),0)),"MISSING"))</f>
        <v/>
      </c>
      <c r="I294" s="183" t="str">
        <f t="array" ref="I294">IF(Table133[[#This Row],[Survey?]]="","",IFERROR(INDEX([2]Rubric!$G$3:$G$94,MATCH(1,([2]Rubric!$E$3:$E$94=I$2)*([2]Rubric!$F$3:$F$94='[2]Questionnaire Responses'!I295),0)),"MISSING"))</f>
        <v/>
      </c>
      <c r="J294" s="183" t="str">
        <f t="array" ref="J294">IF(Table133[[#This Row],[Survey?]]="","",IFERROR(INDEX([2]Rubric!$G$3:$G$94,MATCH(1,([2]Rubric!$E$3:$E$94=J$2)*([2]Rubric!$F$3:$F$94='[2]Questionnaire Responses'!J295),0)),"MISSING"))</f>
        <v/>
      </c>
      <c r="K294" s="206"/>
      <c r="L294" s="183" t="str">
        <f t="array" ref="L294">IF(Table133[[#This Row],[Survey?]]="","",IFERROR(INDEX([2]Rubric!$G$3:$G$94,MATCH(1,([2]Rubric!$E$3:$E$94=L$2)*([2]Rubric!$F$3:$F$94='[2]Questionnaire Responses'!L295),0)),"MISSING"))</f>
        <v/>
      </c>
      <c r="M294" s="206"/>
      <c r="N294" s="183" t="str">
        <f t="array" ref="N294">IF(Table133[[#This Row],[Survey?]]="","",IFERROR(INDEX([2]Rubric!$G$3:$G$94,MATCH(1,([2]Rubric!$E$3:$E$94=N$2)*([2]Rubric!$F$3:$F$94='[2]Questionnaire Responses'!N295),0)),"MISSING"))</f>
        <v/>
      </c>
      <c r="O294" s="183" t="str">
        <f t="array" ref="O294">IF(Table133[[#This Row],[Survey?]]="","",IFERROR(INDEX([2]Rubric!$G$3:$G$94,MATCH(1,([2]Rubric!$E$3:$E$94=O$2)*([2]Rubric!$F$3:$F$94='[2]Questionnaire Responses'!O295),0)),"MISSING"))</f>
        <v/>
      </c>
      <c r="P294" s="206"/>
      <c r="Q294" s="183" t="str">
        <f t="array" ref="Q294">IF(Table133[[#This Row],[Survey?]]="","",IFERROR(INDEX([2]Rubric!$G$3:$G$94,MATCH(1,([2]Rubric!$E$3:$E$94=Q$2)*([2]Rubric!$F$3:$F$94='[2]Questionnaire Responses'!Q295),0)),"MISSING"))</f>
        <v/>
      </c>
      <c r="R294" s="183" t="str">
        <f t="array" ref="R294">IF(Table133[[#This Row],[Survey?]]="","",IFERROR(INDEX([2]Rubric!$G$3:$G$94,MATCH(1,([2]Rubric!$E$3:$E$94=R$2)*([2]Rubric!$F$3:$F$94='[2]Questionnaire Responses'!R295),0)),"MISSING"))</f>
        <v/>
      </c>
      <c r="S294" s="183" t="str">
        <f t="array" ref="S294">IF(Table133[[#This Row],[Survey?]]="","",IFERROR(INDEX([2]Rubric!$G$3:$G$94,MATCH(1,([2]Rubric!$E$3:$E$94=S$2)*([2]Rubric!$F$3:$F$94='[2]Questionnaire Responses'!S295),0)),"MISSING"))</f>
        <v/>
      </c>
      <c r="T294" s="183" t="str">
        <f t="array" ref="T294">IF(Table133[[#This Row],[Survey?]]="","",IFERROR(INDEX([2]Rubric!$G$3:$G$94,MATCH(1,([2]Rubric!$E$3:$E$94=T$2)*([2]Rubric!$F$3:$F$94='[2]Questionnaire Responses'!T295),0)),"MISSING"))</f>
        <v/>
      </c>
      <c r="U294" s="206"/>
      <c r="V294" s="183" t="str">
        <f t="array" ref="V294">IF(Table133[[#This Row],[Survey?]]="","",IFERROR(INDEX([2]Rubric!$G$3:$G$94,MATCH(1,([2]Rubric!$E$3:$E$94=V$2)*([2]Rubric!$F$3:$F$94='[2]Questionnaire Responses'!V295),0)),"MISSING"))</f>
        <v/>
      </c>
      <c r="W294" s="206"/>
      <c r="X294" s="183" t="str">
        <f t="array" ref="X294">IF(Table133[[#This Row],[Survey?]]="","",IFERROR(INDEX([2]Rubric!$G$3:$G$94,MATCH(1,([2]Rubric!$E$3:$E$94=X$2)*([2]Rubric!$F$3:$F$94='[2]Questionnaire Responses'!X295),0)),"MISSING"))</f>
        <v/>
      </c>
      <c r="Y294" s="206"/>
      <c r="Z294" s="183" t="str">
        <f t="array" ref="Z294">IF(Table133[[#This Row],[Survey?]]="","",IFERROR(INDEX([2]Rubric!$G$3:$G$94,MATCH(1,([2]Rubric!$E$3:$E$94=Z$2)*([2]Rubric!$F$3:$F$94='[2]Questionnaire Responses'!Z295),0)),"MISSING"))</f>
        <v/>
      </c>
      <c r="AA294" s="183" t="str">
        <f t="array" ref="AA294">IF(Table133[[#This Row],[Survey?]]="","",IFERROR(INDEX([2]Rubric!$G$3:$G$94,MATCH(1,([2]Rubric!$E$3:$E$94=AA$2)*([2]Rubric!$F$3:$F$94='[2]Questionnaire Responses'!AA295),0)),"MISSING"))</f>
        <v/>
      </c>
      <c r="AB294" s="183" t="str">
        <f t="array" ref="AB294">IF(Table133[[#This Row],[Survey?]]="","",IFERROR(INDEX([2]Rubric!$G$3:$G$94,MATCH(1,([2]Rubric!$E$3:$E$94=AB$2)*([2]Rubric!$F$3:$F$94='[2]Questionnaire Responses'!AB295),0)),"MISSING"))</f>
        <v/>
      </c>
      <c r="AC294" s="206"/>
      <c r="AD294" s="183" t="str">
        <f t="array" ref="AD294">IF(Table133[[#This Row],[Survey?]]="","",IFERROR(INDEX([2]Rubric!$G$3:$G$94,MATCH(1,([2]Rubric!$E$3:$E$94=AD$2)*([2]Rubric!$F$3:$F$94='[2]Questionnaire Responses'!AD295),0)),"MISSING"))</f>
        <v/>
      </c>
      <c r="AE294" s="183" t="str">
        <f t="array" ref="AE294">IF(Table133[[#This Row],[Survey?]]="","",IFERROR(INDEX([2]Rubric!$G$3:$G$94,MATCH(1,([2]Rubric!$E$3:$E$94=AE$2)*([2]Rubric!$F$3:$F$94='[2]Questionnaire Responses'!AE295),0)),"MISSING"))</f>
        <v/>
      </c>
      <c r="AF294" s="206"/>
      <c r="AG294" s="183" t="str">
        <f t="array" ref="AG294">IF(Table133[[#This Row],[Survey?]]="","",IFERROR(INDEX([2]Rubric!$G$3:$G$94,MATCH(1,([2]Rubric!$E$3:$E$94=AG$2)*([2]Rubric!$F$3:$F$94='[2]Questionnaire Responses'!AG295),0)),"MISSING"))</f>
        <v/>
      </c>
    </row>
    <row r="295" spans="1:33" ht="12.75" customHeight="1" x14ac:dyDescent="0.25">
      <c r="A295" s="207">
        <f>'[2]Questionnaire Responses'!A296</f>
        <v>0</v>
      </c>
      <c r="B295" s="198">
        <f>'[2]Questionnaire Responses'!B296</f>
        <v>0</v>
      </c>
      <c r="C295" s="153">
        <f>'[2]Questionnaire Responses'!C296</f>
        <v>0</v>
      </c>
      <c r="D295" s="208"/>
      <c r="E295" s="206"/>
      <c r="F295" s="183" t="str">
        <f t="array" ref="F295">IF(Table133[[#This Row],[Survey?]]="","",IFERROR(INDEX([2]Rubric!$G$3:$G$94,MATCH(1,([2]Rubric!$E$3:$E$94=F$2)*([2]Rubric!$F$3:$F$94='[2]Questionnaire Responses'!F296),0)),"MISSING"))</f>
        <v/>
      </c>
      <c r="G295" s="183" t="str">
        <f t="array" ref="G295">IF(Table133[[#This Row],[Survey?]]="","",IFERROR(INDEX([2]Rubric!$G$3:$G$94,MATCH(1,([2]Rubric!$E$3:$E$94=G$2)*([2]Rubric!$F$3:$F$94='[2]Questionnaire Responses'!G296),0)),"MISSING"))</f>
        <v/>
      </c>
      <c r="H295" s="183" t="str">
        <f t="array" ref="H295">IF(Table133[[#This Row],[Survey?]]="","",IFERROR(INDEX([2]Rubric!$G$3:$G$94,MATCH(1,([2]Rubric!$E$3:$E$94=H$2)*([2]Rubric!$F$3:$F$94='[2]Questionnaire Responses'!H296),0)),"MISSING"))</f>
        <v/>
      </c>
      <c r="I295" s="183" t="str">
        <f t="array" ref="I295">IF(Table133[[#This Row],[Survey?]]="","",IFERROR(INDEX([2]Rubric!$G$3:$G$94,MATCH(1,([2]Rubric!$E$3:$E$94=I$2)*([2]Rubric!$F$3:$F$94='[2]Questionnaire Responses'!I296),0)),"MISSING"))</f>
        <v/>
      </c>
      <c r="J295" s="183" t="str">
        <f t="array" ref="J295">IF(Table133[[#This Row],[Survey?]]="","",IFERROR(INDEX([2]Rubric!$G$3:$G$94,MATCH(1,([2]Rubric!$E$3:$E$94=J$2)*([2]Rubric!$F$3:$F$94='[2]Questionnaire Responses'!J296),0)),"MISSING"))</f>
        <v/>
      </c>
      <c r="K295" s="206"/>
      <c r="L295" s="183" t="str">
        <f t="array" ref="L295">IF(Table133[[#This Row],[Survey?]]="","",IFERROR(INDEX([2]Rubric!$G$3:$G$94,MATCH(1,([2]Rubric!$E$3:$E$94=L$2)*([2]Rubric!$F$3:$F$94='[2]Questionnaire Responses'!L296),0)),"MISSING"))</f>
        <v/>
      </c>
      <c r="M295" s="206"/>
      <c r="N295" s="183" t="str">
        <f t="array" ref="N295">IF(Table133[[#This Row],[Survey?]]="","",IFERROR(INDEX([2]Rubric!$G$3:$G$94,MATCH(1,([2]Rubric!$E$3:$E$94=N$2)*([2]Rubric!$F$3:$F$94='[2]Questionnaire Responses'!N296),0)),"MISSING"))</f>
        <v/>
      </c>
      <c r="O295" s="183" t="str">
        <f t="array" ref="O295">IF(Table133[[#This Row],[Survey?]]="","",IFERROR(INDEX([2]Rubric!$G$3:$G$94,MATCH(1,([2]Rubric!$E$3:$E$94=O$2)*([2]Rubric!$F$3:$F$94='[2]Questionnaire Responses'!O296),0)),"MISSING"))</f>
        <v/>
      </c>
      <c r="P295" s="206"/>
      <c r="Q295" s="183" t="str">
        <f t="array" ref="Q295">IF(Table133[[#This Row],[Survey?]]="","",IFERROR(INDEX([2]Rubric!$G$3:$G$94,MATCH(1,([2]Rubric!$E$3:$E$94=Q$2)*([2]Rubric!$F$3:$F$94='[2]Questionnaire Responses'!Q296),0)),"MISSING"))</f>
        <v/>
      </c>
      <c r="R295" s="183" t="str">
        <f t="array" ref="R295">IF(Table133[[#This Row],[Survey?]]="","",IFERROR(INDEX([2]Rubric!$G$3:$G$94,MATCH(1,([2]Rubric!$E$3:$E$94=R$2)*([2]Rubric!$F$3:$F$94='[2]Questionnaire Responses'!R296),0)),"MISSING"))</f>
        <v/>
      </c>
      <c r="S295" s="183" t="str">
        <f t="array" ref="S295">IF(Table133[[#This Row],[Survey?]]="","",IFERROR(INDEX([2]Rubric!$G$3:$G$94,MATCH(1,([2]Rubric!$E$3:$E$94=S$2)*([2]Rubric!$F$3:$F$94='[2]Questionnaire Responses'!S296),0)),"MISSING"))</f>
        <v/>
      </c>
      <c r="T295" s="183" t="str">
        <f t="array" ref="T295">IF(Table133[[#This Row],[Survey?]]="","",IFERROR(INDEX([2]Rubric!$G$3:$G$94,MATCH(1,([2]Rubric!$E$3:$E$94=T$2)*([2]Rubric!$F$3:$F$94='[2]Questionnaire Responses'!T296),0)),"MISSING"))</f>
        <v/>
      </c>
      <c r="U295" s="206"/>
      <c r="V295" s="183" t="str">
        <f t="array" ref="V295">IF(Table133[[#This Row],[Survey?]]="","",IFERROR(INDEX([2]Rubric!$G$3:$G$94,MATCH(1,([2]Rubric!$E$3:$E$94=V$2)*([2]Rubric!$F$3:$F$94='[2]Questionnaire Responses'!V296),0)),"MISSING"))</f>
        <v/>
      </c>
      <c r="W295" s="206"/>
      <c r="X295" s="183" t="str">
        <f t="array" ref="X295">IF(Table133[[#This Row],[Survey?]]="","",IFERROR(INDEX([2]Rubric!$G$3:$G$94,MATCH(1,([2]Rubric!$E$3:$E$94=X$2)*([2]Rubric!$F$3:$F$94='[2]Questionnaire Responses'!X296),0)),"MISSING"))</f>
        <v/>
      </c>
      <c r="Y295" s="206"/>
      <c r="Z295" s="183" t="str">
        <f t="array" ref="Z295">IF(Table133[[#This Row],[Survey?]]="","",IFERROR(INDEX([2]Rubric!$G$3:$G$94,MATCH(1,([2]Rubric!$E$3:$E$94=Z$2)*([2]Rubric!$F$3:$F$94='[2]Questionnaire Responses'!Z296),0)),"MISSING"))</f>
        <v/>
      </c>
      <c r="AA295" s="183" t="str">
        <f t="array" ref="AA295">IF(Table133[[#This Row],[Survey?]]="","",IFERROR(INDEX([2]Rubric!$G$3:$G$94,MATCH(1,([2]Rubric!$E$3:$E$94=AA$2)*([2]Rubric!$F$3:$F$94='[2]Questionnaire Responses'!AA296),0)),"MISSING"))</f>
        <v/>
      </c>
      <c r="AB295" s="183" t="str">
        <f t="array" ref="AB295">IF(Table133[[#This Row],[Survey?]]="","",IFERROR(INDEX([2]Rubric!$G$3:$G$94,MATCH(1,([2]Rubric!$E$3:$E$94=AB$2)*([2]Rubric!$F$3:$F$94='[2]Questionnaire Responses'!AB296),0)),"MISSING"))</f>
        <v/>
      </c>
      <c r="AC295" s="206"/>
      <c r="AD295" s="183" t="str">
        <f t="array" ref="AD295">IF(Table133[[#This Row],[Survey?]]="","",IFERROR(INDEX([2]Rubric!$G$3:$G$94,MATCH(1,([2]Rubric!$E$3:$E$94=AD$2)*([2]Rubric!$F$3:$F$94='[2]Questionnaire Responses'!AD296),0)),"MISSING"))</f>
        <v/>
      </c>
      <c r="AE295" s="183" t="str">
        <f t="array" ref="AE295">IF(Table133[[#This Row],[Survey?]]="","",IFERROR(INDEX([2]Rubric!$G$3:$G$94,MATCH(1,([2]Rubric!$E$3:$E$94=AE$2)*([2]Rubric!$F$3:$F$94='[2]Questionnaire Responses'!AE296),0)),"MISSING"))</f>
        <v/>
      </c>
      <c r="AF295" s="206"/>
      <c r="AG295" s="183" t="str">
        <f t="array" ref="AG295">IF(Table133[[#This Row],[Survey?]]="","",IFERROR(INDEX([2]Rubric!$G$3:$G$94,MATCH(1,([2]Rubric!$E$3:$E$94=AG$2)*([2]Rubric!$F$3:$F$94='[2]Questionnaire Responses'!AG296),0)),"MISSING"))</f>
        <v/>
      </c>
    </row>
    <row r="296" spans="1:33" ht="12.75" customHeight="1" x14ac:dyDescent="0.25">
      <c r="A296" s="207">
        <f>'[2]Questionnaire Responses'!A297</f>
        <v>0</v>
      </c>
      <c r="B296" s="198">
        <f>'[2]Questionnaire Responses'!B297</f>
        <v>0</v>
      </c>
      <c r="C296" s="153">
        <f>'[2]Questionnaire Responses'!C297</f>
        <v>0</v>
      </c>
      <c r="D296" s="208"/>
      <c r="E296" s="206"/>
      <c r="F296" s="183" t="str">
        <f t="array" ref="F296">IF(Table133[[#This Row],[Survey?]]="","",IFERROR(INDEX([2]Rubric!$G$3:$G$94,MATCH(1,([2]Rubric!$E$3:$E$94=F$2)*([2]Rubric!$F$3:$F$94='[2]Questionnaire Responses'!F297),0)),"MISSING"))</f>
        <v/>
      </c>
      <c r="G296" s="183" t="str">
        <f t="array" ref="G296">IF(Table133[[#This Row],[Survey?]]="","",IFERROR(INDEX([2]Rubric!$G$3:$G$94,MATCH(1,([2]Rubric!$E$3:$E$94=G$2)*([2]Rubric!$F$3:$F$94='[2]Questionnaire Responses'!G297),0)),"MISSING"))</f>
        <v/>
      </c>
      <c r="H296" s="183" t="str">
        <f t="array" ref="H296">IF(Table133[[#This Row],[Survey?]]="","",IFERROR(INDEX([2]Rubric!$G$3:$G$94,MATCH(1,([2]Rubric!$E$3:$E$94=H$2)*([2]Rubric!$F$3:$F$94='[2]Questionnaire Responses'!H297),0)),"MISSING"))</f>
        <v/>
      </c>
      <c r="I296" s="183" t="str">
        <f t="array" ref="I296">IF(Table133[[#This Row],[Survey?]]="","",IFERROR(INDEX([2]Rubric!$G$3:$G$94,MATCH(1,([2]Rubric!$E$3:$E$94=I$2)*([2]Rubric!$F$3:$F$94='[2]Questionnaire Responses'!I297),0)),"MISSING"))</f>
        <v/>
      </c>
      <c r="J296" s="183" t="str">
        <f t="array" ref="J296">IF(Table133[[#This Row],[Survey?]]="","",IFERROR(INDEX([2]Rubric!$G$3:$G$94,MATCH(1,([2]Rubric!$E$3:$E$94=J$2)*([2]Rubric!$F$3:$F$94='[2]Questionnaire Responses'!J297),0)),"MISSING"))</f>
        <v/>
      </c>
      <c r="K296" s="206"/>
      <c r="L296" s="183" t="str">
        <f t="array" ref="L296">IF(Table133[[#This Row],[Survey?]]="","",IFERROR(INDEX([2]Rubric!$G$3:$G$94,MATCH(1,([2]Rubric!$E$3:$E$94=L$2)*([2]Rubric!$F$3:$F$94='[2]Questionnaire Responses'!L297),0)),"MISSING"))</f>
        <v/>
      </c>
      <c r="M296" s="206"/>
      <c r="N296" s="183" t="str">
        <f t="array" ref="N296">IF(Table133[[#This Row],[Survey?]]="","",IFERROR(INDEX([2]Rubric!$G$3:$G$94,MATCH(1,([2]Rubric!$E$3:$E$94=N$2)*([2]Rubric!$F$3:$F$94='[2]Questionnaire Responses'!N297),0)),"MISSING"))</f>
        <v/>
      </c>
      <c r="O296" s="183" t="str">
        <f t="array" ref="O296">IF(Table133[[#This Row],[Survey?]]="","",IFERROR(INDEX([2]Rubric!$G$3:$G$94,MATCH(1,([2]Rubric!$E$3:$E$94=O$2)*([2]Rubric!$F$3:$F$94='[2]Questionnaire Responses'!O297),0)),"MISSING"))</f>
        <v/>
      </c>
      <c r="P296" s="206"/>
      <c r="Q296" s="183" t="str">
        <f t="array" ref="Q296">IF(Table133[[#This Row],[Survey?]]="","",IFERROR(INDEX([2]Rubric!$G$3:$G$94,MATCH(1,([2]Rubric!$E$3:$E$94=Q$2)*([2]Rubric!$F$3:$F$94='[2]Questionnaire Responses'!Q297),0)),"MISSING"))</f>
        <v/>
      </c>
      <c r="R296" s="183" t="str">
        <f t="array" ref="R296">IF(Table133[[#This Row],[Survey?]]="","",IFERROR(INDEX([2]Rubric!$G$3:$G$94,MATCH(1,([2]Rubric!$E$3:$E$94=R$2)*([2]Rubric!$F$3:$F$94='[2]Questionnaire Responses'!R297),0)),"MISSING"))</f>
        <v/>
      </c>
      <c r="S296" s="183" t="str">
        <f t="array" ref="S296">IF(Table133[[#This Row],[Survey?]]="","",IFERROR(INDEX([2]Rubric!$G$3:$G$94,MATCH(1,([2]Rubric!$E$3:$E$94=S$2)*([2]Rubric!$F$3:$F$94='[2]Questionnaire Responses'!S297),0)),"MISSING"))</f>
        <v/>
      </c>
      <c r="T296" s="183" t="str">
        <f t="array" ref="T296">IF(Table133[[#This Row],[Survey?]]="","",IFERROR(INDEX([2]Rubric!$G$3:$G$94,MATCH(1,([2]Rubric!$E$3:$E$94=T$2)*([2]Rubric!$F$3:$F$94='[2]Questionnaire Responses'!T297),0)),"MISSING"))</f>
        <v/>
      </c>
      <c r="U296" s="206"/>
      <c r="V296" s="183" t="str">
        <f t="array" ref="V296">IF(Table133[[#This Row],[Survey?]]="","",IFERROR(INDEX([2]Rubric!$G$3:$G$94,MATCH(1,([2]Rubric!$E$3:$E$94=V$2)*([2]Rubric!$F$3:$F$94='[2]Questionnaire Responses'!V297),0)),"MISSING"))</f>
        <v/>
      </c>
      <c r="W296" s="206"/>
      <c r="X296" s="183" t="str">
        <f t="array" ref="X296">IF(Table133[[#This Row],[Survey?]]="","",IFERROR(INDEX([2]Rubric!$G$3:$G$94,MATCH(1,([2]Rubric!$E$3:$E$94=X$2)*([2]Rubric!$F$3:$F$94='[2]Questionnaire Responses'!X297),0)),"MISSING"))</f>
        <v/>
      </c>
      <c r="Y296" s="206"/>
      <c r="Z296" s="183" t="str">
        <f t="array" ref="Z296">IF(Table133[[#This Row],[Survey?]]="","",IFERROR(INDEX([2]Rubric!$G$3:$G$94,MATCH(1,([2]Rubric!$E$3:$E$94=Z$2)*([2]Rubric!$F$3:$F$94='[2]Questionnaire Responses'!Z297),0)),"MISSING"))</f>
        <v/>
      </c>
      <c r="AA296" s="183" t="str">
        <f t="array" ref="AA296">IF(Table133[[#This Row],[Survey?]]="","",IFERROR(INDEX([2]Rubric!$G$3:$G$94,MATCH(1,([2]Rubric!$E$3:$E$94=AA$2)*([2]Rubric!$F$3:$F$94='[2]Questionnaire Responses'!AA297),0)),"MISSING"))</f>
        <v/>
      </c>
      <c r="AB296" s="183" t="str">
        <f t="array" ref="AB296">IF(Table133[[#This Row],[Survey?]]="","",IFERROR(INDEX([2]Rubric!$G$3:$G$94,MATCH(1,([2]Rubric!$E$3:$E$94=AB$2)*([2]Rubric!$F$3:$F$94='[2]Questionnaire Responses'!AB297),0)),"MISSING"))</f>
        <v/>
      </c>
      <c r="AC296" s="206"/>
      <c r="AD296" s="183" t="str">
        <f t="array" ref="AD296">IF(Table133[[#This Row],[Survey?]]="","",IFERROR(INDEX([2]Rubric!$G$3:$G$94,MATCH(1,([2]Rubric!$E$3:$E$94=AD$2)*([2]Rubric!$F$3:$F$94='[2]Questionnaire Responses'!AD297),0)),"MISSING"))</f>
        <v/>
      </c>
      <c r="AE296" s="183" t="str">
        <f t="array" ref="AE296">IF(Table133[[#This Row],[Survey?]]="","",IFERROR(INDEX([2]Rubric!$G$3:$G$94,MATCH(1,([2]Rubric!$E$3:$E$94=AE$2)*([2]Rubric!$F$3:$F$94='[2]Questionnaire Responses'!AE297),0)),"MISSING"))</f>
        <v/>
      </c>
      <c r="AF296" s="206"/>
      <c r="AG296" s="183" t="str">
        <f t="array" ref="AG296">IF(Table133[[#This Row],[Survey?]]="","",IFERROR(INDEX([2]Rubric!$G$3:$G$94,MATCH(1,([2]Rubric!$E$3:$E$94=AG$2)*([2]Rubric!$F$3:$F$94='[2]Questionnaire Responses'!AG297),0)),"MISSING"))</f>
        <v/>
      </c>
    </row>
    <row r="297" spans="1:33" ht="12.75" customHeight="1" x14ac:dyDescent="0.25">
      <c r="A297" s="207">
        <f>'[2]Questionnaire Responses'!A298</f>
        <v>0</v>
      </c>
      <c r="B297" s="198">
        <f>'[2]Questionnaire Responses'!B298</f>
        <v>0</v>
      </c>
      <c r="C297" s="153">
        <f>'[2]Questionnaire Responses'!C298</f>
        <v>0</v>
      </c>
      <c r="D297" s="208"/>
      <c r="E297" s="206"/>
      <c r="F297" s="183" t="str">
        <f t="array" ref="F297">IF(Table133[[#This Row],[Survey?]]="","",IFERROR(INDEX([2]Rubric!$G$3:$G$94,MATCH(1,([2]Rubric!$E$3:$E$94=F$2)*([2]Rubric!$F$3:$F$94='[2]Questionnaire Responses'!F298),0)),"MISSING"))</f>
        <v/>
      </c>
      <c r="G297" s="183" t="str">
        <f t="array" ref="G297">IF(Table133[[#This Row],[Survey?]]="","",IFERROR(INDEX([2]Rubric!$G$3:$G$94,MATCH(1,([2]Rubric!$E$3:$E$94=G$2)*([2]Rubric!$F$3:$F$94='[2]Questionnaire Responses'!G298),0)),"MISSING"))</f>
        <v/>
      </c>
      <c r="H297" s="183" t="str">
        <f t="array" ref="H297">IF(Table133[[#This Row],[Survey?]]="","",IFERROR(INDEX([2]Rubric!$G$3:$G$94,MATCH(1,([2]Rubric!$E$3:$E$94=H$2)*([2]Rubric!$F$3:$F$94='[2]Questionnaire Responses'!H298),0)),"MISSING"))</f>
        <v/>
      </c>
      <c r="I297" s="183" t="str">
        <f t="array" ref="I297">IF(Table133[[#This Row],[Survey?]]="","",IFERROR(INDEX([2]Rubric!$G$3:$G$94,MATCH(1,([2]Rubric!$E$3:$E$94=I$2)*([2]Rubric!$F$3:$F$94='[2]Questionnaire Responses'!I298),0)),"MISSING"))</f>
        <v/>
      </c>
      <c r="J297" s="183" t="str">
        <f t="array" ref="J297">IF(Table133[[#This Row],[Survey?]]="","",IFERROR(INDEX([2]Rubric!$G$3:$G$94,MATCH(1,([2]Rubric!$E$3:$E$94=J$2)*([2]Rubric!$F$3:$F$94='[2]Questionnaire Responses'!J298),0)),"MISSING"))</f>
        <v/>
      </c>
      <c r="K297" s="206"/>
      <c r="L297" s="183" t="str">
        <f t="array" ref="L297">IF(Table133[[#This Row],[Survey?]]="","",IFERROR(INDEX([2]Rubric!$G$3:$G$94,MATCH(1,([2]Rubric!$E$3:$E$94=L$2)*([2]Rubric!$F$3:$F$94='[2]Questionnaire Responses'!L298),0)),"MISSING"))</f>
        <v/>
      </c>
      <c r="M297" s="206"/>
      <c r="N297" s="183" t="str">
        <f t="array" ref="N297">IF(Table133[[#This Row],[Survey?]]="","",IFERROR(INDEX([2]Rubric!$G$3:$G$94,MATCH(1,([2]Rubric!$E$3:$E$94=N$2)*([2]Rubric!$F$3:$F$94='[2]Questionnaire Responses'!N298),0)),"MISSING"))</f>
        <v/>
      </c>
      <c r="O297" s="183" t="str">
        <f t="array" ref="O297">IF(Table133[[#This Row],[Survey?]]="","",IFERROR(INDEX([2]Rubric!$G$3:$G$94,MATCH(1,([2]Rubric!$E$3:$E$94=O$2)*([2]Rubric!$F$3:$F$94='[2]Questionnaire Responses'!O298),0)),"MISSING"))</f>
        <v/>
      </c>
      <c r="P297" s="206"/>
      <c r="Q297" s="183" t="str">
        <f t="array" ref="Q297">IF(Table133[[#This Row],[Survey?]]="","",IFERROR(INDEX([2]Rubric!$G$3:$G$94,MATCH(1,([2]Rubric!$E$3:$E$94=Q$2)*([2]Rubric!$F$3:$F$94='[2]Questionnaire Responses'!Q298),0)),"MISSING"))</f>
        <v/>
      </c>
      <c r="R297" s="183" t="str">
        <f t="array" ref="R297">IF(Table133[[#This Row],[Survey?]]="","",IFERROR(INDEX([2]Rubric!$G$3:$G$94,MATCH(1,([2]Rubric!$E$3:$E$94=R$2)*([2]Rubric!$F$3:$F$94='[2]Questionnaire Responses'!R298),0)),"MISSING"))</f>
        <v/>
      </c>
      <c r="S297" s="183" t="str">
        <f t="array" ref="S297">IF(Table133[[#This Row],[Survey?]]="","",IFERROR(INDEX([2]Rubric!$G$3:$G$94,MATCH(1,([2]Rubric!$E$3:$E$94=S$2)*([2]Rubric!$F$3:$F$94='[2]Questionnaire Responses'!S298),0)),"MISSING"))</f>
        <v/>
      </c>
      <c r="T297" s="183" t="str">
        <f t="array" ref="T297">IF(Table133[[#This Row],[Survey?]]="","",IFERROR(INDEX([2]Rubric!$G$3:$G$94,MATCH(1,([2]Rubric!$E$3:$E$94=T$2)*([2]Rubric!$F$3:$F$94='[2]Questionnaire Responses'!T298),0)),"MISSING"))</f>
        <v/>
      </c>
      <c r="U297" s="206"/>
      <c r="V297" s="183" t="str">
        <f t="array" ref="V297">IF(Table133[[#This Row],[Survey?]]="","",IFERROR(INDEX([2]Rubric!$G$3:$G$94,MATCH(1,([2]Rubric!$E$3:$E$94=V$2)*([2]Rubric!$F$3:$F$94='[2]Questionnaire Responses'!V298),0)),"MISSING"))</f>
        <v/>
      </c>
      <c r="W297" s="206"/>
      <c r="X297" s="183" t="str">
        <f t="array" ref="X297">IF(Table133[[#This Row],[Survey?]]="","",IFERROR(INDEX([2]Rubric!$G$3:$G$94,MATCH(1,([2]Rubric!$E$3:$E$94=X$2)*([2]Rubric!$F$3:$F$94='[2]Questionnaire Responses'!X298),0)),"MISSING"))</f>
        <v/>
      </c>
      <c r="Y297" s="206"/>
      <c r="Z297" s="183" t="str">
        <f t="array" ref="Z297">IF(Table133[[#This Row],[Survey?]]="","",IFERROR(INDEX([2]Rubric!$G$3:$G$94,MATCH(1,([2]Rubric!$E$3:$E$94=Z$2)*([2]Rubric!$F$3:$F$94='[2]Questionnaire Responses'!Z298),0)),"MISSING"))</f>
        <v/>
      </c>
      <c r="AA297" s="183" t="str">
        <f t="array" ref="AA297">IF(Table133[[#This Row],[Survey?]]="","",IFERROR(INDEX([2]Rubric!$G$3:$G$94,MATCH(1,([2]Rubric!$E$3:$E$94=AA$2)*([2]Rubric!$F$3:$F$94='[2]Questionnaire Responses'!AA298),0)),"MISSING"))</f>
        <v/>
      </c>
      <c r="AB297" s="183" t="str">
        <f t="array" ref="AB297">IF(Table133[[#This Row],[Survey?]]="","",IFERROR(INDEX([2]Rubric!$G$3:$G$94,MATCH(1,([2]Rubric!$E$3:$E$94=AB$2)*([2]Rubric!$F$3:$F$94='[2]Questionnaire Responses'!AB298),0)),"MISSING"))</f>
        <v/>
      </c>
      <c r="AC297" s="206"/>
      <c r="AD297" s="183" t="str">
        <f t="array" ref="AD297">IF(Table133[[#This Row],[Survey?]]="","",IFERROR(INDEX([2]Rubric!$G$3:$G$94,MATCH(1,([2]Rubric!$E$3:$E$94=AD$2)*([2]Rubric!$F$3:$F$94='[2]Questionnaire Responses'!AD298),0)),"MISSING"))</f>
        <v/>
      </c>
      <c r="AE297" s="183" t="str">
        <f t="array" ref="AE297">IF(Table133[[#This Row],[Survey?]]="","",IFERROR(INDEX([2]Rubric!$G$3:$G$94,MATCH(1,([2]Rubric!$E$3:$E$94=AE$2)*([2]Rubric!$F$3:$F$94='[2]Questionnaire Responses'!AE298),0)),"MISSING"))</f>
        <v/>
      </c>
      <c r="AF297" s="206"/>
      <c r="AG297" s="183" t="str">
        <f t="array" ref="AG297">IF(Table133[[#This Row],[Survey?]]="","",IFERROR(INDEX([2]Rubric!$G$3:$G$94,MATCH(1,([2]Rubric!$E$3:$E$94=AG$2)*([2]Rubric!$F$3:$F$94='[2]Questionnaire Responses'!AG298),0)),"MISSING"))</f>
        <v/>
      </c>
    </row>
    <row r="298" spans="1:33" ht="12.75" customHeight="1" x14ac:dyDescent="0.25">
      <c r="A298" s="207">
        <f>'[2]Questionnaire Responses'!A299</f>
        <v>0</v>
      </c>
      <c r="B298" s="198">
        <f>'[2]Questionnaire Responses'!B299</f>
        <v>0</v>
      </c>
      <c r="C298" s="153">
        <f>'[2]Questionnaire Responses'!C299</f>
        <v>0</v>
      </c>
      <c r="D298" s="208"/>
      <c r="E298" s="206"/>
      <c r="F298" s="183" t="str">
        <f t="array" ref="F298">IF(Table133[[#This Row],[Survey?]]="","",IFERROR(INDEX([2]Rubric!$G$3:$G$94,MATCH(1,([2]Rubric!$E$3:$E$94=F$2)*([2]Rubric!$F$3:$F$94='[2]Questionnaire Responses'!F299),0)),"MISSING"))</f>
        <v/>
      </c>
      <c r="G298" s="183" t="str">
        <f t="array" ref="G298">IF(Table133[[#This Row],[Survey?]]="","",IFERROR(INDEX([2]Rubric!$G$3:$G$94,MATCH(1,([2]Rubric!$E$3:$E$94=G$2)*([2]Rubric!$F$3:$F$94='[2]Questionnaire Responses'!G299),0)),"MISSING"))</f>
        <v/>
      </c>
      <c r="H298" s="183" t="str">
        <f t="array" ref="H298">IF(Table133[[#This Row],[Survey?]]="","",IFERROR(INDEX([2]Rubric!$G$3:$G$94,MATCH(1,([2]Rubric!$E$3:$E$94=H$2)*([2]Rubric!$F$3:$F$94='[2]Questionnaire Responses'!H299),0)),"MISSING"))</f>
        <v/>
      </c>
      <c r="I298" s="183" t="str">
        <f t="array" ref="I298">IF(Table133[[#This Row],[Survey?]]="","",IFERROR(INDEX([2]Rubric!$G$3:$G$94,MATCH(1,([2]Rubric!$E$3:$E$94=I$2)*([2]Rubric!$F$3:$F$94='[2]Questionnaire Responses'!I299),0)),"MISSING"))</f>
        <v/>
      </c>
      <c r="J298" s="183" t="str">
        <f t="array" ref="J298">IF(Table133[[#This Row],[Survey?]]="","",IFERROR(INDEX([2]Rubric!$G$3:$G$94,MATCH(1,([2]Rubric!$E$3:$E$94=J$2)*([2]Rubric!$F$3:$F$94='[2]Questionnaire Responses'!J299),0)),"MISSING"))</f>
        <v/>
      </c>
      <c r="K298" s="206"/>
      <c r="L298" s="183" t="str">
        <f t="array" ref="L298">IF(Table133[[#This Row],[Survey?]]="","",IFERROR(INDEX([2]Rubric!$G$3:$G$94,MATCH(1,([2]Rubric!$E$3:$E$94=L$2)*([2]Rubric!$F$3:$F$94='[2]Questionnaire Responses'!L299),0)),"MISSING"))</f>
        <v/>
      </c>
      <c r="M298" s="206"/>
      <c r="N298" s="183" t="str">
        <f t="array" ref="N298">IF(Table133[[#This Row],[Survey?]]="","",IFERROR(INDEX([2]Rubric!$G$3:$G$94,MATCH(1,([2]Rubric!$E$3:$E$94=N$2)*([2]Rubric!$F$3:$F$94='[2]Questionnaire Responses'!N299),0)),"MISSING"))</f>
        <v/>
      </c>
      <c r="O298" s="183" t="str">
        <f t="array" ref="O298">IF(Table133[[#This Row],[Survey?]]="","",IFERROR(INDEX([2]Rubric!$G$3:$G$94,MATCH(1,([2]Rubric!$E$3:$E$94=O$2)*([2]Rubric!$F$3:$F$94='[2]Questionnaire Responses'!O299),0)),"MISSING"))</f>
        <v/>
      </c>
      <c r="P298" s="206"/>
      <c r="Q298" s="183" t="str">
        <f t="array" ref="Q298">IF(Table133[[#This Row],[Survey?]]="","",IFERROR(INDEX([2]Rubric!$G$3:$G$94,MATCH(1,([2]Rubric!$E$3:$E$94=Q$2)*([2]Rubric!$F$3:$F$94='[2]Questionnaire Responses'!Q299),0)),"MISSING"))</f>
        <v/>
      </c>
      <c r="R298" s="183" t="str">
        <f t="array" ref="R298">IF(Table133[[#This Row],[Survey?]]="","",IFERROR(INDEX([2]Rubric!$G$3:$G$94,MATCH(1,([2]Rubric!$E$3:$E$94=R$2)*([2]Rubric!$F$3:$F$94='[2]Questionnaire Responses'!R299),0)),"MISSING"))</f>
        <v/>
      </c>
      <c r="S298" s="183" t="str">
        <f t="array" ref="S298">IF(Table133[[#This Row],[Survey?]]="","",IFERROR(INDEX([2]Rubric!$G$3:$G$94,MATCH(1,([2]Rubric!$E$3:$E$94=S$2)*([2]Rubric!$F$3:$F$94='[2]Questionnaire Responses'!S299),0)),"MISSING"))</f>
        <v/>
      </c>
      <c r="T298" s="183" t="str">
        <f t="array" ref="T298">IF(Table133[[#This Row],[Survey?]]="","",IFERROR(INDEX([2]Rubric!$G$3:$G$94,MATCH(1,([2]Rubric!$E$3:$E$94=T$2)*([2]Rubric!$F$3:$F$94='[2]Questionnaire Responses'!T299),0)),"MISSING"))</f>
        <v/>
      </c>
      <c r="U298" s="206"/>
      <c r="V298" s="183" t="str">
        <f t="array" ref="V298">IF(Table133[[#This Row],[Survey?]]="","",IFERROR(INDEX([2]Rubric!$G$3:$G$94,MATCH(1,([2]Rubric!$E$3:$E$94=V$2)*([2]Rubric!$F$3:$F$94='[2]Questionnaire Responses'!V299),0)),"MISSING"))</f>
        <v/>
      </c>
      <c r="W298" s="206"/>
      <c r="X298" s="183" t="str">
        <f t="array" ref="X298">IF(Table133[[#This Row],[Survey?]]="","",IFERROR(INDEX([2]Rubric!$G$3:$G$94,MATCH(1,([2]Rubric!$E$3:$E$94=X$2)*([2]Rubric!$F$3:$F$94='[2]Questionnaire Responses'!X299),0)),"MISSING"))</f>
        <v/>
      </c>
      <c r="Y298" s="206"/>
      <c r="Z298" s="183" t="str">
        <f t="array" ref="Z298">IF(Table133[[#This Row],[Survey?]]="","",IFERROR(INDEX([2]Rubric!$G$3:$G$94,MATCH(1,([2]Rubric!$E$3:$E$94=Z$2)*([2]Rubric!$F$3:$F$94='[2]Questionnaire Responses'!Z299),0)),"MISSING"))</f>
        <v/>
      </c>
      <c r="AA298" s="183" t="str">
        <f t="array" ref="AA298">IF(Table133[[#This Row],[Survey?]]="","",IFERROR(INDEX([2]Rubric!$G$3:$G$94,MATCH(1,([2]Rubric!$E$3:$E$94=AA$2)*([2]Rubric!$F$3:$F$94='[2]Questionnaire Responses'!AA299),0)),"MISSING"))</f>
        <v/>
      </c>
      <c r="AB298" s="183" t="str">
        <f t="array" ref="AB298">IF(Table133[[#This Row],[Survey?]]="","",IFERROR(INDEX([2]Rubric!$G$3:$G$94,MATCH(1,([2]Rubric!$E$3:$E$94=AB$2)*([2]Rubric!$F$3:$F$94='[2]Questionnaire Responses'!AB299),0)),"MISSING"))</f>
        <v/>
      </c>
      <c r="AC298" s="206"/>
      <c r="AD298" s="183" t="str">
        <f t="array" ref="AD298">IF(Table133[[#This Row],[Survey?]]="","",IFERROR(INDEX([2]Rubric!$G$3:$G$94,MATCH(1,([2]Rubric!$E$3:$E$94=AD$2)*([2]Rubric!$F$3:$F$94='[2]Questionnaire Responses'!AD299),0)),"MISSING"))</f>
        <v/>
      </c>
      <c r="AE298" s="183" t="str">
        <f t="array" ref="AE298">IF(Table133[[#This Row],[Survey?]]="","",IFERROR(INDEX([2]Rubric!$G$3:$G$94,MATCH(1,([2]Rubric!$E$3:$E$94=AE$2)*([2]Rubric!$F$3:$F$94='[2]Questionnaire Responses'!AE299),0)),"MISSING"))</f>
        <v/>
      </c>
      <c r="AF298" s="206"/>
      <c r="AG298" s="183" t="str">
        <f t="array" ref="AG298">IF(Table133[[#This Row],[Survey?]]="","",IFERROR(INDEX([2]Rubric!$G$3:$G$94,MATCH(1,([2]Rubric!$E$3:$E$94=AG$2)*([2]Rubric!$F$3:$F$94='[2]Questionnaire Responses'!AG299),0)),"MISSING"))</f>
        <v/>
      </c>
    </row>
    <row r="299" spans="1:33" ht="12.75" customHeight="1" x14ac:dyDescent="0.25">
      <c r="A299" s="207">
        <f>'[2]Questionnaire Responses'!A300</f>
        <v>0</v>
      </c>
      <c r="B299" s="198">
        <f>'[2]Questionnaire Responses'!B300</f>
        <v>0</v>
      </c>
      <c r="C299" s="153">
        <f>'[2]Questionnaire Responses'!C300</f>
        <v>0</v>
      </c>
      <c r="D299" s="208"/>
      <c r="E299" s="206"/>
      <c r="F299" s="183" t="str">
        <f t="array" ref="F299">IF(Table133[[#This Row],[Survey?]]="","",IFERROR(INDEX([2]Rubric!$G$3:$G$94,MATCH(1,([2]Rubric!$E$3:$E$94=F$2)*([2]Rubric!$F$3:$F$94='[2]Questionnaire Responses'!F300),0)),"MISSING"))</f>
        <v/>
      </c>
      <c r="G299" s="183" t="str">
        <f t="array" ref="G299">IF(Table133[[#This Row],[Survey?]]="","",IFERROR(INDEX([2]Rubric!$G$3:$G$94,MATCH(1,([2]Rubric!$E$3:$E$94=G$2)*([2]Rubric!$F$3:$F$94='[2]Questionnaire Responses'!G300),0)),"MISSING"))</f>
        <v/>
      </c>
      <c r="H299" s="183" t="str">
        <f t="array" ref="H299">IF(Table133[[#This Row],[Survey?]]="","",IFERROR(INDEX([2]Rubric!$G$3:$G$94,MATCH(1,([2]Rubric!$E$3:$E$94=H$2)*([2]Rubric!$F$3:$F$94='[2]Questionnaire Responses'!H300),0)),"MISSING"))</f>
        <v/>
      </c>
      <c r="I299" s="183" t="str">
        <f t="array" ref="I299">IF(Table133[[#This Row],[Survey?]]="","",IFERROR(INDEX([2]Rubric!$G$3:$G$94,MATCH(1,([2]Rubric!$E$3:$E$94=I$2)*([2]Rubric!$F$3:$F$94='[2]Questionnaire Responses'!I300),0)),"MISSING"))</f>
        <v/>
      </c>
      <c r="J299" s="183" t="str">
        <f t="array" ref="J299">IF(Table133[[#This Row],[Survey?]]="","",IFERROR(INDEX([2]Rubric!$G$3:$G$94,MATCH(1,([2]Rubric!$E$3:$E$94=J$2)*([2]Rubric!$F$3:$F$94='[2]Questionnaire Responses'!J300),0)),"MISSING"))</f>
        <v/>
      </c>
      <c r="K299" s="206"/>
      <c r="L299" s="183" t="str">
        <f t="array" ref="L299">IF(Table133[[#This Row],[Survey?]]="","",IFERROR(INDEX([2]Rubric!$G$3:$G$94,MATCH(1,([2]Rubric!$E$3:$E$94=L$2)*([2]Rubric!$F$3:$F$94='[2]Questionnaire Responses'!L300),0)),"MISSING"))</f>
        <v/>
      </c>
      <c r="M299" s="206"/>
      <c r="N299" s="183" t="str">
        <f t="array" ref="N299">IF(Table133[[#This Row],[Survey?]]="","",IFERROR(INDEX([2]Rubric!$G$3:$G$94,MATCH(1,([2]Rubric!$E$3:$E$94=N$2)*([2]Rubric!$F$3:$F$94='[2]Questionnaire Responses'!N300),0)),"MISSING"))</f>
        <v/>
      </c>
      <c r="O299" s="183" t="str">
        <f t="array" ref="O299">IF(Table133[[#This Row],[Survey?]]="","",IFERROR(INDEX([2]Rubric!$G$3:$G$94,MATCH(1,([2]Rubric!$E$3:$E$94=O$2)*([2]Rubric!$F$3:$F$94='[2]Questionnaire Responses'!O300),0)),"MISSING"))</f>
        <v/>
      </c>
      <c r="P299" s="206"/>
      <c r="Q299" s="183" t="str">
        <f t="array" ref="Q299">IF(Table133[[#This Row],[Survey?]]="","",IFERROR(INDEX([2]Rubric!$G$3:$G$94,MATCH(1,([2]Rubric!$E$3:$E$94=Q$2)*([2]Rubric!$F$3:$F$94='[2]Questionnaire Responses'!Q300),0)),"MISSING"))</f>
        <v/>
      </c>
      <c r="R299" s="183" t="str">
        <f t="array" ref="R299">IF(Table133[[#This Row],[Survey?]]="","",IFERROR(INDEX([2]Rubric!$G$3:$G$94,MATCH(1,([2]Rubric!$E$3:$E$94=R$2)*([2]Rubric!$F$3:$F$94='[2]Questionnaire Responses'!R300),0)),"MISSING"))</f>
        <v/>
      </c>
      <c r="S299" s="183" t="str">
        <f t="array" ref="S299">IF(Table133[[#This Row],[Survey?]]="","",IFERROR(INDEX([2]Rubric!$G$3:$G$94,MATCH(1,([2]Rubric!$E$3:$E$94=S$2)*([2]Rubric!$F$3:$F$94='[2]Questionnaire Responses'!S300),0)),"MISSING"))</f>
        <v/>
      </c>
      <c r="T299" s="183" t="str">
        <f t="array" ref="T299">IF(Table133[[#This Row],[Survey?]]="","",IFERROR(INDEX([2]Rubric!$G$3:$G$94,MATCH(1,([2]Rubric!$E$3:$E$94=T$2)*([2]Rubric!$F$3:$F$94='[2]Questionnaire Responses'!T300),0)),"MISSING"))</f>
        <v/>
      </c>
      <c r="U299" s="206"/>
      <c r="V299" s="183" t="str">
        <f t="array" ref="V299">IF(Table133[[#This Row],[Survey?]]="","",IFERROR(INDEX([2]Rubric!$G$3:$G$94,MATCH(1,([2]Rubric!$E$3:$E$94=V$2)*([2]Rubric!$F$3:$F$94='[2]Questionnaire Responses'!V300),0)),"MISSING"))</f>
        <v/>
      </c>
      <c r="W299" s="206"/>
      <c r="X299" s="183" t="str">
        <f t="array" ref="X299">IF(Table133[[#This Row],[Survey?]]="","",IFERROR(INDEX([2]Rubric!$G$3:$G$94,MATCH(1,([2]Rubric!$E$3:$E$94=X$2)*([2]Rubric!$F$3:$F$94='[2]Questionnaire Responses'!X300),0)),"MISSING"))</f>
        <v/>
      </c>
      <c r="Y299" s="206"/>
      <c r="Z299" s="183" t="str">
        <f t="array" ref="Z299">IF(Table133[[#This Row],[Survey?]]="","",IFERROR(INDEX([2]Rubric!$G$3:$G$94,MATCH(1,([2]Rubric!$E$3:$E$94=Z$2)*([2]Rubric!$F$3:$F$94='[2]Questionnaire Responses'!Z300),0)),"MISSING"))</f>
        <v/>
      </c>
      <c r="AA299" s="183" t="str">
        <f t="array" ref="AA299">IF(Table133[[#This Row],[Survey?]]="","",IFERROR(INDEX([2]Rubric!$G$3:$G$94,MATCH(1,([2]Rubric!$E$3:$E$94=AA$2)*([2]Rubric!$F$3:$F$94='[2]Questionnaire Responses'!AA300),0)),"MISSING"))</f>
        <v/>
      </c>
      <c r="AB299" s="183" t="str">
        <f t="array" ref="AB299">IF(Table133[[#This Row],[Survey?]]="","",IFERROR(INDEX([2]Rubric!$G$3:$G$94,MATCH(1,([2]Rubric!$E$3:$E$94=AB$2)*([2]Rubric!$F$3:$F$94='[2]Questionnaire Responses'!AB300),0)),"MISSING"))</f>
        <v/>
      </c>
      <c r="AC299" s="206"/>
      <c r="AD299" s="183" t="str">
        <f t="array" ref="AD299">IF(Table133[[#This Row],[Survey?]]="","",IFERROR(INDEX([2]Rubric!$G$3:$G$94,MATCH(1,([2]Rubric!$E$3:$E$94=AD$2)*([2]Rubric!$F$3:$F$94='[2]Questionnaire Responses'!AD300),0)),"MISSING"))</f>
        <v/>
      </c>
      <c r="AE299" s="183" t="str">
        <f t="array" ref="AE299">IF(Table133[[#This Row],[Survey?]]="","",IFERROR(INDEX([2]Rubric!$G$3:$G$94,MATCH(1,([2]Rubric!$E$3:$E$94=AE$2)*([2]Rubric!$F$3:$F$94='[2]Questionnaire Responses'!AE300),0)),"MISSING"))</f>
        <v/>
      </c>
      <c r="AF299" s="206"/>
      <c r="AG299" s="183" t="str">
        <f t="array" ref="AG299">IF(Table133[[#This Row],[Survey?]]="","",IFERROR(INDEX([2]Rubric!$G$3:$G$94,MATCH(1,([2]Rubric!$E$3:$E$94=AG$2)*([2]Rubric!$F$3:$F$94='[2]Questionnaire Responses'!AG300),0)),"MISSING"))</f>
        <v/>
      </c>
    </row>
    <row r="300" spans="1:33" ht="12.75" customHeight="1" x14ac:dyDescent="0.25">
      <c r="A300" s="207">
        <f>'[2]Questionnaire Responses'!A301</f>
        <v>0</v>
      </c>
      <c r="B300" s="198">
        <f>'[2]Questionnaire Responses'!B301</f>
        <v>0</v>
      </c>
      <c r="C300" s="153">
        <f>'[2]Questionnaire Responses'!C301</f>
        <v>0</v>
      </c>
      <c r="D300" s="208"/>
      <c r="E300" s="206"/>
      <c r="F300" s="183" t="str">
        <f t="array" ref="F300">IF(Table133[[#This Row],[Survey?]]="","",IFERROR(INDEX([2]Rubric!$G$3:$G$94,MATCH(1,([2]Rubric!$E$3:$E$94=F$2)*([2]Rubric!$F$3:$F$94='[2]Questionnaire Responses'!F301),0)),"MISSING"))</f>
        <v/>
      </c>
      <c r="G300" s="183" t="str">
        <f t="array" ref="G300">IF(Table133[[#This Row],[Survey?]]="","",IFERROR(INDEX([2]Rubric!$G$3:$G$94,MATCH(1,([2]Rubric!$E$3:$E$94=G$2)*([2]Rubric!$F$3:$F$94='[2]Questionnaire Responses'!G301),0)),"MISSING"))</f>
        <v/>
      </c>
      <c r="H300" s="183" t="str">
        <f t="array" ref="H300">IF(Table133[[#This Row],[Survey?]]="","",IFERROR(INDEX([2]Rubric!$G$3:$G$94,MATCH(1,([2]Rubric!$E$3:$E$94=H$2)*([2]Rubric!$F$3:$F$94='[2]Questionnaire Responses'!H301),0)),"MISSING"))</f>
        <v/>
      </c>
      <c r="I300" s="183" t="str">
        <f t="array" ref="I300">IF(Table133[[#This Row],[Survey?]]="","",IFERROR(INDEX([2]Rubric!$G$3:$G$94,MATCH(1,([2]Rubric!$E$3:$E$94=I$2)*([2]Rubric!$F$3:$F$94='[2]Questionnaire Responses'!I301),0)),"MISSING"))</f>
        <v/>
      </c>
      <c r="J300" s="183" t="str">
        <f t="array" ref="J300">IF(Table133[[#This Row],[Survey?]]="","",IFERROR(INDEX([2]Rubric!$G$3:$G$94,MATCH(1,([2]Rubric!$E$3:$E$94=J$2)*([2]Rubric!$F$3:$F$94='[2]Questionnaire Responses'!J301),0)),"MISSING"))</f>
        <v/>
      </c>
      <c r="K300" s="206"/>
      <c r="L300" s="183" t="str">
        <f t="array" ref="L300">IF(Table133[[#This Row],[Survey?]]="","",IFERROR(INDEX([2]Rubric!$G$3:$G$94,MATCH(1,([2]Rubric!$E$3:$E$94=L$2)*([2]Rubric!$F$3:$F$94='[2]Questionnaire Responses'!L301),0)),"MISSING"))</f>
        <v/>
      </c>
      <c r="M300" s="206"/>
      <c r="N300" s="183" t="str">
        <f t="array" ref="N300">IF(Table133[[#This Row],[Survey?]]="","",IFERROR(INDEX([2]Rubric!$G$3:$G$94,MATCH(1,([2]Rubric!$E$3:$E$94=N$2)*([2]Rubric!$F$3:$F$94='[2]Questionnaire Responses'!N301),0)),"MISSING"))</f>
        <v/>
      </c>
      <c r="O300" s="183" t="str">
        <f t="array" ref="O300">IF(Table133[[#This Row],[Survey?]]="","",IFERROR(INDEX([2]Rubric!$G$3:$G$94,MATCH(1,([2]Rubric!$E$3:$E$94=O$2)*([2]Rubric!$F$3:$F$94='[2]Questionnaire Responses'!O301),0)),"MISSING"))</f>
        <v/>
      </c>
      <c r="P300" s="206"/>
      <c r="Q300" s="183" t="str">
        <f t="array" ref="Q300">IF(Table133[[#This Row],[Survey?]]="","",IFERROR(INDEX([2]Rubric!$G$3:$G$94,MATCH(1,([2]Rubric!$E$3:$E$94=Q$2)*([2]Rubric!$F$3:$F$94='[2]Questionnaire Responses'!Q301),0)),"MISSING"))</f>
        <v/>
      </c>
      <c r="R300" s="183" t="str">
        <f t="array" ref="R300">IF(Table133[[#This Row],[Survey?]]="","",IFERROR(INDEX([2]Rubric!$G$3:$G$94,MATCH(1,([2]Rubric!$E$3:$E$94=R$2)*([2]Rubric!$F$3:$F$94='[2]Questionnaire Responses'!R301),0)),"MISSING"))</f>
        <v/>
      </c>
      <c r="S300" s="183" t="str">
        <f t="array" ref="S300">IF(Table133[[#This Row],[Survey?]]="","",IFERROR(INDEX([2]Rubric!$G$3:$G$94,MATCH(1,([2]Rubric!$E$3:$E$94=S$2)*([2]Rubric!$F$3:$F$94='[2]Questionnaire Responses'!S301),0)),"MISSING"))</f>
        <v/>
      </c>
      <c r="T300" s="183" t="str">
        <f t="array" ref="T300">IF(Table133[[#This Row],[Survey?]]="","",IFERROR(INDEX([2]Rubric!$G$3:$G$94,MATCH(1,([2]Rubric!$E$3:$E$94=T$2)*([2]Rubric!$F$3:$F$94='[2]Questionnaire Responses'!T301),0)),"MISSING"))</f>
        <v/>
      </c>
      <c r="U300" s="206"/>
      <c r="V300" s="183" t="str">
        <f t="array" ref="V300">IF(Table133[[#This Row],[Survey?]]="","",IFERROR(INDEX([2]Rubric!$G$3:$G$94,MATCH(1,([2]Rubric!$E$3:$E$94=V$2)*([2]Rubric!$F$3:$F$94='[2]Questionnaire Responses'!V301),0)),"MISSING"))</f>
        <v/>
      </c>
      <c r="W300" s="206"/>
      <c r="X300" s="183" t="str">
        <f t="array" ref="X300">IF(Table133[[#This Row],[Survey?]]="","",IFERROR(INDEX([2]Rubric!$G$3:$G$94,MATCH(1,([2]Rubric!$E$3:$E$94=X$2)*([2]Rubric!$F$3:$F$94='[2]Questionnaire Responses'!X301),0)),"MISSING"))</f>
        <v/>
      </c>
      <c r="Y300" s="206"/>
      <c r="Z300" s="183" t="str">
        <f t="array" ref="Z300">IF(Table133[[#This Row],[Survey?]]="","",IFERROR(INDEX([2]Rubric!$G$3:$G$94,MATCH(1,([2]Rubric!$E$3:$E$94=Z$2)*([2]Rubric!$F$3:$F$94='[2]Questionnaire Responses'!Z301),0)),"MISSING"))</f>
        <v/>
      </c>
      <c r="AA300" s="183" t="str">
        <f t="array" ref="AA300">IF(Table133[[#This Row],[Survey?]]="","",IFERROR(INDEX([2]Rubric!$G$3:$G$94,MATCH(1,([2]Rubric!$E$3:$E$94=AA$2)*([2]Rubric!$F$3:$F$94='[2]Questionnaire Responses'!AA301),0)),"MISSING"))</f>
        <v/>
      </c>
      <c r="AB300" s="183" t="str">
        <f t="array" ref="AB300">IF(Table133[[#This Row],[Survey?]]="","",IFERROR(INDEX([2]Rubric!$G$3:$G$94,MATCH(1,([2]Rubric!$E$3:$E$94=AB$2)*([2]Rubric!$F$3:$F$94='[2]Questionnaire Responses'!AB301),0)),"MISSING"))</f>
        <v/>
      </c>
      <c r="AC300" s="206"/>
      <c r="AD300" s="183" t="str">
        <f t="array" ref="AD300">IF(Table133[[#This Row],[Survey?]]="","",IFERROR(INDEX([2]Rubric!$G$3:$G$94,MATCH(1,([2]Rubric!$E$3:$E$94=AD$2)*([2]Rubric!$F$3:$F$94='[2]Questionnaire Responses'!AD301),0)),"MISSING"))</f>
        <v/>
      </c>
      <c r="AE300" s="183" t="str">
        <f t="array" ref="AE300">IF(Table133[[#This Row],[Survey?]]="","",IFERROR(INDEX([2]Rubric!$G$3:$G$94,MATCH(1,([2]Rubric!$E$3:$E$94=AE$2)*([2]Rubric!$F$3:$F$94='[2]Questionnaire Responses'!AE301),0)),"MISSING"))</f>
        <v/>
      </c>
      <c r="AF300" s="206"/>
      <c r="AG300" s="183" t="str">
        <f t="array" ref="AG300">IF(Table133[[#This Row],[Survey?]]="","",IFERROR(INDEX([2]Rubric!$G$3:$G$94,MATCH(1,([2]Rubric!$E$3:$E$94=AG$2)*([2]Rubric!$F$3:$F$94='[2]Questionnaire Responses'!AG301),0)),"MISSING"))</f>
        <v/>
      </c>
    </row>
    <row r="301" spans="1:33" ht="12.75" customHeight="1" x14ac:dyDescent="0.25">
      <c r="A301" s="207">
        <f>'[2]Questionnaire Responses'!A302</f>
        <v>0</v>
      </c>
      <c r="B301" s="198">
        <f>'[2]Questionnaire Responses'!B302</f>
        <v>0</v>
      </c>
      <c r="C301" s="153">
        <f>'[2]Questionnaire Responses'!C302</f>
        <v>0</v>
      </c>
      <c r="D301" s="208"/>
      <c r="E301" s="206"/>
      <c r="F301" s="183" t="str">
        <f t="array" ref="F301">IF(Table133[[#This Row],[Survey?]]="","",IFERROR(INDEX([2]Rubric!$G$3:$G$94,MATCH(1,([2]Rubric!$E$3:$E$94=F$2)*([2]Rubric!$F$3:$F$94='[2]Questionnaire Responses'!F302),0)),"MISSING"))</f>
        <v/>
      </c>
      <c r="G301" s="183" t="str">
        <f t="array" ref="G301">IF(Table133[[#This Row],[Survey?]]="","",IFERROR(INDEX([2]Rubric!$G$3:$G$94,MATCH(1,([2]Rubric!$E$3:$E$94=G$2)*([2]Rubric!$F$3:$F$94='[2]Questionnaire Responses'!G302),0)),"MISSING"))</f>
        <v/>
      </c>
      <c r="H301" s="183" t="str">
        <f t="array" ref="H301">IF(Table133[[#This Row],[Survey?]]="","",IFERROR(INDEX([2]Rubric!$G$3:$G$94,MATCH(1,([2]Rubric!$E$3:$E$94=H$2)*([2]Rubric!$F$3:$F$94='[2]Questionnaire Responses'!H302),0)),"MISSING"))</f>
        <v/>
      </c>
      <c r="I301" s="183" t="str">
        <f t="array" ref="I301">IF(Table133[[#This Row],[Survey?]]="","",IFERROR(INDEX([2]Rubric!$G$3:$G$94,MATCH(1,([2]Rubric!$E$3:$E$94=I$2)*([2]Rubric!$F$3:$F$94='[2]Questionnaire Responses'!I302),0)),"MISSING"))</f>
        <v/>
      </c>
      <c r="J301" s="183" t="str">
        <f t="array" ref="J301">IF(Table133[[#This Row],[Survey?]]="","",IFERROR(INDEX([2]Rubric!$G$3:$G$94,MATCH(1,([2]Rubric!$E$3:$E$94=J$2)*([2]Rubric!$F$3:$F$94='[2]Questionnaire Responses'!J302),0)),"MISSING"))</f>
        <v/>
      </c>
      <c r="K301" s="206"/>
      <c r="L301" s="183" t="str">
        <f t="array" ref="L301">IF(Table133[[#This Row],[Survey?]]="","",IFERROR(INDEX([2]Rubric!$G$3:$G$94,MATCH(1,([2]Rubric!$E$3:$E$94=L$2)*([2]Rubric!$F$3:$F$94='[2]Questionnaire Responses'!L302),0)),"MISSING"))</f>
        <v/>
      </c>
      <c r="M301" s="206"/>
      <c r="N301" s="183" t="str">
        <f t="array" ref="N301">IF(Table133[[#This Row],[Survey?]]="","",IFERROR(INDEX([2]Rubric!$G$3:$G$94,MATCH(1,([2]Rubric!$E$3:$E$94=N$2)*([2]Rubric!$F$3:$F$94='[2]Questionnaire Responses'!N302),0)),"MISSING"))</f>
        <v/>
      </c>
      <c r="O301" s="183" t="str">
        <f t="array" ref="O301">IF(Table133[[#This Row],[Survey?]]="","",IFERROR(INDEX([2]Rubric!$G$3:$G$94,MATCH(1,([2]Rubric!$E$3:$E$94=O$2)*([2]Rubric!$F$3:$F$94='[2]Questionnaire Responses'!O302),0)),"MISSING"))</f>
        <v/>
      </c>
      <c r="P301" s="206"/>
      <c r="Q301" s="183" t="str">
        <f t="array" ref="Q301">IF(Table133[[#This Row],[Survey?]]="","",IFERROR(INDEX([2]Rubric!$G$3:$G$94,MATCH(1,([2]Rubric!$E$3:$E$94=Q$2)*([2]Rubric!$F$3:$F$94='[2]Questionnaire Responses'!Q302),0)),"MISSING"))</f>
        <v/>
      </c>
      <c r="R301" s="183" t="str">
        <f t="array" ref="R301">IF(Table133[[#This Row],[Survey?]]="","",IFERROR(INDEX([2]Rubric!$G$3:$G$94,MATCH(1,([2]Rubric!$E$3:$E$94=R$2)*([2]Rubric!$F$3:$F$94='[2]Questionnaire Responses'!R302),0)),"MISSING"))</f>
        <v/>
      </c>
      <c r="S301" s="183" t="str">
        <f t="array" ref="S301">IF(Table133[[#This Row],[Survey?]]="","",IFERROR(INDEX([2]Rubric!$G$3:$G$94,MATCH(1,([2]Rubric!$E$3:$E$94=S$2)*([2]Rubric!$F$3:$F$94='[2]Questionnaire Responses'!S302),0)),"MISSING"))</f>
        <v/>
      </c>
      <c r="T301" s="183" t="str">
        <f t="array" ref="T301">IF(Table133[[#This Row],[Survey?]]="","",IFERROR(INDEX([2]Rubric!$G$3:$G$94,MATCH(1,([2]Rubric!$E$3:$E$94=T$2)*([2]Rubric!$F$3:$F$94='[2]Questionnaire Responses'!T302),0)),"MISSING"))</f>
        <v/>
      </c>
      <c r="U301" s="206"/>
      <c r="V301" s="183" t="str">
        <f t="array" ref="V301">IF(Table133[[#This Row],[Survey?]]="","",IFERROR(INDEX([2]Rubric!$G$3:$G$94,MATCH(1,([2]Rubric!$E$3:$E$94=V$2)*([2]Rubric!$F$3:$F$94='[2]Questionnaire Responses'!V302),0)),"MISSING"))</f>
        <v/>
      </c>
      <c r="W301" s="206"/>
      <c r="X301" s="183" t="str">
        <f t="array" ref="X301">IF(Table133[[#This Row],[Survey?]]="","",IFERROR(INDEX([2]Rubric!$G$3:$G$94,MATCH(1,([2]Rubric!$E$3:$E$94=X$2)*([2]Rubric!$F$3:$F$94='[2]Questionnaire Responses'!X302),0)),"MISSING"))</f>
        <v/>
      </c>
      <c r="Y301" s="206"/>
      <c r="Z301" s="183" t="str">
        <f t="array" ref="Z301">IF(Table133[[#This Row],[Survey?]]="","",IFERROR(INDEX([2]Rubric!$G$3:$G$94,MATCH(1,([2]Rubric!$E$3:$E$94=Z$2)*([2]Rubric!$F$3:$F$94='[2]Questionnaire Responses'!Z302),0)),"MISSING"))</f>
        <v/>
      </c>
      <c r="AA301" s="183" t="str">
        <f t="array" ref="AA301">IF(Table133[[#This Row],[Survey?]]="","",IFERROR(INDEX([2]Rubric!$G$3:$G$94,MATCH(1,([2]Rubric!$E$3:$E$94=AA$2)*([2]Rubric!$F$3:$F$94='[2]Questionnaire Responses'!AA302),0)),"MISSING"))</f>
        <v/>
      </c>
      <c r="AB301" s="183" t="str">
        <f t="array" ref="AB301">IF(Table133[[#This Row],[Survey?]]="","",IFERROR(INDEX([2]Rubric!$G$3:$G$94,MATCH(1,([2]Rubric!$E$3:$E$94=AB$2)*([2]Rubric!$F$3:$F$94='[2]Questionnaire Responses'!AB302),0)),"MISSING"))</f>
        <v/>
      </c>
      <c r="AC301" s="206"/>
      <c r="AD301" s="183" t="str">
        <f t="array" ref="AD301">IF(Table133[[#This Row],[Survey?]]="","",IFERROR(INDEX([2]Rubric!$G$3:$G$94,MATCH(1,([2]Rubric!$E$3:$E$94=AD$2)*([2]Rubric!$F$3:$F$94='[2]Questionnaire Responses'!AD302),0)),"MISSING"))</f>
        <v/>
      </c>
      <c r="AE301" s="183" t="str">
        <f t="array" ref="AE301">IF(Table133[[#This Row],[Survey?]]="","",IFERROR(INDEX([2]Rubric!$G$3:$G$94,MATCH(1,([2]Rubric!$E$3:$E$94=AE$2)*([2]Rubric!$F$3:$F$94='[2]Questionnaire Responses'!AE302),0)),"MISSING"))</f>
        <v/>
      </c>
      <c r="AF301" s="206"/>
      <c r="AG301" s="183" t="str">
        <f t="array" ref="AG301">IF(Table133[[#This Row],[Survey?]]="","",IFERROR(INDEX([2]Rubric!$G$3:$G$94,MATCH(1,([2]Rubric!$E$3:$E$94=AG$2)*([2]Rubric!$F$3:$F$94='[2]Questionnaire Responses'!AG302),0)),"MISSING"))</f>
        <v/>
      </c>
    </row>
    <row r="302" spans="1:33" ht="12.75" customHeight="1" x14ac:dyDescent="0.25">
      <c r="A302" s="207">
        <f>'[2]Questionnaire Responses'!A303</f>
        <v>0</v>
      </c>
      <c r="B302" s="198">
        <f>'[2]Questionnaire Responses'!B303</f>
        <v>0</v>
      </c>
      <c r="C302" s="153">
        <f>'[2]Questionnaire Responses'!C303</f>
        <v>0</v>
      </c>
      <c r="D302" s="208"/>
      <c r="E302" s="206"/>
      <c r="F302" s="183" t="str">
        <f t="array" ref="F302">IF(Table133[[#This Row],[Survey?]]="","",IFERROR(INDEX([2]Rubric!$G$3:$G$94,MATCH(1,([2]Rubric!$E$3:$E$94=F$2)*([2]Rubric!$F$3:$F$94='[2]Questionnaire Responses'!F303),0)),"MISSING"))</f>
        <v/>
      </c>
      <c r="G302" s="183" t="str">
        <f t="array" ref="G302">IF(Table133[[#This Row],[Survey?]]="","",IFERROR(INDEX([2]Rubric!$G$3:$G$94,MATCH(1,([2]Rubric!$E$3:$E$94=G$2)*([2]Rubric!$F$3:$F$94='[2]Questionnaire Responses'!G303),0)),"MISSING"))</f>
        <v/>
      </c>
      <c r="H302" s="183" t="str">
        <f t="array" ref="H302">IF(Table133[[#This Row],[Survey?]]="","",IFERROR(INDEX([2]Rubric!$G$3:$G$94,MATCH(1,([2]Rubric!$E$3:$E$94=H$2)*([2]Rubric!$F$3:$F$94='[2]Questionnaire Responses'!H303),0)),"MISSING"))</f>
        <v/>
      </c>
      <c r="I302" s="183" t="str">
        <f t="array" ref="I302">IF(Table133[[#This Row],[Survey?]]="","",IFERROR(INDEX([2]Rubric!$G$3:$G$94,MATCH(1,([2]Rubric!$E$3:$E$94=I$2)*([2]Rubric!$F$3:$F$94='[2]Questionnaire Responses'!I303),0)),"MISSING"))</f>
        <v/>
      </c>
      <c r="J302" s="183" t="str">
        <f t="array" ref="J302">IF(Table133[[#This Row],[Survey?]]="","",IFERROR(INDEX([2]Rubric!$G$3:$G$94,MATCH(1,([2]Rubric!$E$3:$E$94=J$2)*([2]Rubric!$F$3:$F$94='[2]Questionnaire Responses'!J303),0)),"MISSING"))</f>
        <v/>
      </c>
      <c r="K302" s="206"/>
      <c r="L302" s="183" t="str">
        <f t="array" ref="L302">IF(Table133[[#This Row],[Survey?]]="","",IFERROR(INDEX([2]Rubric!$G$3:$G$94,MATCH(1,([2]Rubric!$E$3:$E$94=L$2)*([2]Rubric!$F$3:$F$94='[2]Questionnaire Responses'!L303),0)),"MISSING"))</f>
        <v/>
      </c>
      <c r="M302" s="206"/>
      <c r="N302" s="183" t="str">
        <f t="array" ref="N302">IF(Table133[[#This Row],[Survey?]]="","",IFERROR(INDEX([2]Rubric!$G$3:$G$94,MATCH(1,([2]Rubric!$E$3:$E$94=N$2)*([2]Rubric!$F$3:$F$94='[2]Questionnaire Responses'!N303),0)),"MISSING"))</f>
        <v/>
      </c>
      <c r="O302" s="183" t="str">
        <f t="array" ref="O302">IF(Table133[[#This Row],[Survey?]]="","",IFERROR(INDEX([2]Rubric!$G$3:$G$94,MATCH(1,([2]Rubric!$E$3:$E$94=O$2)*([2]Rubric!$F$3:$F$94='[2]Questionnaire Responses'!O303),0)),"MISSING"))</f>
        <v/>
      </c>
      <c r="P302" s="206"/>
      <c r="Q302" s="183" t="str">
        <f t="array" ref="Q302">IF(Table133[[#This Row],[Survey?]]="","",IFERROR(INDEX([2]Rubric!$G$3:$G$94,MATCH(1,([2]Rubric!$E$3:$E$94=Q$2)*([2]Rubric!$F$3:$F$94='[2]Questionnaire Responses'!Q303),0)),"MISSING"))</f>
        <v/>
      </c>
      <c r="R302" s="183" t="str">
        <f t="array" ref="R302">IF(Table133[[#This Row],[Survey?]]="","",IFERROR(INDEX([2]Rubric!$G$3:$G$94,MATCH(1,([2]Rubric!$E$3:$E$94=R$2)*([2]Rubric!$F$3:$F$94='[2]Questionnaire Responses'!R303),0)),"MISSING"))</f>
        <v/>
      </c>
      <c r="S302" s="183" t="str">
        <f t="array" ref="S302">IF(Table133[[#This Row],[Survey?]]="","",IFERROR(INDEX([2]Rubric!$G$3:$G$94,MATCH(1,([2]Rubric!$E$3:$E$94=S$2)*([2]Rubric!$F$3:$F$94='[2]Questionnaire Responses'!S303),0)),"MISSING"))</f>
        <v/>
      </c>
      <c r="T302" s="183" t="str">
        <f t="array" ref="T302">IF(Table133[[#This Row],[Survey?]]="","",IFERROR(INDEX([2]Rubric!$G$3:$G$94,MATCH(1,([2]Rubric!$E$3:$E$94=T$2)*([2]Rubric!$F$3:$F$94='[2]Questionnaire Responses'!T303),0)),"MISSING"))</f>
        <v/>
      </c>
      <c r="U302" s="206"/>
      <c r="V302" s="183" t="str">
        <f t="array" ref="V302">IF(Table133[[#This Row],[Survey?]]="","",IFERROR(INDEX([2]Rubric!$G$3:$G$94,MATCH(1,([2]Rubric!$E$3:$E$94=V$2)*([2]Rubric!$F$3:$F$94='[2]Questionnaire Responses'!V303),0)),"MISSING"))</f>
        <v/>
      </c>
      <c r="W302" s="206"/>
      <c r="X302" s="183" t="str">
        <f t="array" ref="X302">IF(Table133[[#This Row],[Survey?]]="","",IFERROR(INDEX([2]Rubric!$G$3:$G$94,MATCH(1,([2]Rubric!$E$3:$E$94=X$2)*([2]Rubric!$F$3:$F$94='[2]Questionnaire Responses'!X303),0)),"MISSING"))</f>
        <v/>
      </c>
      <c r="Y302" s="206"/>
      <c r="Z302" s="183" t="str">
        <f t="array" ref="Z302">IF(Table133[[#This Row],[Survey?]]="","",IFERROR(INDEX([2]Rubric!$G$3:$G$94,MATCH(1,([2]Rubric!$E$3:$E$94=Z$2)*([2]Rubric!$F$3:$F$94='[2]Questionnaire Responses'!Z303),0)),"MISSING"))</f>
        <v/>
      </c>
      <c r="AA302" s="183" t="str">
        <f t="array" ref="AA302">IF(Table133[[#This Row],[Survey?]]="","",IFERROR(INDEX([2]Rubric!$G$3:$G$94,MATCH(1,([2]Rubric!$E$3:$E$94=AA$2)*([2]Rubric!$F$3:$F$94='[2]Questionnaire Responses'!AA303),0)),"MISSING"))</f>
        <v/>
      </c>
      <c r="AB302" s="183" t="str">
        <f t="array" ref="AB302">IF(Table133[[#This Row],[Survey?]]="","",IFERROR(INDEX([2]Rubric!$G$3:$G$94,MATCH(1,([2]Rubric!$E$3:$E$94=AB$2)*([2]Rubric!$F$3:$F$94='[2]Questionnaire Responses'!AB303),0)),"MISSING"))</f>
        <v/>
      </c>
      <c r="AC302" s="206"/>
      <c r="AD302" s="183" t="str">
        <f t="array" ref="AD302">IF(Table133[[#This Row],[Survey?]]="","",IFERROR(INDEX([2]Rubric!$G$3:$G$94,MATCH(1,([2]Rubric!$E$3:$E$94=AD$2)*([2]Rubric!$F$3:$F$94='[2]Questionnaire Responses'!AD303),0)),"MISSING"))</f>
        <v/>
      </c>
      <c r="AE302" s="183" t="str">
        <f t="array" ref="AE302">IF(Table133[[#This Row],[Survey?]]="","",IFERROR(INDEX([2]Rubric!$G$3:$G$94,MATCH(1,([2]Rubric!$E$3:$E$94=AE$2)*([2]Rubric!$F$3:$F$94='[2]Questionnaire Responses'!AE303),0)),"MISSING"))</f>
        <v/>
      </c>
      <c r="AF302" s="206"/>
      <c r="AG302" s="183" t="str">
        <f t="array" ref="AG302">IF(Table133[[#This Row],[Survey?]]="","",IFERROR(INDEX([2]Rubric!$G$3:$G$94,MATCH(1,([2]Rubric!$E$3:$E$94=AG$2)*([2]Rubric!$F$3:$F$94='[2]Questionnaire Responses'!AG303),0)),"MISSING"))</f>
        <v/>
      </c>
    </row>
    <row r="303" spans="1:33" ht="12.75" customHeight="1" x14ac:dyDescent="0.25">
      <c r="A303" s="207">
        <f>'[2]Questionnaire Responses'!A304</f>
        <v>0</v>
      </c>
      <c r="B303" s="198">
        <f>'[2]Questionnaire Responses'!B304</f>
        <v>0</v>
      </c>
      <c r="C303" s="153">
        <f>'[2]Questionnaire Responses'!C304</f>
        <v>0</v>
      </c>
      <c r="D303" s="208"/>
      <c r="E303" s="206"/>
      <c r="F303" s="183" t="str">
        <f t="array" ref="F303">IF(Table133[[#This Row],[Survey?]]="","",IFERROR(INDEX([2]Rubric!$G$3:$G$94,MATCH(1,([2]Rubric!$E$3:$E$94=F$2)*([2]Rubric!$F$3:$F$94='[2]Questionnaire Responses'!F304),0)),"MISSING"))</f>
        <v/>
      </c>
      <c r="G303" s="183" t="str">
        <f t="array" ref="G303">IF(Table133[[#This Row],[Survey?]]="","",IFERROR(INDEX([2]Rubric!$G$3:$G$94,MATCH(1,([2]Rubric!$E$3:$E$94=G$2)*([2]Rubric!$F$3:$F$94='[2]Questionnaire Responses'!G304),0)),"MISSING"))</f>
        <v/>
      </c>
      <c r="H303" s="183" t="str">
        <f t="array" ref="H303">IF(Table133[[#This Row],[Survey?]]="","",IFERROR(INDEX([2]Rubric!$G$3:$G$94,MATCH(1,([2]Rubric!$E$3:$E$94=H$2)*([2]Rubric!$F$3:$F$94='[2]Questionnaire Responses'!H304),0)),"MISSING"))</f>
        <v/>
      </c>
      <c r="I303" s="183" t="str">
        <f t="array" ref="I303">IF(Table133[[#This Row],[Survey?]]="","",IFERROR(INDEX([2]Rubric!$G$3:$G$94,MATCH(1,([2]Rubric!$E$3:$E$94=I$2)*([2]Rubric!$F$3:$F$94='[2]Questionnaire Responses'!I304),0)),"MISSING"))</f>
        <v/>
      </c>
      <c r="J303" s="183" t="str">
        <f t="array" ref="J303">IF(Table133[[#This Row],[Survey?]]="","",IFERROR(INDEX([2]Rubric!$G$3:$G$94,MATCH(1,([2]Rubric!$E$3:$E$94=J$2)*([2]Rubric!$F$3:$F$94='[2]Questionnaire Responses'!J304),0)),"MISSING"))</f>
        <v/>
      </c>
      <c r="K303" s="206"/>
      <c r="L303" s="183" t="str">
        <f t="array" ref="L303">IF(Table133[[#This Row],[Survey?]]="","",IFERROR(INDEX([2]Rubric!$G$3:$G$94,MATCH(1,([2]Rubric!$E$3:$E$94=L$2)*([2]Rubric!$F$3:$F$94='[2]Questionnaire Responses'!L304),0)),"MISSING"))</f>
        <v/>
      </c>
      <c r="M303" s="206"/>
      <c r="N303" s="183" t="str">
        <f t="array" ref="N303">IF(Table133[[#This Row],[Survey?]]="","",IFERROR(INDEX([2]Rubric!$G$3:$G$94,MATCH(1,([2]Rubric!$E$3:$E$94=N$2)*([2]Rubric!$F$3:$F$94='[2]Questionnaire Responses'!N304),0)),"MISSING"))</f>
        <v/>
      </c>
      <c r="O303" s="183" t="str">
        <f t="array" ref="O303">IF(Table133[[#This Row],[Survey?]]="","",IFERROR(INDEX([2]Rubric!$G$3:$G$94,MATCH(1,([2]Rubric!$E$3:$E$94=O$2)*([2]Rubric!$F$3:$F$94='[2]Questionnaire Responses'!O304),0)),"MISSING"))</f>
        <v/>
      </c>
      <c r="P303" s="206"/>
      <c r="Q303" s="183" t="str">
        <f t="array" ref="Q303">IF(Table133[[#This Row],[Survey?]]="","",IFERROR(INDEX([2]Rubric!$G$3:$G$94,MATCH(1,([2]Rubric!$E$3:$E$94=Q$2)*([2]Rubric!$F$3:$F$94='[2]Questionnaire Responses'!Q304),0)),"MISSING"))</f>
        <v/>
      </c>
      <c r="R303" s="183" t="str">
        <f t="array" ref="R303">IF(Table133[[#This Row],[Survey?]]="","",IFERROR(INDEX([2]Rubric!$G$3:$G$94,MATCH(1,([2]Rubric!$E$3:$E$94=R$2)*([2]Rubric!$F$3:$F$94='[2]Questionnaire Responses'!R304),0)),"MISSING"))</f>
        <v/>
      </c>
      <c r="S303" s="183" t="str">
        <f t="array" ref="S303">IF(Table133[[#This Row],[Survey?]]="","",IFERROR(INDEX([2]Rubric!$G$3:$G$94,MATCH(1,([2]Rubric!$E$3:$E$94=S$2)*([2]Rubric!$F$3:$F$94='[2]Questionnaire Responses'!S304),0)),"MISSING"))</f>
        <v/>
      </c>
      <c r="T303" s="183" t="str">
        <f t="array" ref="T303">IF(Table133[[#This Row],[Survey?]]="","",IFERROR(INDEX([2]Rubric!$G$3:$G$94,MATCH(1,([2]Rubric!$E$3:$E$94=T$2)*([2]Rubric!$F$3:$F$94='[2]Questionnaire Responses'!T304),0)),"MISSING"))</f>
        <v/>
      </c>
      <c r="U303" s="206"/>
      <c r="V303" s="183" t="str">
        <f t="array" ref="V303">IF(Table133[[#This Row],[Survey?]]="","",IFERROR(INDEX([2]Rubric!$G$3:$G$94,MATCH(1,([2]Rubric!$E$3:$E$94=V$2)*([2]Rubric!$F$3:$F$94='[2]Questionnaire Responses'!V304),0)),"MISSING"))</f>
        <v/>
      </c>
      <c r="W303" s="206"/>
      <c r="X303" s="183" t="str">
        <f t="array" ref="X303">IF(Table133[[#This Row],[Survey?]]="","",IFERROR(INDEX([2]Rubric!$G$3:$G$94,MATCH(1,([2]Rubric!$E$3:$E$94=X$2)*([2]Rubric!$F$3:$F$94='[2]Questionnaire Responses'!X304),0)),"MISSING"))</f>
        <v/>
      </c>
      <c r="Y303" s="206"/>
      <c r="Z303" s="183" t="str">
        <f t="array" ref="Z303">IF(Table133[[#This Row],[Survey?]]="","",IFERROR(INDEX([2]Rubric!$G$3:$G$94,MATCH(1,([2]Rubric!$E$3:$E$94=Z$2)*([2]Rubric!$F$3:$F$94='[2]Questionnaire Responses'!Z304),0)),"MISSING"))</f>
        <v/>
      </c>
      <c r="AA303" s="183" t="str">
        <f t="array" ref="AA303">IF(Table133[[#This Row],[Survey?]]="","",IFERROR(INDEX([2]Rubric!$G$3:$G$94,MATCH(1,([2]Rubric!$E$3:$E$94=AA$2)*([2]Rubric!$F$3:$F$94='[2]Questionnaire Responses'!AA304),0)),"MISSING"))</f>
        <v/>
      </c>
      <c r="AB303" s="183" t="str">
        <f t="array" ref="AB303">IF(Table133[[#This Row],[Survey?]]="","",IFERROR(INDEX([2]Rubric!$G$3:$G$94,MATCH(1,([2]Rubric!$E$3:$E$94=AB$2)*([2]Rubric!$F$3:$F$94='[2]Questionnaire Responses'!AB304),0)),"MISSING"))</f>
        <v/>
      </c>
      <c r="AC303" s="206"/>
      <c r="AD303" s="183" t="str">
        <f t="array" ref="AD303">IF(Table133[[#This Row],[Survey?]]="","",IFERROR(INDEX([2]Rubric!$G$3:$G$94,MATCH(1,([2]Rubric!$E$3:$E$94=AD$2)*([2]Rubric!$F$3:$F$94='[2]Questionnaire Responses'!AD304),0)),"MISSING"))</f>
        <v/>
      </c>
      <c r="AE303" s="183" t="str">
        <f t="array" ref="AE303">IF(Table133[[#This Row],[Survey?]]="","",IFERROR(INDEX([2]Rubric!$G$3:$G$94,MATCH(1,([2]Rubric!$E$3:$E$94=AE$2)*([2]Rubric!$F$3:$F$94='[2]Questionnaire Responses'!AE304),0)),"MISSING"))</f>
        <v/>
      </c>
      <c r="AF303" s="206"/>
      <c r="AG303" s="183" t="str">
        <f t="array" ref="AG303">IF(Table133[[#This Row],[Survey?]]="","",IFERROR(INDEX([2]Rubric!$G$3:$G$94,MATCH(1,([2]Rubric!$E$3:$E$94=AG$2)*([2]Rubric!$F$3:$F$94='[2]Questionnaire Responses'!AG304),0)),"MISSING"))</f>
        <v/>
      </c>
    </row>
    <row r="304" spans="1:33" ht="12.75" customHeight="1" x14ac:dyDescent="0.25">
      <c r="A304" s="207">
        <f>'[2]Questionnaire Responses'!A305</f>
        <v>0</v>
      </c>
      <c r="B304" s="198">
        <f>'[2]Questionnaire Responses'!B305</f>
        <v>0</v>
      </c>
      <c r="C304" s="153">
        <f>'[2]Questionnaire Responses'!C305</f>
        <v>0</v>
      </c>
      <c r="D304" s="208"/>
      <c r="E304" s="206"/>
      <c r="F304" s="183" t="str">
        <f t="array" ref="F304">IF(Table133[[#This Row],[Survey?]]="","",IFERROR(INDEX([2]Rubric!$G$3:$G$94,MATCH(1,([2]Rubric!$E$3:$E$94=F$2)*([2]Rubric!$F$3:$F$94='[2]Questionnaire Responses'!F305),0)),"MISSING"))</f>
        <v/>
      </c>
      <c r="G304" s="183" t="str">
        <f t="array" ref="G304">IF(Table133[[#This Row],[Survey?]]="","",IFERROR(INDEX([2]Rubric!$G$3:$G$94,MATCH(1,([2]Rubric!$E$3:$E$94=G$2)*([2]Rubric!$F$3:$F$94='[2]Questionnaire Responses'!G305),0)),"MISSING"))</f>
        <v/>
      </c>
      <c r="H304" s="183" t="str">
        <f t="array" ref="H304">IF(Table133[[#This Row],[Survey?]]="","",IFERROR(INDEX([2]Rubric!$G$3:$G$94,MATCH(1,([2]Rubric!$E$3:$E$94=H$2)*([2]Rubric!$F$3:$F$94='[2]Questionnaire Responses'!H305),0)),"MISSING"))</f>
        <v/>
      </c>
      <c r="I304" s="183" t="str">
        <f t="array" ref="I304">IF(Table133[[#This Row],[Survey?]]="","",IFERROR(INDEX([2]Rubric!$G$3:$G$94,MATCH(1,([2]Rubric!$E$3:$E$94=I$2)*([2]Rubric!$F$3:$F$94='[2]Questionnaire Responses'!I305),0)),"MISSING"))</f>
        <v/>
      </c>
      <c r="J304" s="183" t="str">
        <f t="array" ref="J304">IF(Table133[[#This Row],[Survey?]]="","",IFERROR(INDEX([2]Rubric!$G$3:$G$94,MATCH(1,([2]Rubric!$E$3:$E$94=J$2)*([2]Rubric!$F$3:$F$94='[2]Questionnaire Responses'!J305),0)),"MISSING"))</f>
        <v/>
      </c>
      <c r="K304" s="206"/>
      <c r="L304" s="183" t="str">
        <f t="array" ref="L304">IF(Table133[[#This Row],[Survey?]]="","",IFERROR(INDEX([2]Rubric!$G$3:$G$94,MATCH(1,([2]Rubric!$E$3:$E$94=L$2)*([2]Rubric!$F$3:$F$94='[2]Questionnaire Responses'!L305),0)),"MISSING"))</f>
        <v/>
      </c>
      <c r="M304" s="206"/>
      <c r="N304" s="183" t="str">
        <f t="array" ref="N304">IF(Table133[[#This Row],[Survey?]]="","",IFERROR(INDEX([2]Rubric!$G$3:$G$94,MATCH(1,([2]Rubric!$E$3:$E$94=N$2)*([2]Rubric!$F$3:$F$94='[2]Questionnaire Responses'!N305),0)),"MISSING"))</f>
        <v/>
      </c>
      <c r="O304" s="183" t="str">
        <f t="array" ref="O304">IF(Table133[[#This Row],[Survey?]]="","",IFERROR(INDEX([2]Rubric!$G$3:$G$94,MATCH(1,([2]Rubric!$E$3:$E$94=O$2)*([2]Rubric!$F$3:$F$94='[2]Questionnaire Responses'!O305),0)),"MISSING"))</f>
        <v/>
      </c>
      <c r="P304" s="206"/>
      <c r="Q304" s="183" t="str">
        <f t="array" ref="Q304">IF(Table133[[#This Row],[Survey?]]="","",IFERROR(INDEX([2]Rubric!$G$3:$G$94,MATCH(1,([2]Rubric!$E$3:$E$94=Q$2)*([2]Rubric!$F$3:$F$94='[2]Questionnaire Responses'!Q305),0)),"MISSING"))</f>
        <v/>
      </c>
      <c r="R304" s="183" t="str">
        <f t="array" ref="R304">IF(Table133[[#This Row],[Survey?]]="","",IFERROR(INDEX([2]Rubric!$G$3:$G$94,MATCH(1,([2]Rubric!$E$3:$E$94=R$2)*([2]Rubric!$F$3:$F$94='[2]Questionnaire Responses'!R305),0)),"MISSING"))</f>
        <v/>
      </c>
      <c r="S304" s="183" t="str">
        <f t="array" ref="S304">IF(Table133[[#This Row],[Survey?]]="","",IFERROR(INDEX([2]Rubric!$G$3:$G$94,MATCH(1,([2]Rubric!$E$3:$E$94=S$2)*([2]Rubric!$F$3:$F$94='[2]Questionnaire Responses'!S305),0)),"MISSING"))</f>
        <v/>
      </c>
      <c r="T304" s="183" t="str">
        <f t="array" ref="T304">IF(Table133[[#This Row],[Survey?]]="","",IFERROR(INDEX([2]Rubric!$G$3:$G$94,MATCH(1,([2]Rubric!$E$3:$E$94=T$2)*([2]Rubric!$F$3:$F$94='[2]Questionnaire Responses'!T305),0)),"MISSING"))</f>
        <v/>
      </c>
      <c r="U304" s="206"/>
      <c r="V304" s="183" t="str">
        <f t="array" ref="V304">IF(Table133[[#This Row],[Survey?]]="","",IFERROR(INDEX([2]Rubric!$G$3:$G$94,MATCH(1,([2]Rubric!$E$3:$E$94=V$2)*([2]Rubric!$F$3:$F$94='[2]Questionnaire Responses'!V305),0)),"MISSING"))</f>
        <v/>
      </c>
      <c r="W304" s="206"/>
      <c r="X304" s="183" t="str">
        <f t="array" ref="X304">IF(Table133[[#This Row],[Survey?]]="","",IFERROR(INDEX([2]Rubric!$G$3:$G$94,MATCH(1,([2]Rubric!$E$3:$E$94=X$2)*([2]Rubric!$F$3:$F$94='[2]Questionnaire Responses'!X305),0)),"MISSING"))</f>
        <v/>
      </c>
      <c r="Y304" s="206"/>
      <c r="Z304" s="183" t="str">
        <f t="array" ref="Z304">IF(Table133[[#This Row],[Survey?]]="","",IFERROR(INDEX([2]Rubric!$G$3:$G$94,MATCH(1,([2]Rubric!$E$3:$E$94=Z$2)*([2]Rubric!$F$3:$F$94='[2]Questionnaire Responses'!Z305),0)),"MISSING"))</f>
        <v/>
      </c>
      <c r="AA304" s="183" t="str">
        <f t="array" ref="AA304">IF(Table133[[#This Row],[Survey?]]="","",IFERROR(INDEX([2]Rubric!$G$3:$G$94,MATCH(1,([2]Rubric!$E$3:$E$94=AA$2)*([2]Rubric!$F$3:$F$94='[2]Questionnaire Responses'!AA305),0)),"MISSING"))</f>
        <v/>
      </c>
      <c r="AB304" s="183" t="str">
        <f t="array" ref="AB304">IF(Table133[[#This Row],[Survey?]]="","",IFERROR(INDEX([2]Rubric!$G$3:$G$94,MATCH(1,([2]Rubric!$E$3:$E$94=AB$2)*([2]Rubric!$F$3:$F$94='[2]Questionnaire Responses'!AB305),0)),"MISSING"))</f>
        <v/>
      </c>
      <c r="AC304" s="206"/>
      <c r="AD304" s="183" t="str">
        <f t="array" ref="AD304">IF(Table133[[#This Row],[Survey?]]="","",IFERROR(INDEX([2]Rubric!$G$3:$G$94,MATCH(1,([2]Rubric!$E$3:$E$94=AD$2)*([2]Rubric!$F$3:$F$94='[2]Questionnaire Responses'!AD305),0)),"MISSING"))</f>
        <v/>
      </c>
      <c r="AE304" s="183" t="str">
        <f t="array" ref="AE304">IF(Table133[[#This Row],[Survey?]]="","",IFERROR(INDEX([2]Rubric!$G$3:$G$94,MATCH(1,([2]Rubric!$E$3:$E$94=AE$2)*([2]Rubric!$F$3:$F$94='[2]Questionnaire Responses'!AE305),0)),"MISSING"))</f>
        <v/>
      </c>
      <c r="AF304" s="206"/>
      <c r="AG304" s="183" t="str">
        <f t="array" ref="AG304">IF(Table133[[#This Row],[Survey?]]="","",IFERROR(INDEX([2]Rubric!$G$3:$G$94,MATCH(1,([2]Rubric!$E$3:$E$94=AG$2)*([2]Rubric!$F$3:$F$94='[2]Questionnaire Responses'!AG305),0)),"MISSING"))</f>
        <v/>
      </c>
    </row>
    <row r="305" spans="1:33" ht="12.75" customHeight="1" x14ac:dyDescent="0.25">
      <c r="A305" s="207">
        <f>'[2]Questionnaire Responses'!A306</f>
        <v>0</v>
      </c>
      <c r="B305" s="198">
        <f>'[2]Questionnaire Responses'!B306</f>
        <v>0</v>
      </c>
      <c r="C305" s="153">
        <f>'[2]Questionnaire Responses'!C306</f>
        <v>0</v>
      </c>
      <c r="D305" s="208"/>
      <c r="E305" s="206"/>
      <c r="F305" s="183" t="str">
        <f t="array" ref="F305">IF(Table133[[#This Row],[Survey?]]="","",IFERROR(INDEX([2]Rubric!$G$3:$G$94,MATCH(1,([2]Rubric!$E$3:$E$94=F$2)*([2]Rubric!$F$3:$F$94='[2]Questionnaire Responses'!F306),0)),"MISSING"))</f>
        <v/>
      </c>
      <c r="G305" s="183" t="str">
        <f t="array" ref="G305">IF(Table133[[#This Row],[Survey?]]="","",IFERROR(INDEX([2]Rubric!$G$3:$G$94,MATCH(1,([2]Rubric!$E$3:$E$94=G$2)*([2]Rubric!$F$3:$F$94='[2]Questionnaire Responses'!G306),0)),"MISSING"))</f>
        <v/>
      </c>
      <c r="H305" s="183" t="str">
        <f t="array" ref="H305">IF(Table133[[#This Row],[Survey?]]="","",IFERROR(INDEX([2]Rubric!$G$3:$G$94,MATCH(1,([2]Rubric!$E$3:$E$94=H$2)*([2]Rubric!$F$3:$F$94='[2]Questionnaire Responses'!H306),0)),"MISSING"))</f>
        <v/>
      </c>
      <c r="I305" s="183" t="str">
        <f t="array" ref="I305">IF(Table133[[#This Row],[Survey?]]="","",IFERROR(INDEX([2]Rubric!$G$3:$G$94,MATCH(1,([2]Rubric!$E$3:$E$94=I$2)*([2]Rubric!$F$3:$F$94='[2]Questionnaire Responses'!I306),0)),"MISSING"))</f>
        <v/>
      </c>
      <c r="J305" s="183" t="str">
        <f t="array" ref="J305">IF(Table133[[#This Row],[Survey?]]="","",IFERROR(INDEX([2]Rubric!$G$3:$G$94,MATCH(1,([2]Rubric!$E$3:$E$94=J$2)*([2]Rubric!$F$3:$F$94='[2]Questionnaire Responses'!J306),0)),"MISSING"))</f>
        <v/>
      </c>
      <c r="K305" s="206"/>
      <c r="L305" s="183" t="str">
        <f t="array" ref="L305">IF(Table133[[#This Row],[Survey?]]="","",IFERROR(INDEX([2]Rubric!$G$3:$G$94,MATCH(1,([2]Rubric!$E$3:$E$94=L$2)*([2]Rubric!$F$3:$F$94='[2]Questionnaire Responses'!L306),0)),"MISSING"))</f>
        <v/>
      </c>
      <c r="M305" s="206"/>
      <c r="N305" s="183" t="str">
        <f t="array" ref="N305">IF(Table133[[#This Row],[Survey?]]="","",IFERROR(INDEX([2]Rubric!$G$3:$G$94,MATCH(1,([2]Rubric!$E$3:$E$94=N$2)*([2]Rubric!$F$3:$F$94='[2]Questionnaire Responses'!N306),0)),"MISSING"))</f>
        <v/>
      </c>
      <c r="O305" s="183" t="str">
        <f t="array" ref="O305">IF(Table133[[#This Row],[Survey?]]="","",IFERROR(INDEX([2]Rubric!$G$3:$G$94,MATCH(1,([2]Rubric!$E$3:$E$94=O$2)*([2]Rubric!$F$3:$F$94='[2]Questionnaire Responses'!O306),0)),"MISSING"))</f>
        <v/>
      </c>
      <c r="P305" s="206"/>
      <c r="Q305" s="183" t="str">
        <f t="array" ref="Q305">IF(Table133[[#This Row],[Survey?]]="","",IFERROR(INDEX([2]Rubric!$G$3:$G$94,MATCH(1,([2]Rubric!$E$3:$E$94=Q$2)*([2]Rubric!$F$3:$F$94='[2]Questionnaire Responses'!Q306),0)),"MISSING"))</f>
        <v/>
      </c>
      <c r="R305" s="183" t="str">
        <f t="array" ref="R305">IF(Table133[[#This Row],[Survey?]]="","",IFERROR(INDEX([2]Rubric!$G$3:$G$94,MATCH(1,([2]Rubric!$E$3:$E$94=R$2)*([2]Rubric!$F$3:$F$94='[2]Questionnaire Responses'!R306),0)),"MISSING"))</f>
        <v/>
      </c>
      <c r="S305" s="183" t="str">
        <f t="array" ref="S305">IF(Table133[[#This Row],[Survey?]]="","",IFERROR(INDEX([2]Rubric!$G$3:$G$94,MATCH(1,([2]Rubric!$E$3:$E$94=S$2)*([2]Rubric!$F$3:$F$94='[2]Questionnaire Responses'!S306),0)),"MISSING"))</f>
        <v/>
      </c>
      <c r="T305" s="183" t="str">
        <f t="array" ref="T305">IF(Table133[[#This Row],[Survey?]]="","",IFERROR(INDEX([2]Rubric!$G$3:$G$94,MATCH(1,([2]Rubric!$E$3:$E$94=T$2)*([2]Rubric!$F$3:$F$94='[2]Questionnaire Responses'!T306),0)),"MISSING"))</f>
        <v/>
      </c>
      <c r="U305" s="206"/>
      <c r="V305" s="183" t="str">
        <f t="array" ref="V305">IF(Table133[[#This Row],[Survey?]]="","",IFERROR(INDEX([2]Rubric!$G$3:$G$94,MATCH(1,([2]Rubric!$E$3:$E$94=V$2)*([2]Rubric!$F$3:$F$94='[2]Questionnaire Responses'!V306),0)),"MISSING"))</f>
        <v/>
      </c>
      <c r="W305" s="206"/>
      <c r="X305" s="183" t="str">
        <f t="array" ref="X305">IF(Table133[[#This Row],[Survey?]]="","",IFERROR(INDEX([2]Rubric!$G$3:$G$94,MATCH(1,([2]Rubric!$E$3:$E$94=X$2)*([2]Rubric!$F$3:$F$94='[2]Questionnaire Responses'!X306),0)),"MISSING"))</f>
        <v/>
      </c>
      <c r="Y305" s="206"/>
      <c r="Z305" s="183" t="str">
        <f t="array" ref="Z305">IF(Table133[[#This Row],[Survey?]]="","",IFERROR(INDEX([2]Rubric!$G$3:$G$94,MATCH(1,([2]Rubric!$E$3:$E$94=Z$2)*([2]Rubric!$F$3:$F$94='[2]Questionnaire Responses'!Z306),0)),"MISSING"))</f>
        <v/>
      </c>
      <c r="AA305" s="183" t="str">
        <f t="array" ref="AA305">IF(Table133[[#This Row],[Survey?]]="","",IFERROR(INDEX([2]Rubric!$G$3:$G$94,MATCH(1,([2]Rubric!$E$3:$E$94=AA$2)*([2]Rubric!$F$3:$F$94='[2]Questionnaire Responses'!AA306),0)),"MISSING"))</f>
        <v/>
      </c>
      <c r="AB305" s="183" t="str">
        <f t="array" ref="AB305">IF(Table133[[#This Row],[Survey?]]="","",IFERROR(INDEX([2]Rubric!$G$3:$G$94,MATCH(1,([2]Rubric!$E$3:$E$94=AB$2)*([2]Rubric!$F$3:$F$94='[2]Questionnaire Responses'!AB306),0)),"MISSING"))</f>
        <v/>
      </c>
      <c r="AC305" s="206"/>
      <c r="AD305" s="183" t="str">
        <f t="array" ref="AD305">IF(Table133[[#This Row],[Survey?]]="","",IFERROR(INDEX([2]Rubric!$G$3:$G$94,MATCH(1,([2]Rubric!$E$3:$E$94=AD$2)*([2]Rubric!$F$3:$F$94='[2]Questionnaire Responses'!AD306),0)),"MISSING"))</f>
        <v/>
      </c>
      <c r="AE305" s="183" t="str">
        <f t="array" ref="AE305">IF(Table133[[#This Row],[Survey?]]="","",IFERROR(INDEX([2]Rubric!$G$3:$G$94,MATCH(1,([2]Rubric!$E$3:$E$94=AE$2)*([2]Rubric!$F$3:$F$94='[2]Questionnaire Responses'!AE306),0)),"MISSING"))</f>
        <v/>
      </c>
      <c r="AF305" s="206"/>
      <c r="AG305" s="183" t="str">
        <f t="array" ref="AG305">IF(Table133[[#This Row],[Survey?]]="","",IFERROR(INDEX([2]Rubric!$G$3:$G$94,MATCH(1,([2]Rubric!$E$3:$E$94=AG$2)*([2]Rubric!$F$3:$F$94='[2]Questionnaire Responses'!AG306),0)),"MISSING"))</f>
        <v/>
      </c>
    </row>
    <row r="306" spans="1:33" ht="12.75" customHeight="1" x14ac:dyDescent="0.25">
      <c r="A306" s="207">
        <f>'[2]Questionnaire Responses'!A307</f>
        <v>0</v>
      </c>
      <c r="B306" s="198">
        <f>'[2]Questionnaire Responses'!B307</f>
        <v>0</v>
      </c>
      <c r="C306" s="153">
        <f>'[2]Questionnaire Responses'!C307</f>
        <v>0</v>
      </c>
      <c r="D306" s="208"/>
      <c r="E306" s="206"/>
      <c r="F306" s="183" t="str">
        <f t="array" ref="F306">IF(Table133[[#This Row],[Survey?]]="","",IFERROR(INDEX([2]Rubric!$G$3:$G$94,MATCH(1,([2]Rubric!$E$3:$E$94=F$2)*([2]Rubric!$F$3:$F$94='[2]Questionnaire Responses'!F307),0)),"MISSING"))</f>
        <v/>
      </c>
      <c r="G306" s="183" t="str">
        <f t="array" ref="G306">IF(Table133[[#This Row],[Survey?]]="","",IFERROR(INDEX([2]Rubric!$G$3:$G$94,MATCH(1,([2]Rubric!$E$3:$E$94=G$2)*([2]Rubric!$F$3:$F$94='[2]Questionnaire Responses'!G307),0)),"MISSING"))</f>
        <v/>
      </c>
      <c r="H306" s="183" t="str">
        <f t="array" ref="H306">IF(Table133[[#This Row],[Survey?]]="","",IFERROR(INDEX([2]Rubric!$G$3:$G$94,MATCH(1,([2]Rubric!$E$3:$E$94=H$2)*([2]Rubric!$F$3:$F$94='[2]Questionnaire Responses'!H307),0)),"MISSING"))</f>
        <v/>
      </c>
      <c r="I306" s="183" t="str">
        <f t="array" ref="I306">IF(Table133[[#This Row],[Survey?]]="","",IFERROR(INDEX([2]Rubric!$G$3:$G$94,MATCH(1,([2]Rubric!$E$3:$E$94=I$2)*([2]Rubric!$F$3:$F$94='[2]Questionnaire Responses'!I307),0)),"MISSING"))</f>
        <v/>
      </c>
      <c r="J306" s="183" t="str">
        <f t="array" ref="J306">IF(Table133[[#This Row],[Survey?]]="","",IFERROR(INDEX([2]Rubric!$G$3:$G$94,MATCH(1,([2]Rubric!$E$3:$E$94=J$2)*([2]Rubric!$F$3:$F$94='[2]Questionnaire Responses'!J307),0)),"MISSING"))</f>
        <v/>
      </c>
      <c r="K306" s="206"/>
      <c r="L306" s="183" t="str">
        <f t="array" ref="L306">IF(Table133[[#This Row],[Survey?]]="","",IFERROR(INDEX([2]Rubric!$G$3:$G$94,MATCH(1,([2]Rubric!$E$3:$E$94=L$2)*([2]Rubric!$F$3:$F$94='[2]Questionnaire Responses'!L307),0)),"MISSING"))</f>
        <v/>
      </c>
      <c r="M306" s="206"/>
      <c r="N306" s="183" t="str">
        <f t="array" ref="N306">IF(Table133[[#This Row],[Survey?]]="","",IFERROR(INDEX([2]Rubric!$G$3:$G$94,MATCH(1,([2]Rubric!$E$3:$E$94=N$2)*([2]Rubric!$F$3:$F$94='[2]Questionnaire Responses'!N307),0)),"MISSING"))</f>
        <v/>
      </c>
      <c r="O306" s="183" t="str">
        <f t="array" ref="O306">IF(Table133[[#This Row],[Survey?]]="","",IFERROR(INDEX([2]Rubric!$G$3:$G$94,MATCH(1,([2]Rubric!$E$3:$E$94=O$2)*([2]Rubric!$F$3:$F$94='[2]Questionnaire Responses'!O307),0)),"MISSING"))</f>
        <v/>
      </c>
      <c r="P306" s="206"/>
      <c r="Q306" s="183" t="str">
        <f t="array" ref="Q306">IF(Table133[[#This Row],[Survey?]]="","",IFERROR(INDEX([2]Rubric!$G$3:$G$94,MATCH(1,([2]Rubric!$E$3:$E$94=Q$2)*([2]Rubric!$F$3:$F$94='[2]Questionnaire Responses'!Q307),0)),"MISSING"))</f>
        <v/>
      </c>
      <c r="R306" s="183" t="str">
        <f t="array" ref="R306">IF(Table133[[#This Row],[Survey?]]="","",IFERROR(INDEX([2]Rubric!$G$3:$G$94,MATCH(1,([2]Rubric!$E$3:$E$94=R$2)*([2]Rubric!$F$3:$F$94='[2]Questionnaire Responses'!R307),0)),"MISSING"))</f>
        <v/>
      </c>
      <c r="S306" s="183" t="str">
        <f t="array" ref="S306">IF(Table133[[#This Row],[Survey?]]="","",IFERROR(INDEX([2]Rubric!$G$3:$G$94,MATCH(1,([2]Rubric!$E$3:$E$94=S$2)*([2]Rubric!$F$3:$F$94='[2]Questionnaire Responses'!S307),0)),"MISSING"))</f>
        <v/>
      </c>
      <c r="T306" s="183" t="str">
        <f t="array" ref="T306">IF(Table133[[#This Row],[Survey?]]="","",IFERROR(INDEX([2]Rubric!$G$3:$G$94,MATCH(1,([2]Rubric!$E$3:$E$94=T$2)*([2]Rubric!$F$3:$F$94='[2]Questionnaire Responses'!T307),0)),"MISSING"))</f>
        <v/>
      </c>
      <c r="U306" s="206"/>
      <c r="V306" s="183" t="str">
        <f t="array" ref="V306">IF(Table133[[#This Row],[Survey?]]="","",IFERROR(INDEX([2]Rubric!$G$3:$G$94,MATCH(1,([2]Rubric!$E$3:$E$94=V$2)*([2]Rubric!$F$3:$F$94='[2]Questionnaire Responses'!V307),0)),"MISSING"))</f>
        <v/>
      </c>
      <c r="W306" s="206"/>
      <c r="X306" s="183" t="str">
        <f t="array" ref="X306">IF(Table133[[#This Row],[Survey?]]="","",IFERROR(INDEX([2]Rubric!$G$3:$G$94,MATCH(1,([2]Rubric!$E$3:$E$94=X$2)*([2]Rubric!$F$3:$F$94='[2]Questionnaire Responses'!X307),0)),"MISSING"))</f>
        <v/>
      </c>
      <c r="Y306" s="206"/>
      <c r="Z306" s="183" t="str">
        <f t="array" ref="Z306">IF(Table133[[#This Row],[Survey?]]="","",IFERROR(INDEX([2]Rubric!$G$3:$G$94,MATCH(1,([2]Rubric!$E$3:$E$94=Z$2)*([2]Rubric!$F$3:$F$94='[2]Questionnaire Responses'!Z307),0)),"MISSING"))</f>
        <v/>
      </c>
      <c r="AA306" s="183" t="str">
        <f t="array" ref="AA306">IF(Table133[[#This Row],[Survey?]]="","",IFERROR(INDEX([2]Rubric!$G$3:$G$94,MATCH(1,([2]Rubric!$E$3:$E$94=AA$2)*([2]Rubric!$F$3:$F$94='[2]Questionnaire Responses'!AA307),0)),"MISSING"))</f>
        <v/>
      </c>
      <c r="AB306" s="183" t="str">
        <f t="array" ref="AB306">IF(Table133[[#This Row],[Survey?]]="","",IFERROR(INDEX([2]Rubric!$G$3:$G$94,MATCH(1,([2]Rubric!$E$3:$E$94=AB$2)*([2]Rubric!$F$3:$F$94='[2]Questionnaire Responses'!AB307),0)),"MISSING"))</f>
        <v/>
      </c>
      <c r="AC306" s="206"/>
      <c r="AD306" s="183" t="str">
        <f t="array" ref="AD306">IF(Table133[[#This Row],[Survey?]]="","",IFERROR(INDEX([2]Rubric!$G$3:$G$94,MATCH(1,([2]Rubric!$E$3:$E$94=AD$2)*([2]Rubric!$F$3:$F$94='[2]Questionnaire Responses'!AD307),0)),"MISSING"))</f>
        <v/>
      </c>
      <c r="AE306" s="183" t="str">
        <f t="array" ref="AE306">IF(Table133[[#This Row],[Survey?]]="","",IFERROR(INDEX([2]Rubric!$G$3:$G$94,MATCH(1,([2]Rubric!$E$3:$E$94=AE$2)*([2]Rubric!$F$3:$F$94='[2]Questionnaire Responses'!AE307),0)),"MISSING"))</f>
        <v/>
      </c>
      <c r="AF306" s="206"/>
      <c r="AG306" s="183" t="str">
        <f t="array" ref="AG306">IF(Table133[[#This Row],[Survey?]]="","",IFERROR(INDEX([2]Rubric!$G$3:$G$94,MATCH(1,([2]Rubric!$E$3:$E$94=AG$2)*([2]Rubric!$F$3:$F$94='[2]Questionnaire Responses'!AG307),0)),"MISSING"))</f>
        <v/>
      </c>
    </row>
    <row r="307" spans="1:33" ht="12.75" customHeight="1" x14ac:dyDescent="0.25">
      <c r="A307" s="207">
        <f>'[2]Questionnaire Responses'!A308</f>
        <v>0</v>
      </c>
      <c r="B307" s="198">
        <f>'[2]Questionnaire Responses'!B308</f>
        <v>0</v>
      </c>
      <c r="C307" s="153">
        <f>'[2]Questionnaire Responses'!C308</f>
        <v>0</v>
      </c>
      <c r="D307" s="208"/>
      <c r="E307" s="206"/>
      <c r="F307" s="183" t="str">
        <f t="array" ref="F307">IF(Table133[[#This Row],[Survey?]]="","",IFERROR(INDEX([2]Rubric!$G$3:$G$94,MATCH(1,([2]Rubric!$E$3:$E$94=F$2)*([2]Rubric!$F$3:$F$94='[2]Questionnaire Responses'!F308),0)),"MISSING"))</f>
        <v/>
      </c>
      <c r="G307" s="183" t="str">
        <f t="array" ref="G307">IF(Table133[[#This Row],[Survey?]]="","",IFERROR(INDEX([2]Rubric!$G$3:$G$94,MATCH(1,([2]Rubric!$E$3:$E$94=G$2)*([2]Rubric!$F$3:$F$94='[2]Questionnaire Responses'!G308),0)),"MISSING"))</f>
        <v/>
      </c>
      <c r="H307" s="183" t="str">
        <f t="array" ref="H307">IF(Table133[[#This Row],[Survey?]]="","",IFERROR(INDEX([2]Rubric!$G$3:$G$94,MATCH(1,([2]Rubric!$E$3:$E$94=H$2)*([2]Rubric!$F$3:$F$94='[2]Questionnaire Responses'!H308),0)),"MISSING"))</f>
        <v/>
      </c>
      <c r="I307" s="183" t="str">
        <f t="array" ref="I307">IF(Table133[[#This Row],[Survey?]]="","",IFERROR(INDEX([2]Rubric!$G$3:$G$94,MATCH(1,([2]Rubric!$E$3:$E$94=I$2)*([2]Rubric!$F$3:$F$94='[2]Questionnaire Responses'!I308),0)),"MISSING"))</f>
        <v/>
      </c>
      <c r="J307" s="183" t="str">
        <f t="array" ref="J307">IF(Table133[[#This Row],[Survey?]]="","",IFERROR(INDEX([2]Rubric!$G$3:$G$94,MATCH(1,([2]Rubric!$E$3:$E$94=J$2)*([2]Rubric!$F$3:$F$94='[2]Questionnaire Responses'!J308),0)),"MISSING"))</f>
        <v/>
      </c>
      <c r="K307" s="206"/>
      <c r="L307" s="183" t="str">
        <f t="array" ref="L307">IF(Table133[[#This Row],[Survey?]]="","",IFERROR(INDEX([2]Rubric!$G$3:$G$94,MATCH(1,([2]Rubric!$E$3:$E$94=L$2)*([2]Rubric!$F$3:$F$94='[2]Questionnaire Responses'!L308),0)),"MISSING"))</f>
        <v/>
      </c>
      <c r="M307" s="206"/>
      <c r="N307" s="183" t="str">
        <f t="array" ref="N307">IF(Table133[[#This Row],[Survey?]]="","",IFERROR(INDEX([2]Rubric!$G$3:$G$94,MATCH(1,([2]Rubric!$E$3:$E$94=N$2)*([2]Rubric!$F$3:$F$94='[2]Questionnaire Responses'!N308),0)),"MISSING"))</f>
        <v/>
      </c>
      <c r="O307" s="183" t="str">
        <f t="array" ref="O307">IF(Table133[[#This Row],[Survey?]]="","",IFERROR(INDEX([2]Rubric!$G$3:$G$94,MATCH(1,([2]Rubric!$E$3:$E$94=O$2)*([2]Rubric!$F$3:$F$94='[2]Questionnaire Responses'!O308),0)),"MISSING"))</f>
        <v/>
      </c>
      <c r="P307" s="206"/>
      <c r="Q307" s="183" t="str">
        <f t="array" ref="Q307">IF(Table133[[#This Row],[Survey?]]="","",IFERROR(INDEX([2]Rubric!$G$3:$G$94,MATCH(1,([2]Rubric!$E$3:$E$94=Q$2)*([2]Rubric!$F$3:$F$94='[2]Questionnaire Responses'!Q308),0)),"MISSING"))</f>
        <v/>
      </c>
      <c r="R307" s="183" t="str">
        <f t="array" ref="R307">IF(Table133[[#This Row],[Survey?]]="","",IFERROR(INDEX([2]Rubric!$G$3:$G$94,MATCH(1,([2]Rubric!$E$3:$E$94=R$2)*([2]Rubric!$F$3:$F$94='[2]Questionnaire Responses'!R308),0)),"MISSING"))</f>
        <v/>
      </c>
      <c r="S307" s="183" t="str">
        <f t="array" ref="S307">IF(Table133[[#This Row],[Survey?]]="","",IFERROR(INDEX([2]Rubric!$G$3:$G$94,MATCH(1,([2]Rubric!$E$3:$E$94=S$2)*([2]Rubric!$F$3:$F$94='[2]Questionnaire Responses'!S308),0)),"MISSING"))</f>
        <v/>
      </c>
      <c r="T307" s="183" t="str">
        <f t="array" ref="T307">IF(Table133[[#This Row],[Survey?]]="","",IFERROR(INDEX([2]Rubric!$G$3:$G$94,MATCH(1,([2]Rubric!$E$3:$E$94=T$2)*([2]Rubric!$F$3:$F$94='[2]Questionnaire Responses'!T308),0)),"MISSING"))</f>
        <v/>
      </c>
      <c r="U307" s="206"/>
      <c r="V307" s="183" t="str">
        <f t="array" ref="V307">IF(Table133[[#This Row],[Survey?]]="","",IFERROR(INDEX([2]Rubric!$G$3:$G$94,MATCH(1,([2]Rubric!$E$3:$E$94=V$2)*([2]Rubric!$F$3:$F$94='[2]Questionnaire Responses'!V308),0)),"MISSING"))</f>
        <v/>
      </c>
      <c r="W307" s="206"/>
      <c r="X307" s="183" t="str">
        <f t="array" ref="X307">IF(Table133[[#This Row],[Survey?]]="","",IFERROR(INDEX([2]Rubric!$G$3:$G$94,MATCH(1,([2]Rubric!$E$3:$E$94=X$2)*([2]Rubric!$F$3:$F$94='[2]Questionnaire Responses'!X308),0)),"MISSING"))</f>
        <v/>
      </c>
      <c r="Y307" s="206"/>
      <c r="Z307" s="183" t="str">
        <f t="array" ref="Z307">IF(Table133[[#This Row],[Survey?]]="","",IFERROR(INDEX([2]Rubric!$G$3:$G$94,MATCH(1,([2]Rubric!$E$3:$E$94=Z$2)*([2]Rubric!$F$3:$F$94='[2]Questionnaire Responses'!Z308),0)),"MISSING"))</f>
        <v/>
      </c>
      <c r="AA307" s="183" t="str">
        <f t="array" ref="AA307">IF(Table133[[#This Row],[Survey?]]="","",IFERROR(INDEX([2]Rubric!$G$3:$G$94,MATCH(1,([2]Rubric!$E$3:$E$94=AA$2)*([2]Rubric!$F$3:$F$94='[2]Questionnaire Responses'!AA308),0)),"MISSING"))</f>
        <v/>
      </c>
      <c r="AB307" s="183" t="str">
        <f t="array" ref="AB307">IF(Table133[[#This Row],[Survey?]]="","",IFERROR(INDEX([2]Rubric!$G$3:$G$94,MATCH(1,([2]Rubric!$E$3:$E$94=AB$2)*([2]Rubric!$F$3:$F$94='[2]Questionnaire Responses'!AB308),0)),"MISSING"))</f>
        <v/>
      </c>
      <c r="AC307" s="206"/>
      <c r="AD307" s="183" t="str">
        <f t="array" ref="AD307">IF(Table133[[#This Row],[Survey?]]="","",IFERROR(INDEX([2]Rubric!$G$3:$G$94,MATCH(1,([2]Rubric!$E$3:$E$94=AD$2)*([2]Rubric!$F$3:$F$94='[2]Questionnaire Responses'!AD308),0)),"MISSING"))</f>
        <v/>
      </c>
      <c r="AE307" s="183" t="str">
        <f t="array" ref="AE307">IF(Table133[[#This Row],[Survey?]]="","",IFERROR(INDEX([2]Rubric!$G$3:$G$94,MATCH(1,([2]Rubric!$E$3:$E$94=AE$2)*([2]Rubric!$F$3:$F$94='[2]Questionnaire Responses'!AE308),0)),"MISSING"))</f>
        <v/>
      </c>
      <c r="AF307" s="206"/>
      <c r="AG307" s="183" t="str">
        <f t="array" ref="AG307">IF(Table133[[#This Row],[Survey?]]="","",IFERROR(INDEX([2]Rubric!$G$3:$G$94,MATCH(1,([2]Rubric!$E$3:$E$94=AG$2)*([2]Rubric!$F$3:$F$94='[2]Questionnaire Responses'!AG308),0)),"MISSING"))</f>
        <v/>
      </c>
    </row>
    <row r="308" spans="1:33" ht="12.75" customHeight="1" x14ac:dyDescent="0.25">
      <c r="A308" s="207">
        <f>'[2]Questionnaire Responses'!A309</f>
        <v>0</v>
      </c>
      <c r="B308" s="198">
        <f>'[2]Questionnaire Responses'!B309</f>
        <v>0</v>
      </c>
      <c r="C308" s="153">
        <f>'[2]Questionnaire Responses'!C309</f>
        <v>0</v>
      </c>
      <c r="D308" s="208"/>
      <c r="E308" s="206"/>
      <c r="F308" s="183" t="str">
        <f t="array" ref="F308">IF(Table133[[#This Row],[Survey?]]="","",IFERROR(INDEX([2]Rubric!$G$3:$G$94,MATCH(1,([2]Rubric!$E$3:$E$94=F$2)*([2]Rubric!$F$3:$F$94='[2]Questionnaire Responses'!F309),0)),"MISSING"))</f>
        <v/>
      </c>
      <c r="G308" s="183" t="str">
        <f t="array" ref="G308">IF(Table133[[#This Row],[Survey?]]="","",IFERROR(INDEX([2]Rubric!$G$3:$G$94,MATCH(1,([2]Rubric!$E$3:$E$94=G$2)*([2]Rubric!$F$3:$F$94='[2]Questionnaire Responses'!G309),0)),"MISSING"))</f>
        <v/>
      </c>
      <c r="H308" s="183" t="str">
        <f t="array" ref="H308">IF(Table133[[#This Row],[Survey?]]="","",IFERROR(INDEX([2]Rubric!$G$3:$G$94,MATCH(1,([2]Rubric!$E$3:$E$94=H$2)*([2]Rubric!$F$3:$F$94='[2]Questionnaire Responses'!H309),0)),"MISSING"))</f>
        <v/>
      </c>
      <c r="I308" s="183" t="str">
        <f t="array" ref="I308">IF(Table133[[#This Row],[Survey?]]="","",IFERROR(INDEX([2]Rubric!$G$3:$G$94,MATCH(1,([2]Rubric!$E$3:$E$94=I$2)*([2]Rubric!$F$3:$F$94='[2]Questionnaire Responses'!I309),0)),"MISSING"))</f>
        <v/>
      </c>
      <c r="J308" s="183" t="str">
        <f t="array" ref="J308">IF(Table133[[#This Row],[Survey?]]="","",IFERROR(INDEX([2]Rubric!$G$3:$G$94,MATCH(1,([2]Rubric!$E$3:$E$94=J$2)*([2]Rubric!$F$3:$F$94='[2]Questionnaire Responses'!J309),0)),"MISSING"))</f>
        <v/>
      </c>
      <c r="K308" s="206"/>
      <c r="L308" s="183" t="str">
        <f t="array" ref="L308">IF(Table133[[#This Row],[Survey?]]="","",IFERROR(INDEX([2]Rubric!$G$3:$G$94,MATCH(1,([2]Rubric!$E$3:$E$94=L$2)*([2]Rubric!$F$3:$F$94='[2]Questionnaire Responses'!L309),0)),"MISSING"))</f>
        <v/>
      </c>
      <c r="M308" s="206"/>
      <c r="N308" s="183" t="str">
        <f t="array" ref="N308">IF(Table133[[#This Row],[Survey?]]="","",IFERROR(INDEX([2]Rubric!$G$3:$G$94,MATCH(1,([2]Rubric!$E$3:$E$94=N$2)*([2]Rubric!$F$3:$F$94='[2]Questionnaire Responses'!N309),0)),"MISSING"))</f>
        <v/>
      </c>
      <c r="O308" s="183" t="str">
        <f t="array" ref="O308">IF(Table133[[#This Row],[Survey?]]="","",IFERROR(INDEX([2]Rubric!$G$3:$G$94,MATCH(1,([2]Rubric!$E$3:$E$94=O$2)*([2]Rubric!$F$3:$F$94='[2]Questionnaire Responses'!O309),0)),"MISSING"))</f>
        <v/>
      </c>
      <c r="P308" s="206"/>
      <c r="Q308" s="183" t="str">
        <f t="array" ref="Q308">IF(Table133[[#This Row],[Survey?]]="","",IFERROR(INDEX([2]Rubric!$G$3:$G$94,MATCH(1,([2]Rubric!$E$3:$E$94=Q$2)*([2]Rubric!$F$3:$F$94='[2]Questionnaire Responses'!Q309),0)),"MISSING"))</f>
        <v/>
      </c>
      <c r="R308" s="183" t="str">
        <f t="array" ref="R308">IF(Table133[[#This Row],[Survey?]]="","",IFERROR(INDEX([2]Rubric!$G$3:$G$94,MATCH(1,([2]Rubric!$E$3:$E$94=R$2)*([2]Rubric!$F$3:$F$94='[2]Questionnaire Responses'!R309),0)),"MISSING"))</f>
        <v/>
      </c>
      <c r="S308" s="183" t="str">
        <f t="array" ref="S308">IF(Table133[[#This Row],[Survey?]]="","",IFERROR(INDEX([2]Rubric!$G$3:$G$94,MATCH(1,([2]Rubric!$E$3:$E$94=S$2)*([2]Rubric!$F$3:$F$94='[2]Questionnaire Responses'!S309),0)),"MISSING"))</f>
        <v/>
      </c>
      <c r="T308" s="183" t="str">
        <f t="array" ref="T308">IF(Table133[[#This Row],[Survey?]]="","",IFERROR(INDEX([2]Rubric!$G$3:$G$94,MATCH(1,([2]Rubric!$E$3:$E$94=T$2)*([2]Rubric!$F$3:$F$94='[2]Questionnaire Responses'!T309),0)),"MISSING"))</f>
        <v/>
      </c>
      <c r="U308" s="206"/>
      <c r="V308" s="183" t="str">
        <f t="array" ref="V308">IF(Table133[[#This Row],[Survey?]]="","",IFERROR(INDEX([2]Rubric!$G$3:$G$94,MATCH(1,([2]Rubric!$E$3:$E$94=V$2)*([2]Rubric!$F$3:$F$94='[2]Questionnaire Responses'!V309),0)),"MISSING"))</f>
        <v/>
      </c>
      <c r="W308" s="206"/>
      <c r="X308" s="183" t="str">
        <f t="array" ref="X308">IF(Table133[[#This Row],[Survey?]]="","",IFERROR(INDEX([2]Rubric!$G$3:$G$94,MATCH(1,([2]Rubric!$E$3:$E$94=X$2)*([2]Rubric!$F$3:$F$94='[2]Questionnaire Responses'!X309),0)),"MISSING"))</f>
        <v/>
      </c>
      <c r="Y308" s="206"/>
      <c r="Z308" s="183" t="str">
        <f t="array" ref="Z308">IF(Table133[[#This Row],[Survey?]]="","",IFERROR(INDEX([2]Rubric!$G$3:$G$94,MATCH(1,([2]Rubric!$E$3:$E$94=Z$2)*([2]Rubric!$F$3:$F$94='[2]Questionnaire Responses'!Z309),0)),"MISSING"))</f>
        <v/>
      </c>
      <c r="AA308" s="183" t="str">
        <f t="array" ref="AA308">IF(Table133[[#This Row],[Survey?]]="","",IFERROR(INDEX([2]Rubric!$G$3:$G$94,MATCH(1,([2]Rubric!$E$3:$E$94=AA$2)*([2]Rubric!$F$3:$F$94='[2]Questionnaire Responses'!AA309),0)),"MISSING"))</f>
        <v/>
      </c>
      <c r="AB308" s="183" t="str">
        <f t="array" ref="AB308">IF(Table133[[#This Row],[Survey?]]="","",IFERROR(INDEX([2]Rubric!$G$3:$G$94,MATCH(1,([2]Rubric!$E$3:$E$94=AB$2)*([2]Rubric!$F$3:$F$94='[2]Questionnaire Responses'!AB309),0)),"MISSING"))</f>
        <v/>
      </c>
      <c r="AC308" s="206"/>
      <c r="AD308" s="183" t="str">
        <f t="array" ref="AD308">IF(Table133[[#This Row],[Survey?]]="","",IFERROR(INDEX([2]Rubric!$G$3:$G$94,MATCH(1,([2]Rubric!$E$3:$E$94=AD$2)*([2]Rubric!$F$3:$F$94='[2]Questionnaire Responses'!AD309),0)),"MISSING"))</f>
        <v/>
      </c>
      <c r="AE308" s="183" t="str">
        <f t="array" ref="AE308">IF(Table133[[#This Row],[Survey?]]="","",IFERROR(INDEX([2]Rubric!$G$3:$G$94,MATCH(1,([2]Rubric!$E$3:$E$94=AE$2)*([2]Rubric!$F$3:$F$94='[2]Questionnaire Responses'!AE309),0)),"MISSING"))</f>
        <v/>
      </c>
      <c r="AF308" s="206"/>
      <c r="AG308" s="183" t="str">
        <f t="array" ref="AG308">IF(Table133[[#This Row],[Survey?]]="","",IFERROR(INDEX([2]Rubric!$G$3:$G$94,MATCH(1,([2]Rubric!$E$3:$E$94=AG$2)*([2]Rubric!$F$3:$F$94='[2]Questionnaire Responses'!AG309),0)),"MISSING"))</f>
        <v/>
      </c>
    </row>
    <row r="309" spans="1:33" ht="12.75" customHeight="1" x14ac:dyDescent="0.25">
      <c r="A309" s="207">
        <f>'[2]Questionnaire Responses'!A310</f>
        <v>0</v>
      </c>
      <c r="B309" s="198">
        <f>'[2]Questionnaire Responses'!B310</f>
        <v>0</v>
      </c>
      <c r="C309" s="153">
        <f>'[2]Questionnaire Responses'!C310</f>
        <v>0</v>
      </c>
      <c r="D309" s="208"/>
      <c r="E309" s="206"/>
      <c r="F309" s="183" t="str">
        <f t="array" ref="F309">IF(Table133[[#This Row],[Survey?]]="","",IFERROR(INDEX([2]Rubric!$G$3:$G$94,MATCH(1,([2]Rubric!$E$3:$E$94=F$2)*([2]Rubric!$F$3:$F$94='[2]Questionnaire Responses'!F310),0)),"MISSING"))</f>
        <v/>
      </c>
      <c r="G309" s="183" t="str">
        <f t="array" ref="G309">IF(Table133[[#This Row],[Survey?]]="","",IFERROR(INDEX([2]Rubric!$G$3:$G$94,MATCH(1,([2]Rubric!$E$3:$E$94=G$2)*([2]Rubric!$F$3:$F$94='[2]Questionnaire Responses'!G310),0)),"MISSING"))</f>
        <v/>
      </c>
      <c r="H309" s="183" t="str">
        <f t="array" ref="H309">IF(Table133[[#This Row],[Survey?]]="","",IFERROR(INDEX([2]Rubric!$G$3:$G$94,MATCH(1,([2]Rubric!$E$3:$E$94=H$2)*([2]Rubric!$F$3:$F$94='[2]Questionnaire Responses'!H310),0)),"MISSING"))</f>
        <v/>
      </c>
      <c r="I309" s="183" t="str">
        <f t="array" ref="I309">IF(Table133[[#This Row],[Survey?]]="","",IFERROR(INDEX([2]Rubric!$G$3:$G$94,MATCH(1,([2]Rubric!$E$3:$E$94=I$2)*([2]Rubric!$F$3:$F$94='[2]Questionnaire Responses'!I310),0)),"MISSING"))</f>
        <v/>
      </c>
      <c r="J309" s="183" t="str">
        <f t="array" ref="J309">IF(Table133[[#This Row],[Survey?]]="","",IFERROR(INDEX([2]Rubric!$G$3:$G$94,MATCH(1,([2]Rubric!$E$3:$E$94=J$2)*([2]Rubric!$F$3:$F$94='[2]Questionnaire Responses'!J310),0)),"MISSING"))</f>
        <v/>
      </c>
      <c r="K309" s="206"/>
      <c r="L309" s="183" t="str">
        <f t="array" ref="L309">IF(Table133[[#This Row],[Survey?]]="","",IFERROR(INDEX([2]Rubric!$G$3:$G$94,MATCH(1,([2]Rubric!$E$3:$E$94=L$2)*([2]Rubric!$F$3:$F$94='[2]Questionnaire Responses'!L310),0)),"MISSING"))</f>
        <v/>
      </c>
      <c r="M309" s="206"/>
      <c r="N309" s="183" t="str">
        <f t="array" ref="N309">IF(Table133[[#This Row],[Survey?]]="","",IFERROR(INDEX([2]Rubric!$G$3:$G$94,MATCH(1,([2]Rubric!$E$3:$E$94=N$2)*([2]Rubric!$F$3:$F$94='[2]Questionnaire Responses'!N310),0)),"MISSING"))</f>
        <v/>
      </c>
      <c r="O309" s="183" t="str">
        <f t="array" ref="O309">IF(Table133[[#This Row],[Survey?]]="","",IFERROR(INDEX([2]Rubric!$G$3:$G$94,MATCH(1,([2]Rubric!$E$3:$E$94=O$2)*([2]Rubric!$F$3:$F$94='[2]Questionnaire Responses'!O310),0)),"MISSING"))</f>
        <v/>
      </c>
      <c r="P309" s="206"/>
      <c r="Q309" s="183" t="str">
        <f t="array" ref="Q309">IF(Table133[[#This Row],[Survey?]]="","",IFERROR(INDEX([2]Rubric!$G$3:$G$94,MATCH(1,([2]Rubric!$E$3:$E$94=Q$2)*([2]Rubric!$F$3:$F$94='[2]Questionnaire Responses'!Q310),0)),"MISSING"))</f>
        <v/>
      </c>
      <c r="R309" s="183" t="str">
        <f t="array" ref="R309">IF(Table133[[#This Row],[Survey?]]="","",IFERROR(INDEX([2]Rubric!$G$3:$G$94,MATCH(1,([2]Rubric!$E$3:$E$94=R$2)*([2]Rubric!$F$3:$F$94='[2]Questionnaire Responses'!R310),0)),"MISSING"))</f>
        <v/>
      </c>
      <c r="S309" s="183" t="str">
        <f t="array" ref="S309">IF(Table133[[#This Row],[Survey?]]="","",IFERROR(INDEX([2]Rubric!$G$3:$G$94,MATCH(1,([2]Rubric!$E$3:$E$94=S$2)*([2]Rubric!$F$3:$F$94='[2]Questionnaire Responses'!S310),0)),"MISSING"))</f>
        <v/>
      </c>
      <c r="T309" s="183" t="str">
        <f t="array" ref="T309">IF(Table133[[#This Row],[Survey?]]="","",IFERROR(INDEX([2]Rubric!$G$3:$G$94,MATCH(1,([2]Rubric!$E$3:$E$94=T$2)*([2]Rubric!$F$3:$F$94='[2]Questionnaire Responses'!T310),0)),"MISSING"))</f>
        <v/>
      </c>
      <c r="U309" s="206"/>
      <c r="V309" s="183" t="str">
        <f t="array" ref="V309">IF(Table133[[#This Row],[Survey?]]="","",IFERROR(INDEX([2]Rubric!$G$3:$G$94,MATCH(1,([2]Rubric!$E$3:$E$94=V$2)*([2]Rubric!$F$3:$F$94='[2]Questionnaire Responses'!V310),0)),"MISSING"))</f>
        <v/>
      </c>
      <c r="W309" s="206"/>
      <c r="X309" s="183" t="str">
        <f t="array" ref="X309">IF(Table133[[#This Row],[Survey?]]="","",IFERROR(INDEX([2]Rubric!$G$3:$G$94,MATCH(1,([2]Rubric!$E$3:$E$94=X$2)*([2]Rubric!$F$3:$F$94='[2]Questionnaire Responses'!X310),0)),"MISSING"))</f>
        <v/>
      </c>
      <c r="Y309" s="206"/>
      <c r="Z309" s="183" t="str">
        <f t="array" ref="Z309">IF(Table133[[#This Row],[Survey?]]="","",IFERROR(INDEX([2]Rubric!$G$3:$G$94,MATCH(1,([2]Rubric!$E$3:$E$94=Z$2)*([2]Rubric!$F$3:$F$94='[2]Questionnaire Responses'!Z310),0)),"MISSING"))</f>
        <v/>
      </c>
      <c r="AA309" s="183" t="str">
        <f t="array" ref="AA309">IF(Table133[[#This Row],[Survey?]]="","",IFERROR(INDEX([2]Rubric!$G$3:$G$94,MATCH(1,([2]Rubric!$E$3:$E$94=AA$2)*([2]Rubric!$F$3:$F$94='[2]Questionnaire Responses'!AA310),0)),"MISSING"))</f>
        <v/>
      </c>
      <c r="AB309" s="183" t="str">
        <f t="array" ref="AB309">IF(Table133[[#This Row],[Survey?]]="","",IFERROR(INDEX([2]Rubric!$G$3:$G$94,MATCH(1,([2]Rubric!$E$3:$E$94=AB$2)*([2]Rubric!$F$3:$F$94='[2]Questionnaire Responses'!AB310),0)),"MISSING"))</f>
        <v/>
      </c>
      <c r="AC309" s="206"/>
      <c r="AD309" s="183" t="str">
        <f t="array" ref="AD309">IF(Table133[[#This Row],[Survey?]]="","",IFERROR(INDEX([2]Rubric!$G$3:$G$94,MATCH(1,([2]Rubric!$E$3:$E$94=AD$2)*([2]Rubric!$F$3:$F$94='[2]Questionnaire Responses'!AD310),0)),"MISSING"))</f>
        <v/>
      </c>
      <c r="AE309" s="183" t="str">
        <f t="array" ref="AE309">IF(Table133[[#This Row],[Survey?]]="","",IFERROR(INDEX([2]Rubric!$G$3:$G$94,MATCH(1,([2]Rubric!$E$3:$E$94=AE$2)*([2]Rubric!$F$3:$F$94='[2]Questionnaire Responses'!AE310),0)),"MISSING"))</f>
        <v/>
      </c>
      <c r="AF309" s="206"/>
      <c r="AG309" s="183" t="str">
        <f t="array" ref="AG309">IF(Table133[[#This Row],[Survey?]]="","",IFERROR(INDEX([2]Rubric!$G$3:$G$94,MATCH(1,([2]Rubric!$E$3:$E$94=AG$2)*([2]Rubric!$F$3:$F$94='[2]Questionnaire Responses'!AG310),0)),"MISSING"))</f>
        <v/>
      </c>
    </row>
    <row r="310" spans="1:33" ht="12.75" customHeight="1" x14ac:dyDescent="0.25">
      <c r="A310" s="207">
        <f>'[2]Questionnaire Responses'!A311</f>
        <v>0</v>
      </c>
      <c r="B310" s="198">
        <f>'[2]Questionnaire Responses'!B311</f>
        <v>0</v>
      </c>
      <c r="C310" s="153">
        <f>'[2]Questionnaire Responses'!C311</f>
        <v>0</v>
      </c>
      <c r="D310" s="208"/>
      <c r="E310" s="206"/>
      <c r="F310" s="183" t="str">
        <f t="array" ref="F310">IF(Table133[[#This Row],[Survey?]]="","",IFERROR(INDEX([2]Rubric!$G$3:$G$94,MATCH(1,([2]Rubric!$E$3:$E$94=F$2)*([2]Rubric!$F$3:$F$94='[2]Questionnaire Responses'!F311),0)),"MISSING"))</f>
        <v/>
      </c>
      <c r="G310" s="183" t="str">
        <f t="array" ref="G310">IF(Table133[[#This Row],[Survey?]]="","",IFERROR(INDEX([2]Rubric!$G$3:$G$94,MATCH(1,([2]Rubric!$E$3:$E$94=G$2)*([2]Rubric!$F$3:$F$94='[2]Questionnaire Responses'!G311),0)),"MISSING"))</f>
        <v/>
      </c>
      <c r="H310" s="183" t="str">
        <f t="array" ref="H310">IF(Table133[[#This Row],[Survey?]]="","",IFERROR(INDEX([2]Rubric!$G$3:$G$94,MATCH(1,([2]Rubric!$E$3:$E$94=H$2)*([2]Rubric!$F$3:$F$94='[2]Questionnaire Responses'!H311),0)),"MISSING"))</f>
        <v/>
      </c>
      <c r="I310" s="183" t="str">
        <f t="array" ref="I310">IF(Table133[[#This Row],[Survey?]]="","",IFERROR(INDEX([2]Rubric!$G$3:$G$94,MATCH(1,([2]Rubric!$E$3:$E$94=I$2)*([2]Rubric!$F$3:$F$94='[2]Questionnaire Responses'!I311),0)),"MISSING"))</f>
        <v/>
      </c>
      <c r="J310" s="183" t="str">
        <f t="array" ref="J310">IF(Table133[[#This Row],[Survey?]]="","",IFERROR(INDEX([2]Rubric!$G$3:$G$94,MATCH(1,([2]Rubric!$E$3:$E$94=J$2)*([2]Rubric!$F$3:$F$94='[2]Questionnaire Responses'!J311),0)),"MISSING"))</f>
        <v/>
      </c>
      <c r="K310" s="206"/>
      <c r="L310" s="183" t="str">
        <f t="array" ref="L310">IF(Table133[[#This Row],[Survey?]]="","",IFERROR(INDEX([2]Rubric!$G$3:$G$94,MATCH(1,([2]Rubric!$E$3:$E$94=L$2)*([2]Rubric!$F$3:$F$94='[2]Questionnaire Responses'!L311),0)),"MISSING"))</f>
        <v/>
      </c>
      <c r="M310" s="206"/>
      <c r="N310" s="183" t="str">
        <f t="array" ref="N310">IF(Table133[[#This Row],[Survey?]]="","",IFERROR(INDEX([2]Rubric!$G$3:$G$94,MATCH(1,([2]Rubric!$E$3:$E$94=N$2)*([2]Rubric!$F$3:$F$94='[2]Questionnaire Responses'!N311),0)),"MISSING"))</f>
        <v/>
      </c>
      <c r="O310" s="183" t="str">
        <f t="array" ref="O310">IF(Table133[[#This Row],[Survey?]]="","",IFERROR(INDEX([2]Rubric!$G$3:$G$94,MATCH(1,([2]Rubric!$E$3:$E$94=O$2)*([2]Rubric!$F$3:$F$94='[2]Questionnaire Responses'!O311),0)),"MISSING"))</f>
        <v/>
      </c>
      <c r="P310" s="206"/>
      <c r="Q310" s="183" t="str">
        <f t="array" ref="Q310">IF(Table133[[#This Row],[Survey?]]="","",IFERROR(INDEX([2]Rubric!$G$3:$G$94,MATCH(1,([2]Rubric!$E$3:$E$94=Q$2)*([2]Rubric!$F$3:$F$94='[2]Questionnaire Responses'!Q311),0)),"MISSING"))</f>
        <v/>
      </c>
      <c r="R310" s="183" t="str">
        <f t="array" ref="R310">IF(Table133[[#This Row],[Survey?]]="","",IFERROR(INDEX([2]Rubric!$G$3:$G$94,MATCH(1,([2]Rubric!$E$3:$E$94=R$2)*([2]Rubric!$F$3:$F$94='[2]Questionnaire Responses'!R311),0)),"MISSING"))</f>
        <v/>
      </c>
      <c r="S310" s="183" t="str">
        <f t="array" ref="S310">IF(Table133[[#This Row],[Survey?]]="","",IFERROR(INDEX([2]Rubric!$G$3:$G$94,MATCH(1,([2]Rubric!$E$3:$E$94=S$2)*([2]Rubric!$F$3:$F$94='[2]Questionnaire Responses'!S311),0)),"MISSING"))</f>
        <v/>
      </c>
      <c r="T310" s="183" t="str">
        <f t="array" ref="T310">IF(Table133[[#This Row],[Survey?]]="","",IFERROR(INDEX([2]Rubric!$G$3:$G$94,MATCH(1,([2]Rubric!$E$3:$E$94=T$2)*([2]Rubric!$F$3:$F$94='[2]Questionnaire Responses'!T311),0)),"MISSING"))</f>
        <v/>
      </c>
      <c r="U310" s="206"/>
      <c r="V310" s="183" t="str">
        <f t="array" ref="V310">IF(Table133[[#This Row],[Survey?]]="","",IFERROR(INDEX([2]Rubric!$G$3:$G$94,MATCH(1,([2]Rubric!$E$3:$E$94=V$2)*([2]Rubric!$F$3:$F$94='[2]Questionnaire Responses'!V311),0)),"MISSING"))</f>
        <v/>
      </c>
      <c r="W310" s="206"/>
      <c r="X310" s="183" t="str">
        <f t="array" ref="X310">IF(Table133[[#This Row],[Survey?]]="","",IFERROR(INDEX([2]Rubric!$G$3:$G$94,MATCH(1,([2]Rubric!$E$3:$E$94=X$2)*([2]Rubric!$F$3:$F$94='[2]Questionnaire Responses'!X311),0)),"MISSING"))</f>
        <v/>
      </c>
      <c r="Y310" s="206"/>
      <c r="Z310" s="183" t="str">
        <f t="array" ref="Z310">IF(Table133[[#This Row],[Survey?]]="","",IFERROR(INDEX([2]Rubric!$G$3:$G$94,MATCH(1,([2]Rubric!$E$3:$E$94=Z$2)*([2]Rubric!$F$3:$F$94='[2]Questionnaire Responses'!Z311),0)),"MISSING"))</f>
        <v/>
      </c>
      <c r="AA310" s="183" t="str">
        <f t="array" ref="AA310">IF(Table133[[#This Row],[Survey?]]="","",IFERROR(INDEX([2]Rubric!$G$3:$G$94,MATCH(1,([2]Rubric!$E$3:$E$94=AA$2)*([2]Rubric!$F$3:$F$94='[2]Questionnaire Responses'!AA311),0)),"MISSING"))</f>
        <v/>
      </c>
      <c r="AB310" s="183" t="str">
        <f t="array" ref="AB310">IF(Table133[[#This Row],[Survey?]]="","",IFERROR(INDEX([2]Rubric!$G$3:$G$94,MATCH(1,([2]Rubric!$E$3:$E$94=AB$2)*([2]Rubric!$F$3:$F$94='[2]Questionnaire Responses'!AB311),0)),"MISSING"))</f>
        <v/>
      </c>
      <c r="AC310" s="206"/>
      <c r="AD310" s="183" t="str">
        <f t="array" ref="AD310">IF(Table133[[#This Row],[Survey?]]="","",IFERROR(INDEX([2]Rubric!$G$3:$G$94,MATCH(1,([2]Rubric!$E$3:$E$94=AD$2)*([2]Rubric!$F$3:$F$94='[2]Questionnaire Responses'!AD311),0)),"MISSING"))</f>
        <v/>
      </c>
      <c r="AE310" s="183" t="str">
        <f t="array" ref="AE310">IF(Table133[[#This Row],[Survey?]]="","",IFERROR(INDEX([2]Rubric!$G$3:$G$94,MATCH(1,([2]Rubric!$E$3:$E$94=AE$2)*([2]Rubric!$F$3:$F$94='[2]Questionnaire Responses'!AE311),0)),"MISSING"))</f>
        <v/>
      </c>
      <c r="AF310" s="206"/>
      <c r="AG310" s="183" t="str">
        <f t="array" ref="AG310">IF(Table133[[#This Row],[Survey?]]="","",IFERROR(INDEX([2]Rubric!$G$3:$G$94,MATCH(1,([2]Rubric!$E$3:$E$94=AG$2)*([2]Rubric!$F$3:$F$94='[2]Questionnaire Responses'!AG311),0)),"MISSING"))</f>
        <v/>
      </c>
    </row>
    <row r="311" spans="1:33" ht="12.75" customHeight="1" x14ac:dyDescent="0.25">
      <c r="A311" s="207">
        <f>'[2]Questionnaire Responses'!A312</f>
        <v>0</v>
      </c>
      <c r="B311" s="198">
        <f>'[2]Questionnaire Responses'!B312</f>
        <v>0</v>
      </c>
      <c r="C311" s="153">
        <f>'[2]Questionnaire Responses'!C312</f>
        <v>0</v>
      </c>
      <c r="D311" s="208"/>
      <c r="E311" s="206"/>
      <c r="F311" s="183" t="str">
        <f t="array" ref="F311">IF(Table133[[#This Row],[Survey?]]="","",IFERROR(INDEX([2]Rubric!$G$3:$G$94,MATCH(1,([2]Rubric!$E$3:$E$94=F$2)*([2]Rubric!$F$3:$F$94='[2]Questionnaire Responses'!F312),0)),"MISSING"))</f>
        <v/>
      </c>
      <c r="G311" s="183" t="str">
        <f t="array" ref="G311">IF(Table133[[#This Row],[Survey?]]="","",IFERROR(INDEX([2]Rubric!$G$3:$G$94,MATCH(1,([2]Rubric!$E$3:$E$94=G$2)*([2]Rubric!$F$3:$F$94='[2]Questionnaire Responses'!G312),0)),"MISSING"))</f>
        <v/>
      </c>
      <c r="H311" s="183" t="str">
        <f t="array" ref="H311">IF(Table133[[#This Row],[Survey?]]="","",IFERROR(INDEX([2]Rubric!$G$3:$G$94,MATCH(1,([2]Rubric!$E$3:$E$94=H$2)*([2]Rubric!$F$3:$F$94='[2]Questionnaire Responses'!H312),0)),"MISSING"))</f>
        <v/>
      </c>
      <c r="I311" s="183" t="str">
        <f t="array" ref="I311">IF(Table133[[#This Row],[Survey?]]="","",IFERROR(INDEX([2]Rubric!$G$3:$G$94,MATCH(1,([2]Rubric!$E$3:$E$94=I$2)*([2]Rubric!$F$3:$F$94='[2]Questionnaire Responses'!I312),0)),"MISSING"))</f>
        <v/>
      </c>
      <c r="J311" s="183" t="str">
        <f t="array" ref="J311">IF(Table133[[#This Row],[Survey?]]="","",IFERROR(INDEX([2]Rubric!$G$3:$G$94,MATCH(1,([2]Rubric!$E$3:$E$94=J$2)*([2]Rubric!$F$3:$F$94='[2]Questionnaire Responses'!J312),0)),"MISSING"))</f>
        <v/>
      </c>
      <c r="K311" s="206"/>
      <c r="L311" s="183" t="str">
        <f t="array" ref="L311">IF(Table133[[#This Row],[Survey?]]="","",IFERROR(INDEX([2]Rubric!$G$3:$G$94,MATCH(1,([2]Rubric!$E$3:$E$94=L$2)*([2]Rubric!$F$3:$F$94='[2]Questionnaire Responses'!L312),0)),"MISSING"))</f>
        <v/>
      </c>
      <c r="M311" s="206"/>
      <c r="N311" s="183" t="str">
        <f t="array" ref="N311">IF(Table133[[#This Row],[Survey?]]="","",IFERROR(INDEX([2]Rubric!$G$3:$G$94,MATCH(1,([2]Rubric!$E$3:$E$94=N$2)*([2]Rubric!$F$3:$F$94='[2]Questionnaire Responses'!N312),0)),"MISSING"))</f>
        <v/>
      </c>
      <c r="O311" s="183" t="str">
        <f t="array" ref="O311">IF(Table133[[#This Row],[Survey?]]="","",IFERROR(INDEX([2]Rubric!$G$3:$G$94,MATCH(1,([2]Rubric!$E$3:$E$94=O$2)*([2]Rubric!$F$3:$F$94='[2]Questionnaire Responses'!O312),0)),"MISSING"))</f>
        <v/>
      </c>
      <c r="P311" s="206"/>
      <c r="Q311" s="183" t="str">
        <f t="array" ref="Q311">IF(Table133[[#This Row],[Survey?]]="","",IFERROR(INDEX([2]Rubric!$G$3:$G$94,MATCH(1,([2]Rubric!$E$3:$E$94=Q$2)*([2]Rubric!$F$3:$F$94='[2]Questionnaire Responses'!Q312),0)),"MISSING"))</f>
        <v/>
      </c>
      <c r="R311" s="183" t="str">
        <f t="array" ref="R311">IF(Table133[[#This Row],[Survey?]]="","",IFERROR(INDEX([2]Rubric!$G$3:$G$94,MATCH(1,([2]Rubric!$E$3:$E$94=R$2)*([2]Rubric!$F$3:$F$94='[2]Questionnaire Responses'!R312),0)),"MISSING"))</f>
        <v/>
      </c>
      <c r="S311" s="183" t="str">
        <f t="array" ref="S311">IF(Table133[[#This Row],[Survey?]]="","",IFERROR(INDEX([2]Rubric!$G$3:$G$94,MATCH(1,([2]Rubric!$E$3:$E$94=S$2)*([2]Rubric!$F$3:$F$94='[2]Questionnaire Responses'!S312),0)),"MISSING"))</f>
        <v/>
      </c>
      <c r="T311" s="183" t="str">
        <f t="array" ref="T311">IF(Table133[[#This Row],[Survey?]]="","",IFERROR(INDEX([2]Rubric!$G$3:$G$94,MATCH(1,([2]Rubric!$E$3:$E$94=T$2)*([2]Rubric!$F$3:$F$94='[2]Questionnaire Responses'!T312),0)),"MISSING"))</f>
        <v/>
      </c>
      <c r="U311" s="206"/>
      <c r="V311" s="183" t="str">
        <f t="array" ref="V311">IF(Table133[[#This Row],[Survey?]]="","",IFERROR(INDEX([2]Rubric!$G$3:$G$94,MATCH(1,([2]Rubric!$E$3:$E$94=V$2)*([2]Rubric!$F$3:$F$94='[2]Questionnaire Responses'!V312),0)),"MISSING"))</f>
        <v/>
      </c>
      <c r="W311" s="206"/>
      <c r="X311" s="183" t="str">
        <f t="array" ref="X311">IF(Table133[[#This Row],[Survey?]]="","",IFERROR(INDEX([2]Rubric!$G$3:$G$94,MATCH(1,([2]Rubric!$E$3:$E$94=X$2)*([2]Rubric!$F$3:$F$94='[2]Questionnaire Responses'!X312),0)),"MISSING"))</f>
        <v/>
      </c>
      <c r="Y311" s="206"/>
      <c r="Z311" s="183" t="str">
        <f t="array" ref="Z311">IF(Table133[[#This Row],[Survey?]]="","",IFERROR(INDEX([2]Rubric!$G$3:$G$94,MATCH(1,([2]Rubric!$E$3:$E$94=Z$2)*([2]Rubric!$F$3:$F$94='[2]Questionnaire Responses'!Z312),0)),"MISSING"))</f>
        <v/>
      </c>
      <c r="AA311" s="183" t="str">
        <f t="array" ref="AA311">IF(Table133[[#This Row],[Survey?]]="","",IFERROR(INDEX([2]Rubric!$G$3:$G$94,MATCH(1,([2]Rubric!$E$3:$E$94=AA$2)*([2]Rubric!$F$3:$F$94='[2]Questionnaire Responses'!AA312),0)),"MISSING"))</f>
        <v/>
      </c>
      <c r="AB311" s="183" t="str">
        <f t="array" ref="AB311">IF(Table133[[#This Row],[Survey?]]="","",IFERROR(INDEX([2]Rubric!$G$3:$G$94,MATCH(1,([2]Rubric!$E$3:$E$94=AB$2)*([2]Rubric!$F$3:$F$94='[2]Questionnaire Responses'!AB312),0)),"MISSING"))</f>
        <v/>
      </c>
      <c r="AC311" s="206"/>
      <c r="AD311" s="183" t="str">
        <f t="array" ref="AD311">IF(Table133[[#This Row],[Survey?]]="","",IFERROR(INDEX([2]Rubric!$G$3:$G$94,MATCH(1,([2]Rubric!$E$3:$E$94=AD$2)*([2]Rubric!$F$3:$F$94='[2]Questionnaire Responses'!AD312),0)),"MISSING"))</f>
        <v/>
      </c>
      <c r="AE311" s="183" t="str">
        <f t="array" ref="AE311">IF(Table133[[#This Row],[Survey?]]="","",IFERROR(INDEX([2]Rubric!$G$3:$G$94,MATCH(1,([2]Rubric!$E$3:$E$94=AE$2)*([2]Rubric!$F$3:$F$94='[2]Questionnaire Responses'!AE312),0)),"MISSING"))</f>
        <v/>
      </c>
      <c r="AF311" s="206"/>
      <c r="AG311" s="183" t="str">
        <f t="array" ref="AG311">IF(Table133[[#This Row],[Survey?]]="","",IFERROR(INDEX([2]Rubric!$G$3:$G$94,MATCH(1,([2]Rubric!$E$3:$E$94=AG$2)*([2]Rubric!$F$3:$F$94='[2]Questionnaire Responses'!AG312),0)),"MISSING"))</f>
        <v/>
      </c>
    </row>
    <row r="312" spans="1:33" ht="12.75" customHeight="1" x14ac:dyDescent="0.25">
      <c r="A312" s="207">
        <f>'[2]Questionnaire Responses'!A313</f>
        <v>0</v>
      </c>
      <c r="B312" s="198">
        <f>'[2]Questionnaire Responses'!B313</f>
        <v>0</v>
      </c>
      <c r="C312" s="153">
        <f>'[2]Questionnaire Responses'!C313</f>
        <v>0</v>
      </c>
      <c r="D312" s="208"/>
      <c r="E312" s="206"/>
      <c r="F312" s="183" t="str">
        <f t="array" ref="F312">IF(Table133[[#This Row],[Survey?]]="","",IFERROR(INDEX([2]Rubric!$G$3:$G$94,MATCH(1,([2]Rubric!$E$3:$E$94=F$2)*([2]Rubric!$F$3:$F$94='[2]Questionnaire Responses'!F313),0)),"MISSING"))</f>
        <v/>
      </c>
      <c r="G312" s="183" t="str">
        <f t="array" ref="G312">IF(Table133[[#This Row],[Survey?]]="","",IFERROR(INDEX([2]Rubric!$G$3:$G$94,MATCH(1,([2]Rubric!$E$3:$E$94=G$2)*([2]Rubric!$F$3:$F$94='[2]Questionnaire Responses'!G313),0)),"MISSING"))</f>
        <v/>
      </c>
      <c r="H312" s="183" t="str">
        <f t="array" ref="H312">IF(Table133[[#This Row],[Survey?]]="","",IFERROR(INDEX([2]Rubric!$G$3:$G$94,MATCH(1,([2]Rubric!$E$3:$E$94=H$2)*([2]Rubric!$F$3:$F$94='[2]Questionnaire Responses'!H313),0)),"MISSING"))</f>
        <v/>
      </c>
      <c r="I312" s="183" t="str">
        <f t="array" ref="I312">IF(Table133[[#This Row],[Survey?]]="","",IFERROR(INDEX([2]Rubric!$G$3:$G$94,MATCH(1,([2]Rubric!$E$3:$E$94=I$2)*([2]Rubric!$F$3:$F$94='[2]Questionnaire Responses'!I313),0)),"MISSING"))</f>
        <v/>
      </c>
      <c r="J312" s="183" t="str">
        <f t="array" ref="J312">IF(Table133[[#This Row],[Survey?]]="","",IFERROR(INDEX([2]Rubric!$G$3:$G$94,MATCH(1,([2]Rubric!$E$3:$E$94=J$2)*([2]Rubric!$F$3:$F$94='[2]Questionnaire Responses'!J313),0)),"MISSING"))</f>
        <v/>
      </c>
      <c r="K312" s="206"/>
      <c r="L312" s="183" t="str">
        <f t="array" ref="L312">IF(Table133[[#This Row],[Survey?]]="","",IFERROR(INDEX([2]Rubric!$G$3:$G$94,MATCH(1,([2]Rubric!$E$3:$E$94=L$2)*([2]Rubric!$F$3:$F$94='[2]Questionnaire Responses'!L313),0)),"MISSING"))</f>
        <v/>
      </c>
      <c r="M312" s="206"/>
      <c r="N312" s="183" t="str">
        <f t="array" ref="N312">IF(Table133[[#This Row],[Survey?]]="","",IFERROR(INDEX([2]Rubric!$G$3:$G$94,MATCH(1,([2]Rubric!$E$3:$E$94=N$2)*([2]Rubric!$F$3:$F$94='[2]Questionnaire Responses'!N313),0)),"MISSING"))</f>
        <v/>
      </c>
      <c r="O312" s="183" t="str">
        <f t="array" ref="O312">IF(Table133[[#This Row],[Survey?]]="","",IFERROR(INDEX([2]Rubric!$G$3:$G$94,MATCH(1,([2]Rubric!$E$3:$E$94=O$2)*([2]Rubric!$F$3:$F$94='[2]Questionnaire Responses'!O313),0)),"MISSING"))</f>
        <v/>
      </c>
      <c r="P312" s="206"/>
      <c r="Q312" s="183" t="str">
        <f t="array" ref="Q312">IF(Table133[[#This Row],[Survey?]]="","",IFERROR(INDEX([2]Rubric!$G$3:$G$94,MATCH(1,([2]Rubric!$E$3:$E$94=Q$2)*([2]Rubric!$F$3:$F$94='[2]Questionnaire Responses'!Q313),0)),"MISSING"))</f>
        <v/>
      </c>
      <c r="R312" s="183" t="str">
        <f t="array" ref="R312">IF(Table133[[#This Row],[Survey?]]="","",IFERROR(INDEX([2]Rubric!$G$3:$G$94,MATCH(1,([2]Rubric!$E$3:$E$94=R$2)*([2]Rubric!$F$3:$F$94='[2]Questionnaire Responses'!R313),0)),"MISSING"))</f>
        <v/>
      </c>
      <c r="S312" s="183" t="str">
        <f t="array" ref="S312">IF(Table133[[#This Row],[Survey?]]="","",IFERROR(INDEX([2]Rubric!$G$3:$G$94,MATCH(1,([2]Rubric!$E$3:$E$94=S$2)*([2]Rubric!$F$3:$F$94='[2]Questionnaire Responses'!S313),0)),"MISSING"))</f>
        <v/>
      </c>
      <c r="T312" s="183" t="str">
        <f t="array" ref="T312">IF(Table133[[#This Row],[Survey?]]="","",IFERROR(INDEX([2]Rubric!$G$3:$G$94,MATCH(1,([2]Rubric!$E$3:$E$94=T$2)*([2]Rubric!$F$3:$F$94='[2]Questionnaire Responses'!T313),0)),"MISSING"))</f>
        <v/>
      </c>
      <c r="U312" s="206"/>
      <c r="V312" s="183" t="str">
        <f t="array" ref="V312">IF(Table133[[#This Row],[Survey?]]="","",IFERROR(INDEX([2]Rubric!$G$3:$G$94,MATCH(1,([2]Rubric!$E$3:$E$94=V$2)*([2]Rubric!$F$3:$F$94='[2]Questionnaire Responses'!V313),0)),"MISSING"))</f>
        <v/>
      </c>
      <c r="W312" s="206"/>
      <c r="X312" s="183" t="str">
        <f t="array" ref="X312">IF(Table133[[#This Row],[Survey?]]="","",IFERROR(INDEX([2]Rubric!$G$3:$G$94,MATCH(1,([2]Rubric!$E$3:$E$94=X$2)*([2]Rubric!$F$3:$F$94='[2]Questionnaire Responses'!X313),0)),"MISSING"))</f>
        <v/>
      </c>
      <c r="Y312" s="206"/>
      <c r="Z312" s="183" t="str">
        <f t="array" ref="Z312">IF(Table133[[#This Row],[Survey?]]="","",IFERROR(INDEX([2]Rubric!$G$3:$G$94,MATCH(1,([2]Rubric!$E$3:$E$94=Z$2)*([2]Rubric!$F$3:$F$94='[2]Questionnaire Responses'!Z313),0)),"MISSING"))</f>
        <v/>
      </c>
      <c r="AA312" s="183" t="str">
        <f t="array" ref="AA312">IF(Table133[[#This Row],[Survey?]]="","",IFERROR(INDEX([2]Rubric!$G$3:$G$94,MATCH(1,([2]Rubric!$E$3:$E$94=AA$2)*([2]Rubric!$F$3:$F$94='[2]Questionnaire Responses'!AA313),0)),"MISSING"))</f>
        <v/>
      </c>
      <c r="AB312" s="183" t="str">
        <f t="array" ref="AB312">IF(Table133[[#This Row],[Survey?]]="","",IFERROR(INDEX([2]Rubric!$G$3:$G$94,MATCH(1,([2]Rubric!$E$3:$E$94=AB$2)*([2]Rubric!$F$3:$F$94='[2]Questionnaire Responses'!AB313),0)),"MISSING"))</f>
        <v/>
      </c>
      <c r="AC312" s="206"/>
      <c r="AD312" s="183" t="str">
        <f t="array" ref="AD312">IF(Table133[[#This Row],[Survey?]]="","",IFERROR(INDEX([2]Rubric!$G$3:$G$94,MATCH(1,([2]Rubric!$E$3:$E$94=AD$2)*([2]Rubric!$F$3:$F$94='[2]Questionnaire Responses'!AD313),0)),"MISSING"))</f>
        <v/>
      </c>
      <c r="AE312" s="183" t="str">
        <f t="array" ref="AE312">IF(Table133[[#This Row],[Survey?]]="","",IFERROR(INDEX([2]Rubric!$G$3:$G$94,MATCH(1,([2]Rubric!$E$3:$E$94=AE$2)*([2]Rubric!$F$3:$F$94='[2]Questionnaire Responses'!AE313),0)),"MISSING"))</f>
        <v/>
      </c>
      <c r="AF312" s="206"/>
      <c r="AG312" s="183" t="str">
        <f t="array" ref="AG312">IF(Table133[[#This Row],[Survey?]]="","",IFERROR(INDEX([2]Rubric!$G$3:$G$94,MATCH(1,([2]Rubric!$E$3:$E$94=AG$2)*([2]Rubric!$F$3:$F$94='[2]Questionnaire Responses'!AG313),0)),"MISSING"))</f>
        <v/>
      </c>
    </row>
    <row r="313" spans="1:33" ht="12.75" customHeight="1" x14ac:dyDescent="0.25">
      <c r="A313" s="207">
        <f>'[2]Questionnaire Responses'!A314</f>
        <v>0</v>
      </c>
      <c r="B313" s="198">
        <f>'[2]Questionnaire Responses'!B314</f>
        <v>0</v>
      </c>
      <c r="C313" s="153">
        <f>'[2]Questionnaire Responses'!C314</f>
        <v>0</v>
      </c>
      <c r="D313" s="208"/>
      <c r="E313" s="206"/>
      <c r="F313" s="183" t="str">
        <f t="array" ref="F313">IF(Table133[[#This Row],[Survey?]]="","",IFERROR(INDEX([2]Rubric!$G$3:$G$94,MATCH(1,([2]Rubric!$E$3:$E$94=F$2)*([2]Rubric!$F$3:$F$94='[2]Questionnaire Responses'!F314),0)),"MISSING"))</f>
        <v/>
      </c>
      <c r="G313" s="183" t="str">
        <f t="array" ref="G313">IF(Table133[[#This Row],[Survey?]]="","",IFERROR(INDEX([2]Rubric!$G$3:$G$94,MATCH(1,([2]Rubric!$E$3:$E$94=G$2)*([2]Rubric!$F$3:$F$94='[2]Questionnaire Responses'!G314),0)),"MISSING"))</f>
        <v/>
      </c>
      <c r="H313" s="183" t="str">
        <f t="array" ref="H313">IF(Table133[[#This Row],[Survey?]]="","",IFERROR(INDEX([2]Rubric!$G$3:$G$94,MATCH(1,([2]Rubric!$E$3:$E$94=H$2)*([2]Rubric!$F$3:$F$94='[2]Questionnaire Responses'!H314),0)),"MISSING"))</f>
        <v/>
      </c>
      <c r="I313" s="183" t="str">
        <f t="array" ref="I313">IF(Table133[[#This Row],[Survey?]]="","",IFERROR(INDEX([2]Rubric!$G$3:$G$94,MATCH(1,([2]Rubric!$E$3:$E$94=I$2)*([2]Rubric!$F$3:$F$94='[2]Questionnaire Responses'!I314),0)),"MISSING"))</f>
        <v/>
      </c>
      <c r="J313" s="183" t="str">
        <f t="array" ref="J313">IF(Table133[[#This Row],[Survey?]]="","",IFERROR(INDEX([2]Rubric!$G$3:$G$94,MATCH(1,([2]Rubric!$E$3:$E$94=J$2)*([2]Rubric!$F$3:$F$94='[2]Questionnaire Responses'!J314),0)),"MISSING"))</f>
        <v/>
      </c>
      <c r="K313" s="206"/>
      <c r="L313" s="183" t="str">
        <f t="array" ref="L313">IF(Table133[[#This Row],[Survey?]]="","",IFERROR(INDEX([2]Rubric!$G$3:$G$94,MATCH(1,([2]Rubric!$E$3:$E$94=L$2)*([2]Rubric!$F$3:$F$94='[2]Questionnaire Responses'!L314),0)),"MISSING"))</f>
        <v/>
      </c>
      <c r="M313" s="206"/>
      <c r="N313" s="183" t="str">
        <f t="array" ref="N313">IF(Table133[[#This Row],[Survey?]]="","",IFERROR(INDEX([2]Rubric!$G$3:$G$94,MATCH(1,([2]Rubric!$E$3:$E$94=N$2)*([2]Rubric!$F$3:$F$94='[2]Questionnaire Responses'!N314),0)),"MISSING"))</f>
        <v/>
      </c>
      <c r="O313" s="183" t="str">
        <f t="array" ref="O313">IF(Table133[[#This Row],[Survey?]]="","",IFERROR(INDEX([2]Rubric!$G$3:$G$94,MATCH(1,([2]Rubric!$E$3:$E$94=O$2)*([2]Rubric!$F$3:$F$94='[2]Questionnaire Responses'!O314),0)),"MISSING"))</f>
        <v/>
      </c>
      <c r="P313" s="206"/>
      <c r="Q313" s="183" t="str">
        <f t="array" ref="Q313">IF(Table133[[#This Row],[Survey?]]="","",IFERROR(INDEX([2]Rubric!$G$3:$G$94,MATCH(1,([2]Rubric!$E$3:$E$94=Q$2)*([2]Rubric!$F$3:$F$94='[2]Questionnaire Responses'!Q314),0)),"MISSING"))</f>
        <v/>
      </c>
      <c r="R313" s="183" t="str">
        <f t="array" ref="R313">IF(Table133[[#This Row],[Survey?]]="","",IFERROR(INDEX([2]Rubric!$G$3:$G$94,MATCH(1,([2]Rubric!$E$3:$E$94=R$2)*([2]Rubric!$F$3:$F$94='[2]Questionnaire Responses'!R314),0)),"MISSING"))</f>
        <v/>
      </c>
      <c r="S313" s="183" t="str">
        <f t="array" ref="S313">IF(Table133[[#This Row],[Survey?]]="","",IFERROR(INDEX([2]Rubric!$G$3:$G$94,MATCH(1,([2]Rubric!$E$3:$E$94=S$2)*([2]Rubric!$F$3:$F$94='[2]Questionnaire Responses'!S314),0)),"MISSING"))</f>
        <v/>
      </c>
      <c r="T313" s="183" t="str">
        <f t="array" ref="T313">IF(Table133[[#This Row],[Survey?]]="","",IFERROR(INDEX([2]Rubric!$G$3:$G$94,MATCH(1,([2]Rubric!$E$3:$E$94=T$2)*([2]Rubric!$F$3:$F$94='[2]Questionnaire Responses'!T314),0)),"MISSING"))</f>
        <v/>
      </c>
      <c r="U313" s="206"/>
      <c r="V313" s="183" t="str">
        <f t="array" ref="V313">IF(Table133[[#This Row],[Survey?]]="","",IFERROR(INDEX([2]Rubric!$G$3:$G$94,MATCH(1,([2]Rubric!$E$3:$E$94=V$2)*([2]Rubric!$F$3:$F$94='[2]Questionnaire Responses'!V314),0)),"MISSING"))</f>
        <v/>
      </c>
      <c r="W313" s="206"/>
      <c r="X313" s="183" t="str">
        <f t="array" ref="X313">IF(Table133[[#This Row],[Survey?]]="","",IFERROR(INDEX([2]Rubric!$G$3:$G$94,MATCH(1,([2]Rubric!$E$3:$E$94=X$2)*([2]Rubric!$F$3:$F$94='[2]Questionnaire Responses'!X314),0)),"MISSING"))</f>
        <v/>
      </c>
      <c r="Y313" s="206"/>
      <c r="Z313" s="183" t="str">
        <f t="array" ref="Z313">IF(Table133[[#This Row],[Survey?]]="","",IFERROR(INDEX([2]Rubric!$G$3:$G$94,MATCH(1,([2]Rubric!$E$3:$E$94=Z$2)*([2]Rubric!$F$3:$F$94='[2]Questionnaire Responses'!Z314),0)),"MISSING"))</f>
        <v/>
      </c>
      <c r="AA313" s="183" t="str">
        <f t="array" ref="AA313">IF(Table133[[#This Row],[Survey?]]="","",IFERROR(INDEX([2]Rubric!$G$3:$G$94,MATCH(1,([2]Rubric!$E$3:$E$94=AA$2)*([2]Rubric!$F$3:$F$94='[2]Questionnaire Responses'!AA314),0)),"MISSING"))</f>
        <v/>
      </c>
      <c r="AB313" s="183" t="str">
        <f t="array" ref="AB313">IF(Table133[[#This Row],[Survey?]]="","",IFERROR(INDEX([2]Rubric!$G$3:$G$94,MATCH(1,([2]Rubric!$E$3:$E$94=AB$2)*([2]Rubric!$F$3:$F$94='[2]Questionnaire Responses'!AB314),0)),"MISSING"))</f>
        <v/>
      </c>
      <c r="AC313" s="206"/>
      <c r="AD313" s="183" t="str">
        <f t="array" ref="AD313">IF(Table133[[#This Row],[Survey?]]="","",IFERROR(INDEX([2]Rubric!$G$3:$G$94,MATCH(1,([2]Rubric!$E$3:$E$94=AD$2)*([2]Rubric!$F$3:$F$94='[2]Questionnaire Responses'!AD314),0)),"MISSING"))</f>
        <v/>
      </c>
      <c r="AE313" s="183" t="str">
        <f t="array" ref="AE313">IF(Table133[[#This Row],[Survey?]]="","",IFERROR(INDEX([2]Rubric!$G$3:$G$94,MATCH(1,([2]Rubric!$E$3:$E$94=AE$2)*([2]Rubric!$F$3:$F$94='[2]Questionnaire Responses'!AE314),0)),"MISSING"))</f>
        <v/>
      </c>
      <c r="AF313" s="206"/>
      <c r="AG313" s="183" t="str">
        <f t="array" ref="AG313">IF(Table133[[#This Row],[Survey?]]="","",IFERROR(INDEX([2]Rubric!$G$3:$G$94,MATCH(1,([2]Rubric!$E$3:$E$94=AG$2)*([2]Rubric!$F$3:$F$94='[2]Questionnaire Responses'!AG314),0)),"MISSING"))</f>
        <v/>
      </c>
    </row>
    <row r="314" spans="1:33" ht="12.75" customHeight="1" x14ac:dyDescent="0.25">
      <c r="A314" s="207">
        <f>'[2]Questionnaire Responses'!A315</f>
        <v>0</v>
      </c>
      <c r="B314" s="198">
        <f>'[2]Questionnaire Responses'!B315</f>
        <v>0</v>
      </c>
      <c r="C314" s="153">
        <f>'[2]Questionnaire Responses'!C315</f>
        <v>0</v>
      </c>
      <c r="D314" s="208"/>
      <c r="E314" s="206"/>
      <c r="F314" s="183" t="str">
        <f t="array" ref="F314">IF(Table133[[#This Row],[Survey?]]="","",IFERROR(INDEX([2]Rubric!$G$3:$G$94,MATCH(1,([2]Rubric!$E$3:$E$94=F$2)*([2]Rubric!$F$3:$F$94='[2]Questionnaire Responses'!F315),0)),"MISSING"))</f>
        <v/>
      </c>
      <c r="G314" s="183" t="str">
        <f t="array" ref="G314">IF(Table133[[#This Row],[Survey?]]="","",IFERROR(INDEX([2]Rubric!$G$3:$G$94,MATCH(1,([2]Rubric!$E$3:$E$94=G$2)*([2]Rubric!$F$3:$F$94='[2]Questionnaire Responses'!G315),0)),"MISSING"))</f>
        <v/>
      </c>
      <c r="H314" s="183" t="str">
        <f t="array" ref="H314">IF(Table133[[#This Row],[Survey?]]="","",IFERROR(INDEX([2]Rubric!$G$3:$G$94,MATCH(1,([2]Rubric!$E$3:$E$94=H$2)*([2]Rubric!$F$3:$F$94='[2]Questionnaire Responses'!H315),0)),"MISSING"))</f>
        <v/>
      </c>
      <c r="I314" s="183" t="str">
        <f t="array" ref="I314">IF(Table133[[#This Row],[Survey?]]="","",IFERROR(INDEX([2]Rubric!$G$3:$G$94,MATCH(1,([2]Rubric!$E$3:$E$94=I$2)*([2]Rubric!$F$3:$F$94='[2]Questionnaire Responses'!I315),0)),"MISSING"))</f>
        <v/>
      </c>
      <c r="J314" s="183" t="str">
        <f t="array" ref="J314">IF(Table133[[#This Row],[Survey?]]="","",IFERROR(INDEX([2]Rubric!$G$3:$G$94,MATCH(1,([2]Rubric!$E$3:$E$94=J$2)*([2]Rubric!$F$3:$F$94='[2]Questionnaire Responses'!J315),0)),"MISSING"))</f>
        <v/>
      </c>
      <c r="K314" s="206"/>
      <c r="L314" s="183" t="str">
        <f t="array" ref="L314">IF(Table133[[#This Row],[Survey?]]="","",IFERROR(INDEX([2]Rubric!$G$3:$G$94,MATCH(1,([2]Rubric!$E$3:$E$94=L$2)*([2]Rubric!$F$3:$F$94='[2]Questionnaire Responses'!L315),0)),"MISSING"))</f>
        <v/>
      </c>
      <c r="M314" s="206"/>
      <c r="N314" s="183" t="str">
        <f t="array" ref="N314">IF(Table133[[#This Row],[Survey?]]="","",IFERROR(INDEX([2]Rubric!$G$3:$G$94,MATCH(1,([2]Rubric!$E$3:$E$94=N$2)*([2]Rubric!$F$3:$F$94='[2]Questionnaire Responses'!N315),0)),"MISSING"))</f>
        <v/>
      </c>
      <c r="O314" s="183" t="str">
        <f t="array" ref="O314">IF(Table133[[#This Row],[Survey?]]="","",IFERROR(INDEX([2]Rubric!$G$3:$G$94,MATCH(1,([2]Rubric!$E$3:$E$94=O$2)*([2]Rubric!$F$3:$F$94='[2]Questionnaire Responses'!O315),0)),"MISSING"))</f>
        <v/>
      </c>
      <c r="P314" s="206"/>
      <c r="Q314" s="183" t="str">
        <f t="array" ref="Q314">IF(Table133[[#This Row],[Survey?]]="","",IFERROR(INDEX([2]Rubric!$G$3:$G$94,MATCH(1,([2]Rubric!$E$3:$E$94=Q$2)*([2]Rubric!$F$3:$F$94='[2]Questionnaire Responses'!Q315),0)),"MISSING"))</f>
        <v/>
      </c>
      <c r="R314" s="183" t="str">
        <f t="array" ref="R314">IF(Table133[[#This Row],[Survey?]]="","",IFERROR(INDEX([2]Rubric!$G$3:$G$94,MATCH(1,([2]Rubric!$E$3:$E$94=R$2)*([2]Rubric!$F$3:$F$94='[2]Questionnaire Responses'!R315),0)),"MISSING"))</f>
        <v/>
      </c>
      <c r="S314" s="183" t="str">
        <f t="array" ref="S314">IF(Table133[[#This Row],[Survey?]]="","",IFERROR(INDEX([2]Rubric!$G$3:$G$94,MATCH(1,([2]Rubric!$E$3:$E$94=S$2)*([2]Rubric!$F$3:$F$94='[2]Questionnaire Responses'!S315),0)),"MISSING"))</f>
        <v/>
      </c>
      <c r="T314" s="183" t="str">
        <f t="array" ref="T314">IF(Table133[[#This Row],[Survey?]]="","",IFERROR(INDEX([2]Rubric!$G$3:$G$94,MATCH(1,([2]Rubric!$E$3:$E$94=T$2)*([2]Rubric!$F$3:$F$94='[2]Questionnaire Responses'!T315),0)),"MISSING"))</f>
        <v/>
      </c>
      <c r="U314" s="206"/>
      <c r="V314" s="183" t="str">
        <f t="array" ref="V314">IF(Table133[[#This Row],[Survey?]]="","",IFERROR(INDEX([2]Rubric!$G$3:$G$94,MATCH(1,([2]Rubric!$E$3:$E$94=V$2)*([2]Rubric!$F$3:$F$94='[2]Questionnaire Responses'!V315),0)),"MISSING"))</f>
        <v/>
      </c>
      <c r="W314" s="206"/>
      <c r="X314" s="183" t="str">
        <f t="array" ref="X314">IF(Table133[[#This Row],[Survey?]]="","",IFERROR(INDEX([2]Rubric!$G$3:$G$94,MATCH(1,([2]Rubric!$E$3:$E$94=X$2)*([2]Rubric!$F$3:$F$94='[2]Questionnaire Responses'!X315),0)),"MISSING"))</f>
        <v/>
      </c>
      <c r="Y314" s="206"/>
      <c r="Z314" s="183" t="str">
        <f t="array" ref="Z314">IF(Table133[[#This Row],[Survey?]]="","",IFERROR(INDEX([2]Rubric!$G$3:$G$94,MATCH(1,([2]Rubric!$E$3:$E$94=Z$2)*([2]Rubric!$F$3:$F$94='[2]Questionnaire Responses'!Z315),0)),"MISSING"))</f>
        <v/>
      </c>
      <c r="AA314" s="183" t="str">
        <f t="array" ref="AA314">IF(Table133[[#This Row],[Survey?]]="","",IFERROR(INDEX([2]Rubric!$G$3:$G$94,MATCH(1,([2]Rubric!$E$3:$E$94=AA$2)*([2]Rubric!$F$3:$F$94='[2]Questionnaire Responses'!AA315),0)),"MISSING"))</f>
        <v/>
      </c>
      <c r="AB314" s="183" t="str">
        <f t="array" ref="AB314">IF(Table133[[#This Row],[Survey?]]="","",IFERROR(INDEX([2]Rubric!$G$3:$G$94,MATCH(1,([2]Rubric!$E$3:$E$94=AB$2)*([2]Rubric!$F$3:$F$94='[2]Questionnaire Responses'!AB315),0)),"MISSING"))</f>
        <v/>
      </c>
      <c r="AC314" s="206"/>
      <c r="AD314" s="183" t="str">
        <f t="array" ref="AD314">IF(Table133[[#This Row],[Survey?]]="","",IFERROR(INDEX([2]Rubric!$G$3:$G$94,MATCH(1,([2]Rubric!$E$3:$E$94=AD$2)*([2]Rubric!$F$3:$F$94='[2]Questionnaire Responses'!AD315),0)),"MISSING"))</f>
        <v/>
      </c>
      <c r="AE314" s="183" t="str">
        <f t="array" ref="AE314">IF(Table133[[#This Row],[Survey?]]="","",IFERROR(INDEX([2]Rubric!$G$3:$G$94,MATCH(1,([2]Rubric!$E$3:$E$94=AE$2)*([2]Rubric!$F$3:$F$94='[2]Questionnaire Responses'!AE315),0)),"MISSING"))</f>
        <v/>
      </c>
      <c r="AF314" s="206"/>
      <c r="AG314" s="183" t="str">
        <f t="array" ref="AG314">IF(Table133[[#This Row],[Survey?]]="","",IFERROR(INDEX([2]Rubric!$G$3:$G$94,MATCH(1,([2]Rubric!$E$3:$E$94=AG$2)*([2]Rubric!$F$3:$F$94='[2]Questionnaire Responses'!AG315),0)),"MISSING"))</f>
        <v/>
      </c>
    </row>
    <row r="315" spans="1:33" ht="12.75" customHeight="1" x14ac:dyDescent="0.25">
      <c r="A315" s="207">
        <f>'[2]Questionnaire Responses'!A316</f>
        <v>0</v>
      </c>
      <c r="B315" s="198">
        <f>'[2]Questionnaire Responses'!B316</f>
        <v>0</v>
      </c>
      <c r="C315" s="153">
        <f>'[2]Questionnaire Responses'!C316</f>
        <v>0</v>
      </c>
      <c r="D315" s="208"/>
      <c r="E315" s="206"/>
      <c r="F315" s="183" t="str">
        <f t="array" ref="F315">IF(Table133[[#This Row],[Survey?]]="","",IFERROR(INDEX([2]Rubric!$G$3:$G$94,MATCH(1,([2]Rubric!$E$3:$E$94=F$2)*([2]Rubric!$F$3:$F$94='[2]Questionnaire Responses'!F316),0)),"MISSING"))</f>
        <v/>
      </c>
      <c r="G315" s="183" t="str">
        <f t="array" ref="G315">IF(Table133[[#This Row],[Survey?]]="","",IFERROR(INDEX([2]Rubric!$G$3:$G$94,MATCH(1,([2]Rubric!$E$3:$E$94=G$2)*([2]Rubric!$F$3:$F$94='[2]Questionnaire Responses'!G316),0)),"MISSING"))</f>
        <v/>
      </c>
      <c r="H315" s="183" t="str">
        <f t="array" ref="H315">IF(Table133[[#This Row],[Survey?]]="","",IFERROR(INDEX([2]Rubric!$G$3:$G$94,MATCH(1,([2]Rubric!$E$3:$E$94=H$2)*([2]Rubric!$F$3:$F$94='[2]Questionnaire Responses'!H316),0)),"MISSING"))</f>
        <v/>
      </c>
      <c r="I315" s="183" t="str">
        <f t="array" ref="I315">IF(Table133[[#This Row],[Survey?]]="","",IFERROR(INDEX([2]Rubric!$G$3:$G$94,MATCH(1,([2]Rubric!$E$3:$E$94=I$2)*([2]Rubric!$F$3:$F$94='[2]Questionnaire Responses'!I316),0)),"MISSING"))</f>
        <v/>
      </c>
      <c r="J315" s="183" t="str">
        <f t="array" ref="J315">IF(Table133[[#This Row],[Survey?]]="","",IFERROR(INDEX([2]Rubric!$G$3:$G$94,MATCH(1,([2]Rubric!$E$3:$E$94=J$2)*([2]Rubric!$F$3:$F$94='[2]Questionnaire Responses'!J316),0)),"MISSING"))</f>
        <v/>
      </c>
      <c r="K315" s="206"/>
      <c r="L315" s="183" t="str">
        <f t="array" ref="L315">IF(Table133[[#This Row],[Survey?]]="","",IFERROR(INDEX([2]Rubric!$G$3:$G$94,MATCH(1,([2]Rubric!$E$3:$E$94=L$2)*([2]Rubric!$F$3:$F$94='[2]Questionnaire Responses'!L316),0)),"MISSING"))</f>
        <v/>
      </c>
      <c r="M315" s="206"/>
      <c r="N315" s="183" t="str">
        <f t="array" ref="N315">IF(Table133[[#This Row],[Survey?]]="","",IFERROR(INDEX([2]Rubric!$G$3:$G$94,MATCH(1,([2]Rubric!$E$3:$E$94=N$2)*([2]Rubric!$F$3:$F$94='[2]Questionnaire Responses'!N316),0)),"MISSING"))</f>
        <v/>
      </c>
      <c r="O315" s="183" t="str">
        <f t="array" ref="O315">IF(Table133[[#This Row],[Survey?]]="","",IFERROR(INDEX([2]Rubric!$G$3:$G$94,MATCH(1,([2]Rubric!$E$3:$E$94=O$2)*([2]Rubric!$F$3:$F$94='[2]Questionnaire Responses'!O316),0)),"MISSING"))</f>
        <v/>
      </c>
      <c r="P315" s="206"/>
      <c r="Q315" s="183" t="str">
        <f t="array" ref="Q315">IF(Table133[[#This Row],[Survey?]]="","",IFERROR(INDEX([2]Rubric!$G$3:$G$94,MATCH(1,([2]Rubric!$E$3:$E$94=Q$2)*([2]Rubric!$F$3:$F$94='[2]Questionnaire Responses'!Q316),0)),"MISSING"))</f>
        <v/>
      </c>
      <c r="R315" s="183" t="str">
        <f t="array" ref="R315">IF(Table133[[#This Row],[Survey?]]="","",IFERROR(INDEX([2]Rubric!$G$3:$G$94,MATCH(1,([2]Rubric!$E$3:$E$94=R$2)*([2]Rubric!$F$3:$F$94='[2]Questionnaire Responses'!R316),0)),"MISSING"))</f>
        <v/>
      </c>
      <c r="S315" s="183" t="str">
        <f t="array" ref="S315">IF(Table133[[#This Row],[Survey?]]="","",IFERROR(INDEX([2]Rubric!$G$3:$G$94,MATCH(1,([2]Rubric!$E$3:$E$94=S$2)*([2]Rubric!$F$3:$F$94='[2]Questionnaire Responses'!S316),0)),"MISSING"))</f>
        <v/>
      </c>
      <c r="T315" s="183" t="str">
        <f t="array" ref="T315">IF(Table133[[#This Row],[Survey?]]="","",IFERROR(INDEX([2]Rubric!$G$3:$G$94,MATCH(1,([2]Rubric!$E$3:$E$94=T$2)*([2]Rubric!$F$3:$F$94='[2]Questionnaire Responses'!T316),0)),"MISSING"))</f>
        <v/>
      </c>
      <c r="U315" s="206"/>
      <c r="V315" s="183" t="str">
        <f t="array" ref="V315">IF(Table133[[#This Row],[Survey?]]="","",IFERROR(INDEX([2]Rubric!$G$3:$G$94,MATCH(1,([2]Rubric!$E$3:$E$94=V$2)*([2]Rubric!$F$3:$F$94='[2]Questionnaire Responses'!V316),0)),"MISSING"))</f>
        <v/>
      </c>
      <c r="W315" s="206"/>
      <c r="X315" s="183" t="str">
        <f t="array" ref="X315">IF(Table133[[#This Row],[Survey?]]="","",IFERROR(INDEX([2]Rubric!$G$3:$G$94,MATCH(1,([2]Rubric!$E$3:$E$94=X$2)*([2]Rubric!$F$3:$F$94='[2]Questionnaire Responses'!X316),0)),"MISSING"))</f>
        <v/>
      </c>
      <c r="Y315" s="206"/>
      <c r="Z315" s="183" t="str">
        <f t="array" ref="Z315">IF(Table133[[#This Row],[Survey?]]="","",IFERROR(INDEX([2]Rubric!$G$3:$G$94,MATCH(1,([2]Rubric!$E$3:$E$94=Z$2)*([2]Rubric!$F$3:$F$94='[2]Questionnaire Responses'!Z316),0)),"MISSING"))</f>
        <v/>
      </c>
      <c r="AA315" s="183" t="str">
        <f t="array" ref="AA315">IF(Table133[[#This Row],[Survey?]]="","",IFERROR(INDEX([2]Rubric!$G$3:$G$94,MATCH(1,([2]Rubric!$E$3:$E$94=AA$2)*([2]Rubric!$F$3:$F$94='[2]Questionnaire Responses'!AA316),0)),"MISSING"))</f>
        <v/>
      </c>
      <c r="AB315" s="183" t="str">
        <f t="array" ref="AB315">IF(Table133[[#This Row],[Survey?]]="","",IFERROR(INDEX([2]Rubric!$G$3:$G$94,MATCH(1,([2]Rubric!$E$3:$E$94=AB$2)*([2]Rubric!$F$3:$F$94='[2]Questionnaire Responses'!AB316),0)),"MISSING"))</f>
        <v/>
      </c>
      <c r="AC315" s="206"/>
      <c r="AD315" s="183" t="str">
        <f t="array" ref="AD315">IF(Table133[[#This Row],[Survey?]]="","",IFERROR(INDEX([2]Rubric!$G$3:$G$94,MATCH(1,([2]Rubric!$E$3:$E$94=AD$2)*([2]Rubric!$F$3:$F$94='[2]Questionnaire Responses'!AD316),0)),"MISSING"))</f>
        <v/>
      </c>
      <c r="AE315" s="183" t="str">
        <f t="array" ref="AE315">IF(Table133[[#This Row],[Survey?]]="","",IFERROR(INDEX([2]Rubric!$G$3:$G$94,MATCH(1,([2]Rubric!$E$3:$E$94=AE$2)*([2]Rubric!$F$3:$F$94='[2]Questionnaire Responses'!AE316),0)),"MISSING"))</f>
        <v/>
      </c>
      <c r="AF315" s="206"/>
      <c r="AG315" s="183" t="str">
        <f t="array" ref="AG315">IF(Table133[[#This Row],[Survey?]]="","",IFERROR(INDEX([2]Rubric!$G$3:$G$94,MATCH(1,([2]Rubric!$E$3:$E$94=AG$2)*([2]Rubric!$F$3:$F$94='[2]Questionnaire Responses'!AG316),0)),"MISSING"))</f>
        <v/>
      </c>
    </row>
    <row r="316" spans="1:33" ht="12.75" customHeight="1" x14ac:dyDescent="0.25">
      <c r="A316" s="207">
        <f>'[2]Questionnaire Responses'!A317</f>
        <v>0</v>
      </c>
      <c r="B316" s="198">
        <f>'[2]Questionnaire Responses'!B317</f>
        <v>0</v>
      </c>
      <c r="C316" s="153">
        <f>'[2]Questionnaire Responses'!C317</f>
        <v>0</v>
      </c>
      <c r="D316" s="208"/>
      <c r="E316" s="206"/>
      <c r="F316" s="183" t="str">
        <f t="array" ref="F316">IF(Table133[[#This Row],[Survey?]]="","",IFERROR(INDEX([2]Rubric!$G$3:$G$94,MATCH(1,([2]Rubric!$E$3:$E$94=F$2)*([2]Rubric!$F$3:$F$94='[2]Questionnaire Responses'!F317),0)),"MISSING"))</f>
        <v/>
      </c>
      <c r="G316" s="183" t="str">
        <f t="array" ref="G316">IF(Table133[[#This Row],[Survey?]]="","",IFERROR(INDEX([2]Rubric!$G$3:$G$94,MATCH(1,([2]Rubric!$E$3:$E$94=G$2)*([2]Rubric!$F$3:$F$94='[2]Questionnaire Responses'!G317),0)),"MISSING"))</f>
        <v/>
      </c>
      <c r="H316" s="183" t="str">
        <f t="array" ref="H316">IF(Table133[[#This Row],[Survey?]]="","",IFERROR(INDEX([2]Rubric!$G$3:$G$94,MATCH(1,([2]Rubric!$E$3:$E$94=H$2)*([2]Rubric!$F$3:$F$94='[2]Questionnaire Responses'!H317),0)),"MISSING"))</f>
        <v/>
      </c>
      <c r="I316" s="183" t="str">
        <f t="array" ref="I316">IF(Table133[[#This Row],[Survey?]]="","",IFERROR(INDEX([2]Rubric!$G$3:$G$94,MATCH(1,([2]Rubric!$E$3:$E$94=I$2)*([2]Rubric!$F$3:$F$94='[2]Questionnaire Responses'!I317),0)),"MISSING"))</f>
        <v/>
      </c>
      <c r="J316" s="183" t="str">
        <f t="array" ref="J316">IF(Table133[[#This Row],[Survey?]]="","",IFERROR(INDEX([2]Rubric!$G$3:$G$94,MATCH(1,([2]Rubric!$E$3:$E$94=J$2)*([2]Rubric!$F$3:$F$94='[2]Questionnaire Responses'!J317),0)),"MISSING"))</f>
        <v/>
      </c>
      <c r="K316" s="206"/>
      <c r="L316" s="183" t="str">
        <f t="array" ref="L316">IF(Table133[[#This Row],[Survey?]]="","",IFERROR(INDEX([2]Rubric!$G$3:$G$94,MATCH(1,([2]Rubric!$E$3:$E$94=L$2)*([2]Rubric!$F$3:$F$94='[2]Questionnaire Responses'!L317),0)),"MISSING"))</f>
        <v/>
      </c>
      <c r="M316" s="206"/>
      <c r="N316" s="183" t="str">
        <f t="array" ref="N316">IF(Table133[[#This Row],[Survey?]]="","",IFERROR(INDEX([2]Rubric!$G$3:$G$94,MATCH(1,([2]Rubric!$E$3:$E$94=N$2)*([2]Rubric!$F$3:$F$94='[2]Questionnaire Responses'!N317),0)),"MISSING"))</f>
        <v/>
      </c>
      <c r="O316" s="183" t="str">
        <f t="array" ref="O316">IF(Table133[[#This Row],[Survey?]]="","",IFERROR(INDEX([2]Rubric!$G$3:$G$94,MATCH(1,([2]Rubric!$E$3:$E$94=O$2)*([2]Rubric!$F$3:$F$94='[2]Questionnaire Responses'!O317),0)),"MISSING"))</f>
        <v/>
      </c>
      <c r="P316" s="206"/>
      <c r="Q316" s="183" t="str">
        <f t="array" ref="Q316">IF(Table133[[#This Row],[Survey?]]="","",IFERROR(INDEX([2]Rubric!$G$3:$G$94,MATCH(1,([2]Rubric!$E$3:$E$94=Q$2)*([2]Rubric!$F$3:$F$94='[2]Questionnaire Responses'!Q317),0)),"MISSING"))</f>
        <v/>
      </c>
      <c r="R316" s="183" t="str">
        <f t="array" ref="R316">IF(Table133[[#This Row],[Survey?]]="","",IFERROR(INDEX([2]Rubric!$G$3:$G$94,MATCH(1,([2]Rubric!$E$3:$E$94=R$2)*([2]Rubric!$F$3:$F$94='[2]Questionnaire Responses'!R317),0)),"MISSING"))</f>
        <v/>
      </c>
      <c r="S316" s="183" t="str">
        <f t="array" ref="S316">IF(Table133[[#This Row],[Survey?]]="","",IFERROR(INDEX([2]Rubric!$G$3:$G$94,MATCH(1,([2]Rubric!$E$3:$E$94=S$2)*([2]Rubric!$F$3:$F$94='[2]Questionnaire Responses'!S317),0)),"MISSING"))</f>
        <v/>
      </c>
      <c r="T316" s="183" t="str">
        <f t="array" ref="T316">IF(Table133[[#This Row],[Survey?]]="","",IFERROR(INDEX([2]Rubric!$G$3:$G$94,MATCH(1,([2]Rubric!$E$3:$E$94=T$2)*([2]Rubric!$F$3:$F$94='[2]Questionnaire Responses'!T317),0)),"MISSING"))</f>
        <v/>
      </c>
      <c r="U316" s="206"/>
      <c r="V316" s="183" t="str">
        <f t="array" ref="V316">IF(Table133[[#This Row],[Survey?]]="","",IFERROR(INDEX([2]Rubric!$G$3:$G$94,MATCH(1,([2]Rubric!$E$3:$E$94=V$2)*([2]Rubric!$F$3:$F$94='[2]Questionnaire Responses'!V317),0)),"MISSING"))</f>
        <v/>
      </c>
      <c r="W316" s="206"/>
      <c r="X316" s="183" t="str">
        <f t="array" ref="X316">IF(Table133[[#This Row],[Survey?]]="","",IFERROR(INDEX([2]Rubric!$G$3:$G$94,MATCH(1,([2]Rubric!$E$3:$E$94=X$2)*([2]Rubric!$F$3:$F$94='[2]Questionnaire Responses'!X317),0)),"MISSING"))</f>
        <v/>
      </c>
      <c r="Y316" s="206"/>
      <c r="Z316" s="183" t="str">
        <f t="array" ref="Z316">IF(Table133[[#This Row],[Survey?]]="","",IFERROR(INDEX([2]Rubric!$G$3:$G$94,MATCH(1,([2]Rubric!$E$3:$E$94=Z$2)*([2]Rubric!$F$3:$F$94='[2]Questionnaire Responses'!Z317),0)),"MISSING"))</f>
        <v/>
      </c>
      <c r="AA316" s="183" t="str">
        <f t="array" ref="AA316">IF(Table133[[#This Row],[Survey?]]="","",IFERROR(INDEX([2]Rubric!$G$3:$G$94,MATCH(1,([2]Rubric!$E$3:$E$94=AA$2)*([2]Rubric!$F$3:$F$94='[2]Questionnaire Responses'!AA317),0)),"MISSING"))</f>
        <v/>
      </c>
      <c r="AB316" s="183" t="str">
        <f t="array" ref="AB316">IF(Table133[[#This Row],[Survey?]]="","",IFERROR(INDEX([2]Rubric!$G$3:$G$94,MATCH(1,([2]Rubric!$E$3:$E$94=AB$2)*([2]Rubric!$F$3:$F$94='[2]Questionnaire Responses'!AB317),0)),"MISSING"))</f>
        <v/>
      </c>
      <c r="AC316" s="206"/>
      <c r="AD316" s="183" t="str">
        <f t="array" ref="AD316">IF(Table133[[#This Row],[Survey?]]="","",IFERROR(INDEX([2]Rubric!$G$3:$G$94,MATCH(1,([2]Rubric!$E$3:$E$94=AD$2)*([2]Rubric!$F$3:$F$94='[2]Questionnaire Responses'!AD317),0)),"MISSING"))</f>
        <v/>
      </c>
      <c r="AE316" s="183" t="str">
        <f t="array" ref="AE316">IF(Table133[[#This Row],[Survey?]]="","",IFERROR(INDEX([2]Rubric!$G$3:$G$94,MATCH(1,([2]Rubric!$E$3:$E$94=AE$2)*([2]Rubric!$F$3:$F$94='[2]Questionnaire Responses'!AE317),0)),"MISSING"))</f>
        <v/>
      </c>
      <c r="AF316" s="206"/>
      <c r="AG316" s="183" t="str">
        <f t="array" ref="AG316">IF(Table133[[#This Row],[Survey?]]="","",IFERROR(INDEX([2]Rubric!$G$3:$G$94,MATCH(1,([2]Rubric!$E$3:$E$94=AG$2)*([2]Rubric!$F$3:$F$94='[2]Questionnaire Responses'!AG317),0)),"MISSING"))</f>
        <v/>
      </c>
    </row>
    <row r="317" spans="1:33" ht="12.75" customHeight="1" x14ac:dyDescent="0.25">
      <c r="A317" s="207">
        <f>'[2]Questionnaire Responses'!A318</f>
        <v>0</v>
      </c>
      <c r="B317" s="198">
        <f>'[2]Questionnaire Responses'!B318</f>
        <v>0</v>
      </c>
      <c r="C317" s="153">
        <f>'[2]Questionnaire Responses'!C318</f>
        <v>0</v>
      </c>
      <c r="D317" s="208"/>
      <c r="E317" s="206"/>
      <c r="F317" s="183" t="str">
        <f t="array" ref="F317">IF(Table133[[#This Row],[Survey?]]="","",IFERROR(INDEX([2]Rubric!$G$3:$G$94,MATCH(1,([2]Rubric!$E$3:$E$94=F$2)*([2]Rubric!$F$3:$F$94='[2]Questionnaire Responses'!F318),0)),"MISSING"))</f>
        <v/>
      </c>
      <c r="G317" s="183" t="str">
        <f t="array" ref="G317">IF(Table133[[#This Row],[Survey?]]="","",IFERROR(INDEX([2]Rubric!$G$3:$G$94,MATCH(1,([2]Rubric!$E$3:$E$94=G$2)*([2]Rubric!$F$3:$F$94='[2]Questionnaire Responses'!G318),0)),"MISSING"))</f>
        <v/>
      </c>
      <c r="H317" s="183" t="str">
        <f t="array" ref="H317">IF(Table133[[#This Row],[Survey?]]="","",IFERROR(INDEX([2]Rubric!$G$3:$G$94,MATCH(1,([2]Rubric!$E$3:$E$94=H$2)*([2]Rubric!$F$3:$F$94='[2]Questionnaire Responses'!H318),0)),"MISSING"))</f>
        <v/>
      </c>
      <c r="I317" s="183" t="str">
        <f t="array" ref="I317">IF(Table133[[#This Row],[Survey?]]="","",IFERROR(INDEX([2]Rubric!$G$3:$G$94,MATCH(1,([2]Rubric!$E$3:$E$94=I$2)*([2]Rubric!$F$3:$F$94='[2]Questionnaire Responses'!I318),0)),"MISSING"))</f>
        <v/>
      </c>
      <c r="J317" s="183" t="str">
        <f t="array" ref="J317">IF(Table133[[#This Row],[Survey?]]="","",IFERROR(INDEX([2]Rubric!$G$3:$G$94,MATCH(1,([2]Rubric!$E$3:$E$94=J$2)*([2]Rubric!$F$3:$F$94='[2]Questionnaire Responses'!J318),0)),"MISSING"))</f>
        <v/>
      </c>
      <c r="K317" s="206"/>
      <c r="L317" s="183" t="str">
        <f t="array" ref="L317">IF(Table133[[#This Row],[Survey?]]="","",IFERROR(INDEX([2]Rubric!$G$3:$G$94,MATCH(1,([2]Rubric!$E$3:$E$94=L$2)*([2]Rubric!$F$3:$F$94='[2]Questionnaire Responses'!L318),0)),"MISSING"))</f>
        <v/>
      </c>
      <c r="M317" s="206"/>
      <c r="N317" s="183" t="str">
        <f t="array" ref="N317">IF(Table133[[#This Row],[Survey?]]="","",IFERROR(INDEX([2]Rubric!$G$3:$G$94,MATCH(1,([2]Rubric!$E$3:$E$94=N$2)*([2]Rubric!$F$3:$F$94='[2]Questionnaire Responses'!N318),0)),"MISSING"))</f>
        <v/>
      </c>
      <c r="O317" s="183" t="str">
        <f t="array" ref="O317">IF(Table133[[#This Row],[Survey?]]="","",IFERROR(INDEX([2]Rubric!$G$3:$G$94,MATCH(1,([2]Rubric!$E$3:$E$94=O$2)*([2]Rubric!$F$3:$F$94='[2]Questionnaire Responses'!O318),0)),"MISSING"))</f>
        <v/>
      </c>
      <c r="P317" s="206"/>
      <c r="Q317" s="183" t="str">
        <f t="array" ref="Q317">IF(Table133[[#This Row],[Survey?]]="","",IFERROR(INDEX([2]Rubric!$G$3:$G$94,MATCH(1,([2]Rubric!$E$3:$E$94=Q$2)*([2]Rubric!$F$3:$F$94='[2]Questionnaire Responses'!Q318),0)),"MISSING"))</f>
        <v/>
      </c>
      <c r="R317" s="183" t="str">
        <f t="array" ref="R317">IF(Table133[[#This Row],[Survey?]]="","",IFERROR(INDEX([2]Rubric!$G$3:$G$94,MATCH(1,([2]Rubric!$E$3:$E$94=R$2)*([2]Rubric!$F$3:$F$94='[2]Questionnaire Responses'!R318),0)),"MISSING"))</f>
        <v/>
      </c>
      <c r="S317" s="183" t="str">
        <f t="array" ref="S317">IF(Table133[[#This Row],[Survey?]]="","",IFERROR(INDEX([2]Rubric!$G$3:$G$94,MATCH(1,([2]Rubric!$E$3:$E$94=S$2)*([2]Rubric!$F$3:$F$94='[2]Questionnaire Responses'!S318),0)),"MISSING"))</f>
        <v/>
      </c>
      <c r="T317" s="183" t="str">
        <f t="array" ref="T317">IF(Table133[[#This Row],[Survey?]]="","",IFERROR(INDEX([2]Rubric!$G$3:$G$94,MATCH(1,([2]Rubric!$E$3:$E$94=T$2)*([2]Rubric!$F$3:$F$94='[2]Questionnaire Responses'!T318),0)),"MISSING"))</f>
        <v/>
      </c>
      <c r="U317" s="206"/>
      <c r="V317" s="183" t="str">
        <f t="array" ref="V317">IF(Table133[[#This Row],[Survey?]]="","",IFERROR(INDEX([2]Rubric!$G$3:$G$94,MATCH(1,([2]Rubric!$E$3:$E$94=V$2)*([2]Rubric!$F$3:$F$94='[2]Questionnaire Responses'!V318),0)),"MISSING"))</f>
        <v/>
      </c>
      <c r="W317" s="206"/>
      <c r="X317" s="183" t="str">
        <f t="array" ref="X317">IF(Table133[[#This Row],[Survey?]]="","",IFERROR(INDEX([2]Rubric!$G$3:$G$94,MATCH(1,([2]Rubric!$E$3:$E$94=X$2)*([2]Rubric!$F$3:$F$94='[2]Questionnaire Responses'!X318),0)),"MISSING"))</f>
        <v/>
      </c>
      <c r="Y317" s="206"/>
      <c r="Z317" s="183" t="str">
        <f t="array" ref="Z317">IF(Table133[[#This Row],[Survey?]]="","",IFERROR(INDEX([2]Rubric!$G$3:$G$94,MATCH(1,([2]Rubric!$E$3:$E$94=Z$2)*([2]Rubric!$F$3:$F$94='[2]Questionnaire Responses'!Z318),0)),"MISSING"))</f>
        <v/>
      </c>
      <c r="AA317" s="183" t="str">
        <f t="array" ref="AA317">IF(Table133[[#This Row],[Survey?]]="","",IFERROR(INDEX([2]Rubric!$G$3:$G$94,MATCH(1,([2]Rubric!$E$3:$E$94=AA$2)*([2]Rubric!$F$3:$F$94='[2]Questionnaire Responses'!AA318),0)),"MISSING"))</f>
        <v/>
      </c>
      <c r="AB317" s="183" t="str">
        <f t="array" ref="AB317">IF(Table133[[#This Row],[Survey?]]="","",IFERROR(INDEX([2]Rubric!$G$3:$G$94,MATCH(1,([2]Rubric!$E$3:$E$94=AB$2)*([2]Rubric!$F$3:$F$94='[2]Questionnaire Responses'!AB318),0)),"MISSING"))</f>
        <v/>
      </c>
      <c r="AC317" s="206"/>
      <c r="AD317" s="183" t="str">
        <f t="array" ref="AD317">IF(Table133[[#This Row],[Survey?]]="","",IFERROR(INDEX([2]Rubric!$G$3:$G$94,MATCH(1,([2]Rubric!$E$3:$E$94=AD$2)*([2]Rubric!$F$3:$F$94='[2]Questionnaire Responses'!AD318),0)),"MISSING"))</f>
        <v/>
      </c>
      <c r="AE317" s="183" t="str">
        <f t="array" ref="AE317">IF(Table133[[#This Row],[Survey?]]="","",IFERROR(INDEX([2]Rubric!$G$3:$G$94,MATCH(1,([2]Rubric!$E$3:$E$94=AE$2)*([2]Rubric!$F$3:$F$94='[2]Questionnaire Responses'!AE318),0)),"MISSING"))</f>
        <v/>
      </c>
      <c r="AF317" s="206"/>
      <c r="AG317" s="183" t="str">
        <f t="array" ref="AG317">IF(Table133[[#This Row],[Survey?]]="","",IFERROR(INDEX([2]Rubric!$G$3:$G$94,MATCH(1,([2]Rubric!$E$3:$E$94=AG$2)*([2]Rubric!$F$3:$F$94='[2]Questionnaire Responses'!AG318),0)),"MISSING"))</f>
        <v/>
      </c>
    </row>
    <row r="318" spans="1:33" ht="12.75" customHeight="1" x14ac:dyDescent="0.25">
      <c r="A318" s="207">
        <f>'[2]Questionnaire Responses'!A319</f>
        <v>0</v>
      </c>
      <c r="B318" s="198">
        <f>'[2]Questionnaire Responses'!B319</f>
        <v>0</v>
      </c>
      <c r="C318" s="153">
        <f>'[2]Questionnaire Responses'!C319</f>
        <v>0</v>
      </c>
      <c r="D318" s="208"/>
      <c r="E318" s="206"/>
      <c r="F318" s="183" t="str">
        <f t="array" ref="F318">IF(Table133[[#This Row],[Survey?]]="","",IFERROR(INDEX([2]Rubric!$G$3:$G$94,MATCH(1,([2]Rubric!$E$3:$E$94=F$2)*([2]Rubric!$F$3:$F$94='[2]Questionnaire Responses'!F319),0)),"MISSING"))</f>
        <v/>
      </c>
      <c r="G318" s="183" t="str">
        <f t="array" ref="G318">IF(Table133[[#This Row],[Survey?]]="","",IFERROR(INDEX([2]Rubric!$G$3:$G$94,MATCH(1,([2]Rubric!$E$3:$E$94=G$2)*([2]Rubric!$F$3:$F$94='[2]Questionnaire Responses'!G319),0)),"MISSING"))</f>
        <v/>
      </c>
      <c r="H318" s="183" t="str">
        <f t="array" ref="H318">IF(Table133[[#This Row],[Survey?]]="","",IFERROR(INDEX([2]Rubric!$G$3:$G$94,MATCH(1,([2]Rubric!$E$3:$E$94=H$2)*([2]Rubric!$F$3:$F$94='[2]Questionnaire Responses'!H319),0)),"MISSING"))</f>
        <v/>
      </c>
      <c r="I318" s="183" t="str">
        <f t="array" ref="I318">IF(Table133[[#This Row],[Survey?]]="","",IFERROR(INDEX([2]Rubric!$G$3:$G$94,MATCH(1,([2]Rubric!$E$3:$E$94=I$2)*([2]Rubric!$F$3:$F$94='[2]Questionnaire Responses'!I319),0)),"MISSING"))</f>
        <v/>
      </c>
      <c r="J318" s="183" t="str">
        <f t="array" ref="J318">IF(Table133[[#This Row],[Survey?]]="","",IFERROR(INDEX([2]Rubric!$G$3:$G$94,MATCH(1,([2]Rubric!$E$3:$E$94=J$2)*([2]Rubric!$F$3:$F$94='[2]Questionnaire Responses'!J319),0)),"MISSING"))</f>
        <v/>
      </c>
      <c r="K318" s="206"/>
      <c r="L318" s="183" t="str">
        <f t="array" ref="L318">IF(Table133[[#This Row],[Survey?]]="","",IFERROR(INDEX([2]Rubric!$G$3:$G$94,MATCH(1,([2]Rubric!$E$3:$E$94=L$2)*([2]Rubric!$F$3:$F$94='[2]Questionnaire Responses'!L319),0)),"MISSING"))</f>
        <v/>
      </c>
      <c r="M318" s="206"/>
      <c r="N318" s="183" t="str">
        <f t="array" ref="N318">IF(Table133[[#This Row],[Survey?]]="","",IFERROR(INDEX([2]Rubric!$G$3:$G$94,MATCH(1,([2]Rubric!$E$3:$E$94=N$2)*([2]Rubric!$F$3:$F$94='[2]Questionnaire Responses'!N319),0)),"MISSING"))</f>
        <v/>
      </c>
      <c r="O318" s="183" t="str">
        <f t="array" ref="O318">IF(Table133[[#This Row],[Survey?]]="","",IFERROR(INDEX([2]Rubric!$G$3:$G$94,MATCH(1,([2]Rubric!$E$3:$E$94=O$2)*([2]Rubric!$F$3:$F$94='[2]Questionnaire Responses'!O319),0)),"MISSING"))</f>
        <v/>
      </c>
      <c r="P318" s="206"/>
      <c r="Q318" s="183" t="str">
        <f t="array" ref="Q318">IF(Table133[[#This Row],[Survey?]]="","",IFERROR(INDEX([2]Rubric!$G$3:$G$94,MATCH(1,([2]Rubric!$E$3:$E$94=Q$2)*([2]Rubric!$F$3:$F$94='[2]Questionnaire Responses'!Q319),0)),"MISSING"))</f>
        <v/>
      </c>
      <c r="R318" s="183" t="str">
        <f t="array" ref="R318">IF(Table133[[#This Row],[Survey?]]="","",IFERROR(INDEX([2]Rubric!$G$3:$G$94,MATCH(1,([2]Rubric!$E$3:$E$94=R$2)*([2]Rubric!$F$3:$F$94='[2]Questionnaire Responses'!R319),0)),"MISSING"))</f>
        <v/>
      </c>
      <c r="S318" s="183" t="str">
        <f t="array" ref="S318">IF(Table133[[#This Row],[Survey?]]="","",IFERROR(INDEX([2]Rubric!$G$3:$G$94,MATCH(1,([2]Rubric!$E$3:$E$94=S$2)*([2]Rubric!$F$3:$F$94='[2]Questionnaire Responses'!S319),0)),"MISSING"))</f>
        <v/>
      </c>
      <c r="T318" s="183" t="str">
        <f t="array" ref="T318">IF(Table133[[#This Row],[Survey?]]="","",IFERROR(INDEX([2]Rubric!$G$3:$G$94,MATCH(1,([2]Rubric!$E$3:$E$94=T$2)*([2]Rubric!$F$3:$F$94='[2]Questionnaire Responses'!T319),0)),"MISSING"))</f>
        <v/>
      </c>
      <c r="U318" s="206"/>
      <c r="V318" s="183" t="str">
        <f t="array" ref="V318">IF(Table133[[#This Row],[Survey?]]="","",IFERROR(INDEX([2]Rubric!$G$3:$G$94,MATCH(1,([2]Rubric!$E$3:$E$94=V$2)*([2]Rubric!$F$3:$F$94='[2]Questionnaire Responses'!V319),0)),"MISSING"))</f>
        <v/>
      </c>
      <c r="W318" s="206"/>
      <c r="X318" s="183" t="str">
        <f t="array" ref="X318">IF(Table133[[#This Row],[Survey?]]="","",IFERROR(INDEX([2]Rubric!$G$3:$G$94,MATCH(1,([2]Rubric!$E$3:$E$94=X$2)*([2]Rubric!$F$3:$F$94='[2]Questionnaire Responses'!X319),0)),"MISSING"))</f>
        <v/>
      </c>
      <c r="Y318" s="206"/>
      <c r="Z318" s="183" t="str">
        <f t="array" ref="Z318">IF(Table133[[#This Row],[Survey?]]="","",IFERROR(INDEX([2]Rubric!$G$3:$G$94,MATCH(1,([2]Rubric!$E$3:$E$94=Z$2)*([2]Rubric!$F$3:$F$94='[2]Questionnaire Responses'!Z319),0)),"MISSING"))</f>
        <v/>
      </c>
      <c r="AA318" s="183" t="str">
        <f t="array" ref="AA318">IF(Table133[[#This Row],[Survey?]]="","",IFERROR(INDEX([2]Rubric!$G$3:$G$94,MATCH(1,([2]Rubric!$E$3:$E$94=AA$2)*([2]Rubric!$F$3:$F$94='[2]Questionnaire Responses'!AA319),0)),"MISSING"))</f>
        <v/>
      </c>
      <c r="AB318" s="183" t="str">
        <f t="array" ref="AB318">IF(Table133[[#This Row],[Survey?]]="","",IFERROR(INDEX([2]Rubric!$G$3:$G$94,MATCH(1,([2]Rubric!$E$3:$E$94=AB$2)*([2]Rubric!$F$3:$F$94='[2]Questionnaire Responses'!AB319),0)),"MISSING"))</f>
        <v/>
      </c>
      <c r="AC318" s="206"/>
      <c r="AD318" s="183" t="str">
        <f t="array" ref="AD318">IF(Table133[[#This Row],[Survey?]]="","",IFERROR(INDEX([2]Rubric!$G$3:$G$94,MATCH(1,([2]Rubric!$E$3:$E$94=AD$2)*([2]Rubric!$F$3:$F$94='[2]Questionnaire Responses'!AD319),0)),"MISSING"))</f>
        <v/>
      </c>
      <c r="AE318" s="183" t="str">
        <f t="array" ref="AE318">IF(Table133[[#This Row],[Survey?]]="","",IFERROR(INDEX([2]Rubric!$G$3:$G$94,MATCH(1,([2]Rubric!$E$3:$E$94=AE$2)*([2]Rubric!$F$3:$F$94='[2]Questionnaire Responses'!AE319),0)),"MISSING"))</f>
        <v/>
      </c>
      <c r="AF318" s="206"/>
      <c r="AG318" s="183" t="str">
        <f t="array" ref="AG318">IF(Table133[[#This Row],[Survey?]]="","",IFERROR(INDEX([2]Rubric!$G$3:$G$94,MATCH(1,([2]Rubric!$E$3:$E$94=AG$2)*([2]Rubric!$F$3:$F$94='[2]Questionnaire Responses'!AG319),0)),"MISSING"))</f>
        <v/>
      </c>
    </row>
    <row r="319" spans="1:33" ht="12.75" customHeight="1" x14ac:dyDescent="0.25">
      <c r="A319" s="207">
        <f>'[2]Questionnaire Responses'!A320</f>
        <v>0</v>
      </c>
      <c r="B319" s="198">
        <f>'[2]Questionnaire Responses'!B320</f>
        <v>0</v>
      </c>
      <c r="C319" s="153">
        <f>'[2]Questionnaire Responses'!C320</f>
        <v>0</v>
      </c>
      <c r="D319" s="208"/>
      <c r="E319" s="206"/>
      <c r="F319" s="183" t="str">
        <f t="array" ref="F319">IF(Table133[[#This Row],[Survey?]]="","",IFERROR(INDEX([2]Rubric!$G$3:$G$94,MATCH(1,([2]Rubric!$E$3:$E$94=F$2)*([2]Rubric!$F$3:$F$94='[2]Questionnaire Responses'!F320),0)),"MISSING"))</f>
        <v/>
      </c>
      <c r="G319" s="183" t="str">
        <f t="array" ref="G319">IF(Table133[[#This Row],[Survey?]]="","",IFERROR(INDEX([2]Rubric!$G$3:$G$94,MATCH(1,([2]Rubric!$E$3:$E$94=G$2)*([2]Rubric!$F$3:$F$94='[2]Questionnaire Responses'!G320),0)),"MISSING"))</f>
        <v/>
      </c>
      <c r="H319" s="183" t="str">
        <f t="array" ref="H319">IF(Table133[[#This Row],[Survey?]]="","",IFERROR(INDEX([2]Rubric!$G$3:$G$94,MATCH(1,([2]Rubric!$E$3:$E$94=H$2)*([2]Rubric!$F$3:$F$94='[2]Questionnaire Responses'!H320),0)),"MISSING"))</f>
        <v/>
      </c>
      <c r="I319" s="183" t="str">
        <f t="array" ref="I319">IF(Table133[[#This Row],[Survey?]]="","",IFERROR(INDEX([2]Rubric!$G$3:$G$94,MATCH(1,([2]Rubric!$E$3:$E$94=I$2)*([2]Rubric!$F$3:$F$94='[2]Questionnaire Responses'!I320),0)),"MISSING"))</f>
        <v/>
      </c>
      <c r="J319" s="183" t="str">
        <f t="array" ref="J319">IF(Table133[[#This Row],[Survey?]]="","",IFERROR(INDEX([2]Rubric!$G$3:$G$94,MATCH(1,([2]Rubric!$E$3:$E$94=J$2)*([2]Rubric!$F$3:$F$94='[2]Questionnaire Responses'!J320),0)),"MISSING"))</f>
        <v/>
      </c>
      <c r="K319" s="206"/>
      <c r="L319" s="183" t="str">
        <f t="array" ref="L319">IF(Table133[[#This Row],[Survey?]]="","",IFERROR(INDEX([2]Rubric!$G$3:$G$94,MATCH(1,([2]Rubric!$E$3:$E$94=L$2)*([2]Rubric!$F$3:$F$94='[2]Questionnaire Responses'!L320),0)),"MISSING"))</f>
        <v/>
      </c>
      <c r="M319" s="206"/>
      <c r="N319" s="183" t="str">
        <f t="array" ref="N319">IF(Table133[[#This Row],[Survey?]]="","",IFERROR(INDEX([2]Rubric!$G$3:$G$94,MATCH(1,([2]Rubric!$E$3:$E$94=N$2)*([2]Rubric!$F$3:$F$94='[2]Questionnaire Responses'!N320),0)),"MISSING"))</f>
        <v/>
      </c>
      <c r="O319" s="183" t="str">
        <f t="array" ref="O319">IF(Table133[[#This Row],[Survey?]]="","",IFERROR(INDEX([2]Rubric!$G$3:$G$94,MATCH(1,([2]Rubric!$E$3:$E$94=O$2)*([2]Rubric!$F$3:$F$94='[2]Questionnaire Responses'!O320),0)),"MISSING"))</f>
        <v/>
      </c>
      <c r="P319" s="206"/>
      <c r="Q319" s="183" t="str">
        <f t="array" ref="Q319">IF(Table133[[#This Row],[Survey?]]="","",IFERROR(INDEX([2]Rubric!$G$3:$G$94,MATCH(1,([2]Rubric!$E$3:$E$94=Q$2)*([2]Rubric!$F$3:$F$94='[2]Questionnaire Responses'!Q320),0)),"MISSING"))</f>
        <v/>
      </c>
      <c r="R319" s="183" t="str">
        <f t="array" ref="R319">IF(Table133[[#This Row],[Survey?]]="","",IFERROR(INDEX([2]Rubric!$G$3:$G$94,MATCH(1,([2]Rubric!$E$3:$E$94=R$2)*([2]Rubric!$F$3:$F$94='[2]Questionnaire Responses'!R320),0)),"MISSING"))</f>
        <v/>
      </c>
      <c r="S319" s="183" t="str">
        <f t="array" ref="S319">IF(Table133[[#This Row],[Survey?]]="","",IFERROR(INDEX([2]Rubric!$G$3:$G$94,MATCH(1,([2]Rubric!$E$3:$E$94=S$2)*([2]Rubric!$F$3:$F$94='[2]Questionnaire Responses'!S320),0)),"MISSING"))</f>
        <v/>
      </c>
      <c r="T319" s="183" t="str">
        <f t="array" ref="T319">IF(Table133[[#This Row],[Survey?]]="","",IFERROR(INDEX([2]Rubric!$G$3:$G$94,MATCH(1,([2]Rubric!$E$3:$E$94=T$2)*([2]Rubric!$F$3:$F$94='[2]Questionnaire Responses'!T320),0)),"MISSING"))</f>
        <v/>
      </c>
      <c r="U319" s="206"/>
      <c r="V319" s="183" t="str">
        <f t="array" ref="V319">IF(Table133[[#This Row],[Survey?]]="","",IFERROR(INDEX([2]Rubric!$G$3:$G$94,MATCH(1,([2]Rubric!$E$3:$E$94=V$2)*([2]Rubric!$F$3:$F$94='[2]Questionnaire Responses'!V320),0)),"MISSING"))</f>
        <v/>
      </c>
      <c r="W319" s="206"/>
      <c r="X319" s="183" t="str">
        <f t="array" ref="X319">IF(Table133[[#This Row],[Survey?]]="","",IFERROR(INDEX([2]Rubric!$G$3:$G$94,MATCH(1,([2]Rubric!$E$3:$E$94=X$2)*([2]Rubric!$F$3:$F$94='[2]Questionnaire Responses'!X320),0)),"MISSING"))</f>
        <v/>
      </c>
      <c r="Y319" s="206"/>
      <c r="Z319" s="183" t="str">
        <f t="array" ref="Z319">IF(Table133[[#This Row],[Survey?]]="","",IFERROR(INDEX([2]Rubric!$G$3:$G$94,MATCH(1,([2]Rubric!$E$3:$E$94=Z$2)*([2]Rubric!$F$3:$F$94='[2]Questionnaire Responses'!Z320),0)),"MISSING"))</f>
        <v/>
      </c>
      <c r="AA319" s="183" t="str">
        <f t="array" ref="AA319">IF(Table133[[#This Row],[Survey?]]="","",IFERROR(INDEX([2]Rubric!$G$3:$G$94,MATCH(1,([2]Rubric!$E$3:$E$94=AA$2)*([2]Rubric!$F$3:$F$94='[2]Questionnaire Responses'!AA320),0)),"MISSING"))</f>
        <v/>
      </c>
      <c r="AB319" s="183" t="str">
        <f t="array" ref="AB319">IF(Table133[[#This Row],[Survey?]]="","",IFERROR(INDEX([2]Rubric!$G$3:$G$94,MATCH(1,([2]Rubric!$E$3:$E$94=AB$2)*([2]Rubric!$F$3:$F$94='[2]Questionnaire Responses'!AB320),0)),"MISSING"))</f>
        <v/>
      </c>
      <c r="AC319" s="206"/>
      <c r="AD319" s="183" t="str">
        <f t="array" ref="AD319">IF(Table133[[#This Row],[Survey?]]="","",IFERROR(INDEX([2]Rubric!$G$3:$G$94,MATCH(1,([2]Rubric!$E$3:$E$94=AD$2)*([2]Rubric!$F$3:$F$94='[2]Questionnaire Responses'!AD320),0)),"MISSING"))</f>
        <v/>
      </c>
      <c r="AE319" s="183" t="str">
        <f t="array" ref="AE319">IF(Table133[[#This Row],[Survey?]]="","",IFERROR(INDEX([2]Rubric!$G$3:$G$94,MATCH(1,([2]Rubric!$E$3:$E$94=AE$2)*([2]Rubric!$F$3:$F$94='[2]Questionnaire Responses'!AE320),0)),"MISSING"))</f>
        <v/>
      </c>
      <c r="AF319" s="206"/>
      <c r="AG319" s="183" t="str">
        <f t="array" ref="AG319">IF(Table133[[#This Row],[Survey?]]="","",IFERROR(INDEX([2]Rubric!$G$3:$G$94,MATCH(1,([2]Rubric!$E$3:$E$94=AG$2)*([2]Rubric!$F$3:$F$94='[2]Questionnaire Responses'!AG320),0)),"MISSING"))</f>
        <v/>
      </c>
    </row>
    <row r="320" spans="1:33" ht="12.75" customHeight="1" x14ac:dyDescent="0.25">
      <c r="A320" s="207">
        <f>'[2]Questionnaire Responses'!A321</f>
        <v>0</v>
      </c>
      <c r="B320" s="198">
        <f>'[2]Questionnaire Responses'!B321</f>
        <v>0</v>
      </c>
      <c r="C320" s="153">
        <f>'[2]Questionnaire Responses'!C321</f>
        <v>0</v>
      </c>
      <c r="D320" s="208"/>
      <c r="E320" s="206"/>
      <c r="F320" s="183" t="str">
        <f t="array" ref="F320">IF(Table133[[#This Row],[Survey?]]="","",IFERROR(INDEX([2]Rubric!$G$3:$G$94,MATCH(1,([2]Rubric!$E$3:$E$94=F$2)*([2]Rubric!$F$3:$F$94='[2]Questionnaire Responses'!F321),0)),"MISSING"))</f>
        <v/>
      </c>
      <c r="G320" s="183" t="str">
        <f t="array" ref="G320">IF(Table133[[#This Row],[Survey?]]="","",IFERROR(INDEX([2]Rubric!$G$3:$G$94,MATCH(1,([2]Rubric!$E$3:$E$94=G$2)*([2]Rubric!$F$3:$F$94='[2]Questionnaire Responses'!G321),0)),"MISSING"))</f>
        <v/>
      </c>
      <c r="H320" s="183" t="str">
        <f t="array" ref="H320">IF(Table133[[#This Row],[Survey?]]="","",IFERROR(INDEX([2]Rubric!$G$3:$G$94,MATCH(1,([2]Rubric!$E$3:$E$94=H$2)*([2]Rubric!$F$3:$F$94='[2]Questionnaire Responses'!H321),0)),"MISSING"))</f>
        <v/>
      </c>
      <c r="I320" s="183" t="str">
        <f t="array" ref="I320">IF(Table133[[#This Row],[Survey?]]="","",IFERROR(INDEX([2]Rubric!$G$3:$G$94,MATCH(1,([2]Rubric!$E$3:$E$94=I$2)*([2]Rubric!$F$3:$F$94='[2]Questionnaire Responses'!I321),0)),"MISSING"))</f>
        <v/>
      </c>
      <c r="J320" s="183" t="str">
        <f t="array" ref="J320">IF(Table133[[#This Row],[Survey?]]="","",IFERROR(INDEX([2]Rubric!$G$3:$G$94,MATCH(1,([2]Rubric!$E$3:$E$94=J$2)*([2]Rubric!$F$3:$F$94='[2]Questionnaire Responses'!J321),0)),"MISSING"))</f>
        <v/>
      </c>
      <c r="K320" s="206"/>
      <c r="L320" s="183" t="str">
        <f t="array" ref="L320">IF(Table133[[#This Row],[Survey?]]="","",IFERROR(INDEX([2]Rubric!$G$3:$G$94,MATCH(1,([2]Rubric!$E$3:$E$94=L$2)*([2]Rubric!$F$3:$F$94='[2]Questionnaire Responses'!L321),0)),"MISSING"))</f>
        <v/>
      </c>
      <c r="M320" s="206"/>
      <c r="N320" s="183" t="str">
        <f t="array" ref="N320">IF(Table133[[#This Row],[Survey?]]="","",IFERROR(INDEX([2]Rubric!$G$3:$G$94,MATCH(1,([2]Rubric!$E$3:$E$94=N$2)*([2]Rubric!$F$3:$F$94='[2]Questionnaire Responses'!N321),0)),"MISSING"))</f>
        <v/>
      </c>
      <c r="O320" s="183" t="str">
        <f t="array" ref="O320">IF(Table133[[#This Row],[Survey?]]="","",IFERROR(INDEX([2]Rubric!$G$3:$G$94,MATCH(1,([2]Rubric!$E$3:$E$94=O$2)*([2]Rubric!$F$3:$F$94='[2]Questionnaire Responses'!O321),0)),"MISSING"))</f>
        <v/>
      </c>
      <c r="P320" s="206"/>
      <c r="Q320" s="183" t="str">
        <f t="array" ref="Q320">IF(Table133[[#This Row],[Survey?]]="","",IFERROR(INDEX([2]Rubric!$G$3:$G$94,MATCH(1,([2]Rubric!$E$3:$E$94=Q$2)*([2]Rubric!$F$3:$F$94='[2]Questionnaire Responses'!Q321),0)),"MISSING"))</f>
        <v/>
      </c>
      <c r="R320" s="183" t="str">
        <f t="array" ref="R320">IF(Table133[[#This Row],[Survey?]]="","",IFERROR(INDEX([2]Rubric!$G$3:$G$94,MATCH(1,([2]Rubric!$E$3:$E$94=R$2)*([2]Rubric!$F$3:$F$94='[2]Questionnaire Responses'!R321),0)),"MISSING"))</f>
        <v/>
      </c>
      <c r="S320" s="183" t="str">
        <f t="array" ref="S320">IF(Table133[[#This Row],[Survey?]]="","",IFERROR(INDEX([2]Rubric!$G$3:$G$94,MATCH(1,([2]Rubric!$E$3:$E$94=S$2)*([2]Rubric!$F$3:$F$94='[2]Questionnaire Responses'!S321),0)),"MISSING"))</f>
        <v/>
      </c>
      <c r="T320" s="183" t="str">
        <f t="array" ref="T320">IF(Table133[[#This Row],[Survey?]]="","",IFERROR(INDEX([2]Rubric!$G$3:$G$94,MATCH(1,([2]Rubric!$E$3:$E$94=T$2)*([2]Rubric!$F$3:$F$94='[2]Questionnaire Responses'!T321),0)),"MISSING"))</f>
        <v/>
      </c>
      <c r="U320" s="206"/>
      <c r="V320" s="183" t="str">
        <f t="array" ref="V320">IF(Table133[[#This Row],[Survey?]]="","",IFERROR(INDEX([2]Rubric!$G$3:$G$94,MATCH(1,([2]Rubric!$E$3:$E$94=V$2)*([2]Rubric!$F$3:$F$94='[2]Questionnaire Responses'!V321),0)),"MISSING"))</f>
        <v/>
      </c>
      <c r="W320" s="206"/>
      <c r="X320" s="183" t="str">
        <f t="array" ref="X320">IF(Table133[[#This Row],[Survey?]]="","",IFERROR(INDEX([2]Rubric!$G$3:$G$94,MATCH(1,([2]Rubric!$E$3:$E$94=X$2)*([2]Rubric!$F$3:$F$94='[2]Questionnaire Responses'!X321),0)),"MISSING"))</f>
        <v/>
      </c>
      <c r="Y320" s="206"/>
      <c r="Z320" s="183" t="str">
        <f t="array" ref="Z320">IF(Table133[[#This Row],[Survey?]]="","",IFERROR(INDEX([2]Rubric!$G$3:$G$94,MATCH(1,([2]Rubric!$E$3:$E$94=Z$2)*([2]Rubric!$F$3:$F$94='[2]Questionnaire Responses'!Z321),0)),"MISSING"))</f>
        <v/>
      </c>
      <c r="AA320" s="183" t="str">
        <f t="array" ref="AA320">IF(Table133[[#This Row],[Survey?]]="","",IFERROR(INDEX([2]Rubric!$G$3:$G$94,MATCH(1,([2]Rubric!$E$3:$E$94=AA$2)*([2]Rubric!$F$3:$F$94='[2]Questionnaire Responses'!AA321),0)),"MISSING"))</f>
        <v/>
      </c>
      <c r="AB320" s="183" t="str">
        <f t="array" ref="AB320">IF(Table133[[#This Row],[Survey?]]="","",IFERROR(INDEX([2]Rubric!$G$3:$G$94,MATCH(1,([2]Rubric!$E$3:$E$94=AB$2)*([2]Rubric!$F$3:$F$94='[2]Questionnaire Responses'!AB321),0)),"MISSING"))</f>
        <v/>
      </c>
      <c r="AC320" s="206"/>
      <c r="AD320" s="183" t="str">
        <f t="array" ref="AD320">IF(Table133[[#This Row],[Survey?]]="","",IFERROR(INDEX([2]Rubric!$G$3:$G$94,MATCH(1,([2]Rubric!$E$3:$E$94=AD$2)*([2]Rubric!$F$3:$F$94='[2]Questionnaire Responses'!AD321),0)),"MISSING"))</f>
        <v/>
      </c>
      <c r="AE320" s="183" t="str">
        <f t="array" ref="AE320">IF(Table133[[#This Row],[Survey?]]="","",IFERROR(INDEX([2]Rubric!$G$3:$G$94,MATCH(1,([2]Rubric!$E$3:$E$94=AE$2)*([2]Rubric!$F$3:$F$94='[2]Questionnaire Responses'!AE321),0)),"MISSING"))</f>
        <v/>
      </c>
      <c r="AF320" s="206"/>
      <c r="AG320" s="183" t="str">
        <f t="array" ref="AG320">IF(Table133[[#This Row],[Survey?]]="","",IFERROR(INDEX([2]Rubric!$G$3:$G$94,MATCH(1,([2]Rubric!$E$3:$E$94=AG$2)*([2]Rubric!$F$3:$F$94='[2]Questionnaire Responses'!AG321),0)),"MISSING"))</f>
        <v/>
      </c>
    </row>
    <row r="321" spans="1:33" ht="12.75" customHeight="1" x14ac:dyDescent="0.25">
      <c r="A321" s="207">
        <f>'[2]Questionnaire Responses'!A322</f>
        <v>0</v>
      </c>
      <c r="B321" s="198">
        <f>'[2]Questionnaire Responses'!B322</f>
        <v>0</v>
      </c>
      <c r="C321" s="153">
        <f>'[2]Questionnaire Responses'!C322</f>
        <v>0</v>
      </c>
      <c r="D321" s="208"/>
      <c r="E321" s="206"/>
      <c r="F321" s="183" t="str">
        <f t="array" ref="F321">IF(Table133[[#This Row],[Survey?]]="","",IFERROR(INDEX([2]Rubric!$G$3:$G$94,MATCH(1,([2]Rubric!$E$3:$E$94=F$2)*([2]Rubric!$F$3:$F$94='[2]Questionnaire Responses'!F322),0)),"MISSING"))</f>
        <v/>
      </c>
      <c r="G321" s="183" t="str">
        <f t="array" ref="G321">IF(Table133[[#This Row],[Survey?]]="","",IFERROR(INDEX([2]Rubric!$G$3:$G$94,MATCH(1,([2]Rubric!$E$3:$E$94=G$2)*([2]Rubric!$F$3:$F$94='[2]Questionnaire Responses'!G322),0)),"MISSING"))</f>
        <v/>
      </c>
      <c r="H321" s="183" t="str">
        <f t="array" ref="H321">IF(Table133[[#This Row],[Survey?]]="","",IFERROR(INDEX([2]Rubric!$G$3:$G$94,MATCH(1,([2]Rubric!$E$3:$E$94=H$2)*([2]Rubric!$F$3:$F$94='[2]Questionnaire Responses'!H322),0)),"MISSING"))</f>
        <v/>
      </c>
      <c r="I321" s="183" t="str">
        <f t="array" ref="I321">IF(Table133[[#This Row],[Survey?]]="","",IFERROR(INDEX([2]Rubric!$G$3:$G$94,MATCH(1,([2]Rubric!$E$3:$E$94=I$2)*([2]Rubric!$F$3:$F$94='[2]Questionnaire Responses'!I322),0)),"MISSING"))</f>
        <v/>
      </c>
      <c r="J321" s="183" t="str">
        <f t="array" ref="J321">IF(Table133[[#This Row],[Survey?]]="","",IFERROR(INDEX([2]Rubric!$G$3:$G$94,MATCH(1,([2]Rubric!$E$3:$E$94=J$2)*([2]Rubric!$F$3:$F$94='[2]Questionnaire Responses'!J322),0)),"MISSING"))</f>
        <v/>
      </c>
      <c r="K321" s="206"/>
      <c r="L321" s="183" t="str">
        <f t="array" ref="L321">IF(Table133[[#This Row],[Survey?]]="","",IFERROR(INDEX([2]Rubric!$G$3:$G$94,MATCH(1,([2]Rubric!$E$3:$E$94=L$2)*([2]Rubric!$F$3:$F$94='[2]Questionnaire Responses'!L322),0)),"MISSING"))</f>
        <v/>
      </c>
      <c r="M321" s="206"/>
      <c r="N321" s="183" t="str">
        <f t="array" ref="N321">IF(Table133[[#This Row],[Survey?]]="","",IFERROR(INDEX([2]Rubric!$G$3:$G$94,MATCH(1,([2]Rubric!$E$3:$E$94=N$2)*([2]Rubric!$F$3:$F$94='[2]Questionnaire Responses'!N322),0)),"MISSING"))</f>
        <v/>
      </c>
      <c r="O321" s="183" t="str">
        <f t="array" ref="O321">IF(Table133[[#This Row],[Survey?]]="","",IFERROR(INDEX([2]Rubric!$G$3:$G$94,MATCH(1,([2]Rubric!$E$3:$E$94=O$2)*([2]Rubric!$F$3:$F$94='[2]Questionnaire Responses'!O322),0)),"MISSING"))</f>
        <v/>
      </c>
      <c r="P321" s="206"/>
      <c r="Q321" s="183" t="str">
        <f t="array" ref="Q321">IF(Table133[[#This Row],[Survey?]]="","",IFERROR(INDEX([2]Rubric!$G$3:$G$94,MATCH(1,([2]Rubric!$E$3:$E$94=Q$2)*([2]Rubric!$F$3:$F$94='[2]Questionnaire Responses'!Q322),0)),"MISSING"))</f>
        <v/>
      </c>
      <c r="R321" s="183" t="str">
        <f t="array" ref="R321">IF(Table133[[#This Row],[Survey?]]="","",IFERROR(INDEX([2]Rubric!$G$3:$G$94,MATCH(1,([2]Rubric!$E$3:$E$94=R$2)*([2]Rubric!$F$3:$F$94='[2]Questionnaire Responses'!R322),0)),"MISSING"))</f>
        <v/>
      </c>
      <c r="S321" s="183" t="str">
        <f t="array" ref="S321">IF(Table133[[#This Row],[Survey?]]="","",IFERROR(INDEX([2]Rubric!$G$3:$G$94,MATCH(1,([2]Rubric!$E$3:$E$94=S$2)*([2]Rubric!$F$3:$F$94='[2]Questionnaire Responses'!S322),0)),"MISSING"))</f>
        <v/>
      </c>
      <c r="T321" s="183" t="str">
        <f t="array" ref="T321">IF(Table133[[#This Row],[Survey?]]="","",IFERROR(INDEX([2]Rubric!$G$3:$G$94,MATCH(1,([2]Rubric!$E$3:$E$94=T$2)*([2]Rubric!$F$3:$F$94='[2]Questionnaire Responses'!T322),0)),"MISSING"))</f>
        <v/>
      </c>
      <c r="U321" s="206"/>
      <c r="V321" s="183" t="str">
        <f t="array" ref="V321">IF(Table133[[#This Row],[Survey?]]="","",IFERROR(INDEX([2]Rubric!$G$3:$G$94,MATCH(1,([2]Rubric!$E$3:$E$94=V$2)*([2]Rubric!$F$3:$F$94='[2]Questionnaire Responses'!V322),0)),"MISSING"))</f>
        <v/>
      </c>
      <c r="W321" s="206"/>
      <c r="X321" s="183" t="str">
        <f t="array" ref="X321">IF(Table133[[#This Row],[Survey?]]="","",IFERROR(INDEX([2]Rubric!$G$3:$G$94,MATCH(1,([2]Rubric!$E$3:$E$94=X$2)*([2]Rubric!$F$3:$F$94='[2]Questionnaire Responses'!X322),0)),"MISSING"))</f>
        <v/>
      </c>
      <c r="Y321" s="206"/>
      <c r="Z321" s="183" t="str">
        <f t="array" ref="Z321">IF(Table133[[#This Row],[Survey?]]="","",IFERROR(INDEX([2]Rubric!$G$3:$G$94,MATCH(1,([2]Rubric!$E$3:$E$94=Z$2)*([2]Rubric!$F$3:$F$94='[2]Questionnaire Responses'!Z322),0)),"MISSING"))</f>
        <v/>
      </c>
      <c r="AA321" s="183" t="str">
        <f t="array" ref="AA321">IF(Table133[[#This Row],[Survey?]]="","",IFERROR(INDEX([2]Rubric!$G$3:$G$94,MATCH(1,([2]Rubric!$E$3:$E$94=AA$2)*([2]Rubric!$F$3:$F$94='[2]Questionnaire Responses'!AA322),0)),"MISSING"))</f>
        <v/>
      </c>
      <c r="AB321" s="183" t="str">
        <f t="array" ref="AB321">IF(Table133[[#This Row],[Survey?]]="","",IFERROR(INDEX([2]Rubric!$G$3:$G$94,MATCH(1,([2]Rubric!$E$3:$E$94=AB$2)*([2]Rubric!$F$3:$F$94='[2]Questionnaire Responses'!AB322),0)),"MISSING"))</f>
        <v/>
      </c>
      <c r="AC321" s="206"/>
      <c r="AD321" s="183" t="str">
        <f t="array" ref="AD321">IF(Table133[[#This Row],[Survey?]]="","",IFERROR(INDEX([2]Rubric!$G$3:$G$94,MATCH(1,([2]Rubric!$E$3:$E$94=AD$2)*([2]Rubric!$F$3:$F$94='[2]Questionnaire Responses'!AD322),0)),"MISSING"))</f>
        <v/>
      </c>
      <c r="AE321" s="183" t="str">
        <f t="array" ref="AE321">IF(Table133[[#This Row],[Survey?]]="","",IFERROR(INDEX([2]Rubric!$G$3:$G$94,MATCH(1,([2]Rubric!$E$3:$E$94=AE$2)*([2]Rubric!$F$3:$F$94='[2]Questionnaire Responses'!AE322),0)),"MISSING"))</f>
        <v/>
      </c>
      <c r="AF321" s="206"/>
      <c r="AG321" s="183" t="str">
        <f t="array" ref="AG321">IF(Table133[[#This Row],[Survey?]]="","",IFERROR(INDEX([2]Rubric!$G$3:$G$94,MATCH(1,([2]Rubric!$E$3:$E$94=AG$2)*([2]Rubric!$F$3:$F$94='[2]Questionnaire Responses'!AG322),0)),"MISSING"))</f>
        <v/>
      </c>
    </row>
    <row r="322" spans="1:33" ht="12.75" customHeight="1" x14ac:dyDescent="0.25">
      <c r="A322" s="207">
        <f>'[2]Questionnaire Responses'!A323</f>
        <v>0</v>
      </c>
      <c r="B322" s="198">
        <f>'[2]Questionnaire Responses'!B323</f>
        <v>0</v>
      </c>
      <c r="C322" s="153">
        <f>'[2]Questionnaire Responses'!C323</f>
        <v>0</v>
      </c>
      <c r="D322" s="208"/>
      <c r="E322" s="206"/>
      <c r="F322" s="183" t="str">
        <f t="array" ref="F322">IF(Table133[[#This Row],[Survey?]]="","",IFERROR(INDEX([2]Rubric!$G$3:$G$94,MATCH(1,([2]Rubric!$E$3:$E$94=F$2)*([2]Rubric!$F$3:$F$94='[2]Questionnaire Responses'!F323),0)),"MISSING"))</f>
        <v/>
      </c>
      <c r="G322" s="183" t="str">
        <f t="array" ref="G322">IF(Table133[[#This Row],[Survey?]]="","",IFERROR(INDEX([2]Rubric!$G$3:$G$94,MATCH(1,([2]Rubric!$E$3:$E$94=G$2)*([2]Rubric!$F$3:$F$94='[2]Questionnaire Responses'!G323),0)),"MISSING"))</f>
        <v/>
      </c>
      <c r="H322" s="183" t="str">
        <f t="array" ref="H322">IF(Table133[[#This Row],[Survey?]]="","",IFERROR(INDEX([2]Rubric!$G$3:$G$94,MATCH(1,([2]Rubric!$E$3:$E$94=H$2)*([2]Rubric!$F$3:$F$94='[2]Questionnaire Responses'!H323),0)),"MISSING"))</f>
        <v/>
      </c>
      <c r="I322" s="183" t="str">
        <f t="array" ref="I322">IF(Table133[[#This Row],[Survey?]]="","",IFERROR(INDEX([2]Rubric!$G$3:$G$94,MATCH(1,([2]Rubric!$E$3:$E$94=I$2)*([2]Rubric!$F$3:$F$94='[2]Questionnaire Responses'!I323),0)),"MISSING"))</f>
        <v/>
      </c>
      <c r="J322" s="183" t="str">
        <f t="array" ref="J322">IF(Table133[[#This Row],[Survey?]]="","",IFERROR(INDEX([2]Rubric!$G$3:$G$94,MATCH(1,([2]Rubric!$E$3:$E$94=J$2)*([2]Rubric!$F$3:$F$94='[2]Questionnaire Responses'!J323),0)),"MISSING"))</f>
        <v/>
      </c>
      <c r="K322" s="206"/>
      <c r="L322" s="183" t="str">
        <f t="array" ref="L322">IF(Table133[[#This Row],[Survey?]]="","",IFERROR(INDEX([2]Rubric!$G$3:$G$94,MATCH(1,([2]Rubric!$E$3:$E$94=L$2)*([2]Rubric!$F$3:$F$94='[2]Questionnaire Responses'!L323),0)),"MISSING"))</f>
        <v/>
      </c>
      <c r="M322" s="206"/>
      <c r="N322" s="183" t="str">
        <f t="array" ref="N322">IF(Table133[[#This Row],[Survey?]]="","",IFERROR(INDEX([2]Rubric!$G$3:$G$94,MATCH(1,([2]Rubric!$E$3:$E$94=N$2)*([2]Rubric!$F$3:$F$94='[2]Questionnaire Responses'!N323),0)),"MISSING"))</f>
        <v/>
      </c>
      <c r="O322" s="183" t="str">
        <f t="array" ref="O322">IF(Table133[[#This Row],[Survey?]]="","",IFERROR(INDEX([2]Rubric!$G$3:$G$94,MATCH(1,([2]Rubric!$E$3:$E$94=O$2)*([2]Rubric!$F$3:$F$94='[2]Questionnaire Responses'!O323),0)),"MISSING"))</f>
        <v/>
      </c>
      <c r="P322" s="206"/>
      <c r="Q322" s="183" t="str">
        <f t="array" ref="Q322">IF(Table133[[#This Row],[Survey?]]="","",IFERROR(INDEX([2]Rubric!$G$3:$G$94,MATCH(1,([2]Rubric!$E$3:$E$94=Q$2)*([2]Rubric!$F$3:$F$94='[2]Questionnaire Responses'!Q323),0)),"MISSING"))</f>
        <v/>
      </c>
      <c r="R322" s="183" t="str">
        <f t="array" ref="R322">IF(Table133[[#This Row],[Survey?]]="","",IFERROR(INDEX([2]Rubric!$G$3:$G$94,MATCH(1,([2]Rubric!$E$3:$E$94=R$2)*([2]Rubric!$F$3:$F$94='[2]Questionnaire Responses'!R323),0)),"MISSING"))</f>
        <v/>
      </c>
      <c r="S322" s="183" t="str">
        <f t="array" ref="S322">IF(Table133[[#This Row],[Survey?]]="","",IFERROR(INDEX([2]Rubric!$G$3:$G$94,MATCH(1,([2]Rubric!$E$3:$E$94=S$2)*([2]Rubric!$F$3:$F$94='[2]Questionnaire Responses'!S323),0)),"MISSING"))</f>
        <v/>
      </c>
      <c r="T322" s="183" t="str">
        <f t="array" ref="T322">IF(Table133[[#This Row],[Survey?]]="","",IFERROR(INDEX([2]Rubric!$G$3:$G$94,MATCH(1,([2]Rubric!$E$3:$E$94=T$2)*([2]Rubric!$F$3:$F$94='[2]Questionnaire Responses'!T323),0)),"MISSING"))</f>
        <v/>
      </c>
      <c r="U322" s="206"/>
      <c r="V322" s="183" t="str">
        <f t="array" ref="V322">IF(Table133[[#This Row],[Survey?]]="","",IFERROR(INDEX([2]Rubric!$G$3:$G$94,MATCH(1,([2]Rubric!$E$3:$E$94=V$2)*([2]Rubric!$F$3:$F$94='[2]Questionnaire Responses'!V323),0)),"MISSING"))</f>
        <v/>
      </c>
      <c r="W322" s="206"/>
      <c r="X322" s="183" t="str">
        <f t="array" ref="X322">IF(Table133[[#This Row],[Survey?]]="","",IFERROR(INDEX([2]Rubric!$G$3:$G$94,MATCH(1,([2]Rubric!$E$3:$E$94=X$2)*([2]Rubric!$F$3:$F$94='[2]Questionnaire Responses'!X323),0)),"MISSING"))</f>
        <v/>
      </c>
      <c r="Y322" s="206"/>
      <c r="Z322" s="183" t="str">
        <f t="array" ref="Z322">IF(Table133[[#This Row],[Survey?]]="","",IFERROR(INDEX([2]Rubric!$G$3:$G$94,MATCH(1,([2]Rubric!$E$3:$E$94=Z$2)*([2]Rubric!$F$3:$F$94='[2]Questionnaire Responses'!Z323),0)),"MISSING"))</f>
        <v/>
      </c>
      <c r="AA322" s="183" t="str">
        <f t="array" ref="AA322">IF(Table133[[#This Row],[Survey?]]="","",IFERROR(INDEX([2]Rubric!$G$3:$G$94,MATCH(1,([2]Rubric!$E$3:$E$94=AA$2)*([2]Rubric!$F$3:$F$94='[2]Questionnaire Responses'!AA323),0)),"MISSING"))</f>
        <v/>
      </c>
      <c r="AB322" s="183" t="str">
        <f t="array" ref="AB322">IF(Table133[[#This Row],[Survey?]]="","",IFERROR(INDEX([2]Rubric!$G$3:$G$94,MATCH(1,([2]Rubric!$E$3:$E$94=AB$2)*([2]Rubric!$F$3:$F$94='[2]Questionnaire Responses'!AB323),0)),"MISSING"))</f>
        <v/>
      </c>
      <c r="AC322" s="206"/>
      <c r="AD322" s="183" t="str">
        <f t="array" ref="AD322">IF(Table133[[#This Row],[Survey?]]="","",IFERROR(INDEX([2]Rubric!$G$3:$G$94,MATCH(1,([2]Rubric!$E$3:$E$94=AD$2)*([2]Rubric!$F$3:$F$94='[2]Questionnaire Responses'!AD323),0)),"MISSING"))</f>
        <v/>
      </c>
      <c r="AE322" s="183" t="str">
        <f t="array" ref="AE322">IF(Table133[[#This Row],[Survey?]]="","",IFERROR(INDEX([2]Rubric!$G$3:$G$94,MATCH(1,([2]Rubric!$E$3:$E$94=AE$2)*([2]Rubric!$F$3:$F$94='[2]Questionnaire Responses'!AE323),0)),"MISSING"))</f>
        <v/>
      </c>
      <c r="AF322" s="206"/>
      <c r="AG322" s="183" t="str">
        <f t="array" ref="AG322">IF(Table133[[#This Row],[Survey?]]="","",IFERROR(INDEX([2]Rubric!$G$3:$G$94,MATCH(1,([2]Rubric!$E$3:$E$94=AG$2)*([2]Rubric!$F$3:$F$94='[2]Questionnaire Responses'!AG323),0)),"MISSING"))</f>
        <v/>
      </c>
    </row>
    <row r="323" spans="1:33" ht="12.75" customHeight="1" x14ac:dyDescent="0.25">
      <c r="A323" s="207">
        <f>'[2]Questionnaire Responses'!A324</f>
        <v>0</v>
      </c>
      <c r="B323" s="198">
        <f>'[2]Questionnaire Responses'!B324</f>
        <v>0</v>
      </c>
      <c r="C323" s="153">
        <f>'[2]Questionnaire Responses'!C324</f>
        <v>0</v>
      </c>
      <c r="D323" s="208"/>
      <c r="E323" s="206"/>
      <c r="F323" s="183" t="str">
        <f t="array" ref="F323">IF(Table133[[#This Row],[Survey?]]="","",IFERROR(INDEX([2]Rubric!$G$3:$G$94,MATCH(1,([2]Rubric!$E$3:$E$94=F$2)*([2]Rubric!$F$3:$F$94='[2]Questionnaire Responses'!F324),0)),"MISSING"))</f>
        <v/>
      </c>
      <c r="G323" s="183" t="str">
        <f t="array" ref="G323">IF(Table133[[#This Row],[Survey?]]="","",IFERROR(INDEX([2]Rubric!$G$3:$G$94,MATCH(1,([2]Rubric!$E$3:$E$94=G$2)*([2]Rubric!$F$3:$F$94='[2]Questionnaire Responses'!G324),0)),"MISSING"))</f>
        <v/>
      </c>
      <c r="H323" s="183" t="str">
        <f t="array" ref="H323">IF(Table133[[#This Row],[Survey?]]="","",IFERROR(INDEX([2]Rubric!$G$3:$G$94,MATCH(1,([2]Rubric!$E$3:$E$94=H$2)*([2]Rubric!$F$3:$F$94='[2]Questionnaire Responses'!H324),0)),"MISSING"))</f>
        <v/>
      </c>
      <c r="I323" s="183" t="str">
        <f t="array" ref="I323">IF(Table133[[#This Row],[Survey?]]="","",IFERROR(INDEX([2]Rubric!$G$3:$G$94,MATCH(1,([2]Rubric!$E$3:$E$94=I$2)*([2]Rubric!$F$3:$F$94='[2]Questionnaire Responses'!I324),0)),"MISSING"))</f>
        <v/>
      </c>
      <c r="J323" s="183" t="str">
        <f t="array" ref="J323">IF(Table133[[#This Row],[Survey?]]="","",IFERROR(INDEX([2]Rubric!$G$3:$G$94,MATCH(1,([2]Rubric!$E$3:$E$94=J$2)*([2]Rubric!$F$3:$F$94='[2]Questionnaire Responses'!J324),0)),"MISSING"))</f>
        <v/>
      </c>
      <c r="K323" s="206"/>
      <c r="L323" s="183" t="str">
        <f t="array" ref="L323">IF(Table133[[#This Row],[Survey?]]="","",IFERROR(INDEX([2]Rubric!$G$3:$G$94,MATCH(1,([2]Rubric!$E$3:$E$94=L$2)*([2]Rubric!$F$3:$F$94='[2]Questionnaire Responses'!L324),0)),"MISSING"))</f>
        <v/>
      </c>
      <c r="M323" s="206"/>
      <c r="N323" s="183" t="str">
        <f t="array" ref="N323">IF(Table133[[#This Row],[Survey?]]="","",IFERROR(INDEX([2]Rubric!$G$3:$G$94,MATCH(1,([2]Rubric!$E$3:$E$94=N$2)*([2]Rubric!$F$3:$F$94='[2]Questionnaire Responses'!N324),0)),"MISSING"))</f>
        <v/>
      </c>
      <c r="O323" s="183" t="str">
        <f t="array" ref="O323">IF(Table133[[#This Row],[Survey?]]="","",IFERROR(INDEX([2]Rubric!$G$3:$G$94,MATCH(1,([2]Rubric!$E$3:$E$94=O$2)*([2]Rubric!$F$3:$F$94='[2]Questionnaire Responses'!O324),0)),"MISSING"))</f>
        <v/>
      </c>
      <c r="P323" s="206"/>
      <c r="Q323" s="183" t="str">
        <f t="array" ref="Q323">IF(Table133[[#This Row],[Survey?]]="","",IFERROR(INDEX([2]Rubric!$G$3:$G$94,MATCH(1,([2]Rubric!$E$3:$E$94=Q$2)*([2]Rubric!$F$3:$F$94='[2]Questionnaire Responses'!Q324),0)),"MISSING"))</f>
        <v/>
      </c>
      <c r="R323" s="183" t="str">
        <f t="array" ref="R323">IF(Table133[[#This Row],[Survey?]]="","",IFERROR(INDEX([2]Rubric!$G$3:$G$94,MATCH(1,([2]Rubric!$E$3:$E$94=R$2)*([2]Rubric!$F$3:$F$94='[2]Questionnaire Responses'!R324),0)),"MISSING"))</f>
        <v/>
      </c>
      <c r="S323" s="183" t="str">
        <f t="array" ref="S323">IF(Table133[[#This Row],[Survey?]]="","",IFERROR(INDEX([2]Rubric!$G$3:$G$94,MATCH(1,([2]Rubric!$E$3:$E$94=S$2)*([2]Rubric!$F$3:$F$94='[2]Questionnaire Responses'!S324),0)),"MISSING"))</f>
        <v/>
      </c>
      <c r="T323" s="183" t="str">
        <f t="array" ref="T323">IF(Table133[[#This Row],[Survey?]]="","",IFERROR(INDEX([2]Rubric!$G$3:$G$94,MATCH(1,([2]Rubric!$E$3:$E$94=T$2)*([2]Rubric!$F$3:$F$94='[2]Questionnaire Responses'!T324),0)),"MISSING"))</f>
        <v/>
      </c>
      <c r="U323" s="206"/>
      <c r="V323" s="183" t="str">
        <f t="array" ref="V323">IF(Table133[[#This Row],[Survey?]]="","",IFERROR(INDEX([2]Rubric!$G$3:$G$94,MATCH(1,([2]Rubric!$E$3:$E$94=V$2)*([2]Rubric!$F$3:$F$94='[2]Questionnaire Responses'!V324),0)),"MISSING"))</f>
        <v/>
      </c>
      <c r="W323" s="206"/>
      <c r="X323" s="183" t="str">
        <f t="array" ref="X323">IF(Table133[[#This Row],[Survey?]]="","",IFERROR(INDEX([2]Rubric!$G$3:$G$94,MATCH(1,([2]Rubric!$E$3:$E$94=X$2)*([2]Rubric!$F$3:$F$94='[2]Questionnaire Responses'!X324),0)),"MISSING"))</f>
        <v/>
      </c>
      <c r="Y323" s="206"/>
      <c r="Z323" s="183" t="str">
        <f t="array" ref="Z323">IF(Table133[[#This Row],[Survey?]]="","",IFERROR(INDEX([2]Rubric!$G$3:$G$94,MATCH(1,([2]Rubric!$E$3:$E$94=Z$2)*([2]Rubric!$F$3:$F$94='[2]Questionnaire Responses'!Z324),0)),"MISSING"))</f>
        <v/>
      </c>
      <c r="AA323" s="183" t="str">
        <f t="array" ref="AA323">IF(Table133[[#This Row],[Survey?]]="","",IFERROR(INDEX([2]Rubric!$G$3:$G$94,MATCH(1,([2]Rubric!$E$3:$E$94=AA$2)*([2]Rubric!$F$3:$F$94='[2]Questionnaire Responses'!AA324),0)),"MISSING"))</f>
        <v/>
      </c>
      <c r="AB323" s="183" t="str">
        <f t="array" ref="AB323">IF(Table133[[#This Row],[Survey?]]="","",IFERROR(INDEX([2]Rubric!$G$3:$G$94,MATCH(1,([2]Rubric!$E$3:$E$94=AB$2)*([2]Rubric!$F$3:$F$94='[2]Questionnaire Responses'!AB324),0)),"MISSING"))</f>
        <v/>
      </c>
      <c r="AC323" s="206"/>
      <c r="AD323" s="183" t="str">
        <f t="array" ref="AD323">IF(Table133[[#This Row],[Survey?]]="","",IFERROR(INDEX([2]Rubric!$G$3:$G$94,MATCH(1,([2]Rubric!$E$3:$E$94=AD$2)*([2]Rubric!$F$3:$F$94='[2]Questionnaire Responses'!AD324),0)),"MISSING"))</f>
        <v/>
      </c>
      <c r="AE323" s="183" t="str">
        <f t="array" ref="AE323">IF(Table133[[#This Row],[Survey?]]="","",IFERROR(INDEX([2]Rubric!$G$3:$G$94,MATCH(1,([2]Rubric!$E$3:$E$94=AE$2)*([2]Rubric!$F$3:$F$94='[2]Questionnaire Responses'!AE324),0)),"MISSING"))</f>
        <v/>
      </c>
      <c r="AF323" s="206"/>
      <c r="AG323" s="183" t="str">
        <f t="array" ref="AG323">IF(Table133[[#This Row],[Survey?]]="","",IFERROR(INDEX([2]Rubric!$G$3:$G$94,MATCH(1,([2]Rubric!$E$3:$E$94=AG$2)*([2]Rubric!$F$3:$F$94='[2]Questionnaire Responses'!AG324),0)),"MISSING"))</f>
        <v/>
      </c>
    </row>
    <row r="324" spans="1:33" ht="12.75" customHeight="1" x14ac:dyDescent="0.25">
      <c r="A324" s="207">
        <f>'[2]Questionnaire Responses'!A325</f>
        <v>0</v>
      </c>
      <c r="B324" s="198">
        <f>'[2]Questionnaire Responses'!B325</f>
        <v>0</v>
      </c>
      <c r="C324" s="153">
        <f>'[2]Questionnaire Responses'!C325</f>
        <v>0</v>
      </c>
      <c r="D324" s="208"/>
      <c r="E324" s="206"/>
      <c r="F324" s="183" t="str">
        <f t="array" ref="F324">IF(Table133[[#This Row],[Survey?]]="","",IFERROR(INDEX([2]Rubric!$G$3:$G$94,MATCH(1,([2]Rubric!$E$3:$E$94=F$2)*([2]Rubric!$F$3:$F$94='[2]Questionnaire Responses'!F325),0)),"MISSING"))</f>
        <v/>
      </c>
      <c r="G324" s="183" t="str">
        <f t="array" ref="G324">IF(Table133[[#This Row],[Survey?]]="","",IFERROR(INDEX([2]Rubric!$G$3:$G$94,MATCH(1,([2]Rubric!$E$3:$E$94=G$2)*([2]Rubric!$F$3:$F$94='[2]Questionnaire Responses'!G325),0)),"MISSING"))</f>
        <v/>
      </c>
      <c r="H324" s="183" t="str">
        <f t="array" ref="H324">IF(Table133[[#This Row],[Survey?]]="","",IFERROR(INDEX([2]Rubric!$G$3:$G$94,MATCH(1,([2]Rubric!$E$3:$E$94=H$2)*([2]Rubric!$F$3:$F$94='[2]Questionnaire Responses'!H325),0)),"MISSING"))</f>
        <v/>
      </c>
      <c r="I324" s="183" t="str">
        <f t="array" ref="I324">IF(Table133[[#This Row],[Survey?]]="","",IFERROR(INDEX([2]Rubric!$G$3:$G$94,MATCH(1,([2]Rubric!$E$3:$E$94=I$2)*([2]Rubric!$F$3:$F$94='[2]Questionnaire Responses'!I325),0)),"MISSING"))</f>
        <v/>
      </c>
      <c r="J324" s="183" t="str">
        <f t="array" ref="J324">IF(Table133[[#This Row],[Survey?]]="","",IFERROR(INDEX([2]Rubric!$G$3:$G$94,MATCH(1,([2]Rubric!$E$3:$E$94=J$2)*([2]Rubric!$F$3:$F$94='[2]Questionnaire Responses'!J325),0)),"MISSING"))</f>
        <v/>
      </c>
      <c r="K324" s="206"/>
      <c r="L324" s="183" t="str">
        <f t="array" ref="L324">IF(Table133[[#This Row],[Survey?]]="","",IFERROR(INDEX([2]Rubric!$G$3:$G$94,MATCH(1,([2]Rubric!$E$3:$E$94=L$2)*([2]Rubric!$F$3:$F$94='[2]Questionnaire Responses'!L325),0)),"MISSING"))</f>
        <v/>
      </c>
      <c r="M324" s="206"/>
      <c r="N324" s="183" t="str">
        <f t="array" ref="N324">IF(Table133[[#This Row],[Survey?]]="","",IFERROR(INDEX([2]Rubric!$G$3:$G$94,MATCH(1,([2]Rubric!$E$3:$E$94=N$2)*([2]Rubric!$F$3:$F$94='[2]Questionnaire Responses'!N325),0)),"MISSING"))</f>
        <v/>
      </c>
      <c r="O324" s="183" t="str">
        <f t="array" ref="O324">IF(Table133[[#This Row],[Survey?]]="","",IFERROR(INDEX([2]Rubric!$G$3:$G$94,MATCH(1,([2]Rubric!$E$3:$E$94=O$2)*([2]Rubric!$F$3:$F$94='[2]Questionnaire Responses'!O325),0)),"MISSING"))</f>
        <v/>
      </c>
      <c r="P324" s="206"/>
      <c r="Q324" s="183" t="str">
        <f t="array" ref="Q324">IF(Table133[[#This Row],[Survey?]]="","",IFERROR(INDEX([2]Rubric!$G$3:$G$94,MATCH(1,([2]Rubric!$E$3:$E$94=Q$2)*([2]Rubric!$F$3:$F$94='[2]Questionnaire Responses'!Q325),0)),"MISSING"))</f>
        <v/>
      </c>
      <c r="R324" s="183" t="str">
        <f t="array" ref="R324">IF(Table133[[#This Row],[Survey?]]="","",IFERROR(INDEX([2]Rubric!$G$3:$G$94,MATCH(1,([2]Rubric!$E$3:$E$94=R$2)*([2]Rubric!$F$3:$F$94='[2]Questionnaire Responses'!R325),0)),"MISSING"))</f>
        <v/>
      </c>
      <c r="S324" s="183" t="str">
        <f t="array" ref="S324">IF(Table133[[#This Row],[Survey?]]="","",IFERROR(INDEX([2]Rubric!$G$3:$G$94,MATCH(1,([2]Rubric!$E$3:$E$94=S$2)*([2]Rubric!$F$3:$F$94='[2]Questionnaire Responses'!S325),0)),"MISSING"))</f>
        <v/>
      </c>
      <c r="T324" s="183" t="str">
        <f t="array" ref="T324">IF(Table133[[#This Row],[Survey?]]="","",IFERROR(INDEX([2]Rubric!$G$3:$G$94,MATCH(1,([2]Rubric!$E$3:$E$94=T$2)*([2]Rubric!$F$3:$F$94='[2]Questionnaire Responses'!T325),0)),"MISSING"))</f>
        <v/>
      </c>
      <c r="U324" s="206"/>
      <c r="V324" s="183" t="str">
        <f t="array" ref="V324">IF(Table133[[#This Row],[Survey?]]="","",IFERROR(INDEX([2]Rubric!$G$3:$G$94,MATCH(1,([2]Rubric!$E$3:$E$94=V$2)*([2]Rubric!$F$3:$F$94='[2]Questionnaire Responses'!V325),0)),"MISSING"))</f>
        <v/>
      </c>
      <c r="W324" s="206"/>
      <c r="X324" s="183" t="str">
        <f t="array" ref="X324">IF(Table133[[#This Row],[Survey?]]="","",IFERROR(INDEX([2]Rubric!$G$3:$G$94,MATCH(1,([2]Rubric!$E$3:$E$94=X$2)*([2]Rubric!$F$3:$F$94='[2]Questionnaire Responses'!X325),0)),"MISSING"))</f>
        <v/>
      </c>
      <c r="Y324" s="206"/>
      <c r="Z324" s="183" t="str">
        <f t="array" ref="Z324">IF(Table133[[#This Row],[Survey?]]="","",IFERROR(INDEX([2]Rubric!$G$3:$G$94,MATCH(1,([2]Rubric!$E$3:$E$94=Z$2)*([2]Rubric!$F$3:$F$94='[2]Questionnaire Responses'!Z325),0)),"MISSING"))</f>
        <v/>
      </c>
      <c r="AA324" s="183" t="str">
        <f t="array" ref="AA324">IF(Table133[[#This Row],[Survey?]]="","",IFERROR(INDEX([2]Rubric!$G$3:$G$94,MATCH(1,([2]Rubric!$E$3:$E$94=AA$2)*([2]Rubric!$F$3:$F$94='[2]Questionnaire Responses'!AA325),0)),"MISSING"))</f>
        <v/>
      </c>
      <c r="AB324" s="183" t="str">
        <f t="array" ref="AB324">IF(Table133[[#This Row],[Survey?]]="","",IFERROR(INDEX([2]Rubric!$G$3:$G$94,MATCH(1,([2]Rubric!$E$3:$E$94=AB$2)*([2]Rubric!$F$3:$F$94='[2]Questionnaire Responses'!AB325),0)),"MISSING"))</f>
        <v/>
      </c>
      <c r="AC324" s="206"/>
      <c r="AD324" s="183" t="str">
        <f t="array" ref="AD324">IF(Table133[[#This Row],[Survey?]]="","",IFERROR(INDEX([2]Rubric!$G$3:$G$94,MATCH(1,([2]Rubric!$E$3:$E$94=AD$2)*([2]Rubric!$F$3:$F$94='[2]Questionnaire Responses'!AD325),0)),"MISSING"))</f>
        <v/>
      </c>
      <c r="AE324" s="183" t="str">
        <f t="array" ref="AE324">IF(Table133[[#This Row],[Survey?]]="","",IFERROR(INDEX([2]Rubric!$G$3:$G$94,MATCH(1,([2]Rubric!$E$3:$E$94=AE$2)*([2]Rubric!$F$3:$F$94='[2]Questionnaire Responses'!AE325),0)),"MISSING"))</f>
        <v/>
      </c>
      <c r="AF324" s="206"/>
      <c r="AG324" s="183" t="str">
        <f t="array" ref="AG324">IF(Table133[[#This Row],[Survey?]]="","",IFERROR(INDEX([2]Rubric!$G$3:$G$94,MATCH(1,([2]Rubric!$E$3:$E$94=AG$2)*([2]Rubric!$F$3:$F$94='[2]Questionnaire Responses'!AG325),0)),"MISSING"))</f>
        <v/>
      </c>
    </row>
    <row r="325" spans="1:33" ht="12.75" customHeight="1" x14ac:dyDescent="0.25">
      <c r="A325" s="207">
        <f>'[2]Questionnaire Responses'!A326</f>
        <v>0</v>
      </c>
      <c r="B325" s="198">
        <f>'[2]Questionnaire Responses'!B326</f>
        <v>0</v>
      </c>
      <c r="C325" s="153">
        <f>'[2]Questionnaire Responses'!C326</f>
        <v>0</v>
      </c>
      <c r="D325" s="208"/>
      <c r="E325" s="206"/>
      <c r="F325" s="183" t="str">
        <f t="array" ref="F325">IF(Table133[[#This Row],[Survey?]]="","",IFERROR(INDEX([2]Rubric!$G$3:$G$94,MATCH(1,([2]Rubric!$E$3:$E$94=F$2)*([2]Rubric!$F$3:$F$94='[2]Questionnaire Responses'!F326),0)),"MISSING"))</f>
        <v/>
      </c>
      <c r="G325" s="183" t="str">
        <f t="array" ref="G325">IF(Table133[[#This Row],[Survey?]]="","",IFERROR(INDEX([2]Rubric!$G$3:$G$94,MATCH(1,([2]Rubric!$E$3:$E$94=G$2)*([2]Rubric!$F$3:$F$94='[2]Questionnaire Responses'!G326),0)),"MISSING"))</f>
        <v/>
      </c>
      <c r="H325" s="183" t="str">
        <f t="array" ref="H325">IF(Table133[[#This Row],[Survey?]]="","",IFERROR(INDEX([2]Rubric!$G$3:$G$94,MATCH(1,([2]Rubric!$E$3:$E$94=H$2)*([2]Rubric!$F$3:$F$94='[2]Questionnaire Responses'!H326),0)),"MISSING"))</f>
        <v/>
      </c>
      <c r="I325" s="183" t="str">
        <f t="array" ref="I325">IF(Table133[[#This Row],[Survey?]]="","",IFERROR(INDEX([2]Rubric!$G$3:$G$94,MATCH(1,([2]Rubric!$E$3:$E$94=I$2)*([2]Rubric!$F$3:$F$94='[2]Questionnaire Responses'!I326),0)),"MISSING"))</f>
        <v/>
      </c>
      <c r="J325" s="183" t="str">
        <f t="array" ref="J325">IF(Table133[[#This Row],[Survey?]]="","",IFERROR(INDEX([2]Rubric!$G$3:$G$94,MATCH(1,([2]Rubric!$E$3:$E$94=J$2)*([2]Rubric!$F$3:$F$94='[2]Questionnaire Responses'!J326),0)),"MISSING"))</f>
        <v/>
      </c>
      <c r="K325" s="206"/>
      <c r="L325" s="183" t="str">
        <f t="array" ref="L325">IF(Table133[[#This Row],[Survey?]]="","",IFERROR(INDEX([2]Rubric!$G$3:$G$94,MATCH(1,([2]Rubric!$E$3:$E$94=L$2)*([2]Rubric!$F$3:$F$94='[2]Questionnaire Responses'!L326),0)),"MISSING"))</f>
        <v/>
      </c>
      <c r="M325" s="206"/>
      <c r="N325" s="183" t="str">
        <f t="array" ref="N325">IF(Table133[[#This Row],[Survey?]]="","",IFERROR(INDEX([2]Rubric!$G$3:$G$94,MATCH(1,([2]Rubric!$E$3:$E$94=N$2)*([2]Rubric!$F$3:$F$94='[2]Questionnaire Responses'!N326),0)),"MISSING"))</f>
        <v/>
      </c>
      <c r="O325" s="183" t="str">
        <f t="array" ref="O325">IF(Table133[[#This Row],[Survey?]]="","",IFERROR(INDEX([2]Rubric!$G$3:$G$94,MATCH(1,([2]Rubric!$E$3:$E$94=O$2)*([2]Rubric!$F$3:$F$94='[2]Questionnaire Responses'!O326),0)),"MISSING"))</f>
        <v/>
      </c>
      <c r="P325" s="206"/>
      <c r="Q325" s="183" t="str">
        <f t="array" ref="Q325">IF(Table133[[#This Row],[Survey?]]="","",IFERROR(INDEX([2]Rubric!$G$3:$G$94,MATCH(1,([2]Rubric!$E$3:$E$94=Q$2)*([2]Rubric!$F$3:$F$94='[2]Questionnaire Responses'!Q326),0)),"MISSING"))</f>
        <v/>
      </c>
      <c r="R325" s="183" t="str">
        <f t="array" ref="R325">IF(Table133[[#This Row],[Survey?]]="","",IFERROR(INDEX([2]Rubric!$G$3:$G$94,MATCH(1,([2]Rubric!$E$3:$E$94=R$2)*([2]Rubric!$F$3:$F$94='[2]Questionnaire Responses'!R326),0)),"MISSING"))</f>
        <v/>
      </c>
      <c r="S325" s="183" t="str">
        <f t="array" ref="S325">IF(Table133[[#This Row],[Survey?]]="","",IFERROR(INDEX([2]Rubric!$G$3:$G$94,MATCH(1,([2]Rubric!$E$3:$E$94=S$2)*([2]Rubric!$F$3:$F$94='[2]Questionnaire Responses'!S326),0)),"MISSING"))</f>
        <v/>
      </c>
      <c r="T325" s="183" t="str">
        <f t="array" ref="T325">IF(Table133[[#This Row],[Survey?]]="","",IFERROR(INDEX([2]Rubric!$G$3:$G$94,MATCH(1,([2]Rubric!$E$3:$E$94=T$2)*([2]Rubric!$F$3:$F$94='[2]Questionnaire Responses'!T326),0)),"MISSING"))</f>
        <v/>
      </c>
      <c r="U325" s="206"/>
      <c r="V325" s="183" t="str">
        <f t="array" ref="V325">IF(Table133[[#This Row],[Survey?]]="","",IFERROR(INDEX([2]Rubric!$G$3:$G$94,MATCH(1,([2]Rubric!$E$3:$E$94=V$2)*([2]Rubric!$F$3:$F$94='[2]Questionnaire Responses'!V326),0)),"MISSING"))</f>
        <v/>
      </c>
      <c r="W325" s="206"/>
      <c r="X325" s="183" t="str">
        <f t="array" ref="X325">IF(Table133[[#This Row],[Survey?]]="","",IFERROR(INDEX([2]Rubric!$G$3:$G$94,MATCH(1,([2]Rubric!$E$3:$E$94=X$2)*([2]Rubric!$F$3:$F$94='[2]Questionnaire Responses'!X326),0)),"MISSING"))</f>
        <v/>
      </c>
      <c r="Y325" s="206"/>
      <c r="Z325" s="183" t="str">
        <f t="array" ref="Z325">IF(Table133[[#This Row],[Survey?]]="","",IFERROR(INDEX([2]Rubric!$G$3:$G$94,MATCH(1,([2]Rubric!$E$3:$E$94=Z$2)*([2]Rubric!$F$3:$F$94='[2]Questionnaire Responses'!Z326),0)),"MISSING"))</f>
        <v/>
      </c>
      <c r="AA325" s="183" t="str">
        <f t="array" ref="AA325">IF(Table133[[#This Row],[Survey?]]="","",IFERROR(INDEX([2]Rubric!$G$3:$G$94,MATCH(1,([2]Rubric!$E$3:$E$94=AA$2)*([2]Rubric!$F$3:$F$94='[2]Questionnaire Responses'!AA326),0)),"MISSING"))</f>
        <v/>
      </c>
      <c r="AB325" s="183" t="str">
        <f t="array" ref="AB325">IF(Table133[[#This Row],[Survey?]]="","",IFERROR(INDEX([2]Rubric!$G$3:$G$94,MATCH(1,([2]Rubric!$E$3:$E$94=AB$2)*([2]Rubric!$F$3:$F$94='[2]Questionnaire Responses'!AB326),0)),"MISSING"))</f>
        <v/>
      </c>
      <c r="AC325" s="206"/>
      <c r="AD325" s="183" t="str">
        <f t="array" ref="AD325">IF(Table133[[#This Row],[Survey?]]="","",IFERROR(INDEX([2]Rubric!$G$3:$G$94,MATCH(1,([2]Rubric!$E$3:$E$94=AD$2)*([2]Rubric!$F$3:$F$94='[2]Questionnaire Responses'!AD326),0)),"MISSING"))</f>
        <v/>
      </c>
      <c r="AE325" s="183" t="str">
        <f t="array" ref="AE325">IF(Table133[[#This Row],[Survey?]]="","",IFERROR(INDEX([2]Rubric!$G$3:$G$94,MATCH(1,([2]Rubric!$E$3:$E$94=AE$2)*([2]Rubric!$F$3:$F$94='[2]Questionnaire Responses'!AE326),0)),"MISSING"))</f>
        <v/>
      </c>
      <c r="AF325" s="206"/>
      <c r="AG325" s="183" t="str">
        <f t="array" ref="AG325">IF(Table133[[#This Row],[Survey?]]="","",IFERROR(INDEX([2]Rubric!$G$3:$G$94,MATCH(1,([2]Rubric!$E$3:$E$94=AG$2)*([2]Rubric!$F$3:$F$94='[2]Questionnaire Responses'!AG326),0)),"MISSING"))</f>
        <v/>
      </c>
    </row>
    <row r="326" spans="1:33" ht="12.75" customHeight="1" x14ac:dyDescent="0.25">
      <c r="A326" s="207">
        <f>'[2]Questionnaire Responses'!A327</f>
        <v>0</v>
      </c>
      <c r="B326" s="198">
        <f>'[2]Questionnaire Responses'!B327</f>
        <v>0</v>
      </c>
      <c r="C326" s="153">
        <f>'[2]Questionnaire Responses'!C327</f>
        <v>0</v>
      </c>
      <c r="D326" s="208"/>
      <c r="E326" s="206"/>
      <c r="F326" s="183" t="str">
        <f t="array" ref="F326">IF(Table133[[#This Row],[Survey?]]="","",IFERROR(INDEX([2]Rubric!$G$3:$G$94,MATCH(1,([2]Rubric!$E$3:$E$94=F$2)*([2]Rubric!$F$3:$F$94='[2]Questionnaire Responses'!F327),0)),"MISSING"))</f>
        <v/>
      </c>
      <c r="G326" s="183" t="str">
        <f t="array" ref="G326">IF(Table133[[#This Row],[Survey?]]="","",IFERROR(INDEX([2]Rubric!$G$3:$G$94,MATCH(1,([2]Rubric!$E$3:$E$94=G$2)*([2]Rubric!$F$3:$F$94='[2]Questionnaire Responses'!G327),0)),"MISSING"))</f>
        <v/>
      </c>
      <c r="H326" s="183" t="str">
        <f t="array" ref="H326">IF(Table133[[#This Row],[Survey?]]="","",IFERROR(INDEX([2]Rubric!$G$3:$G$94,MATCH(1,([2]Rubric!$E$3:$E$94=H$2)*([2]Rubric!$F$3:$F$94='[2]Questionnaire Responses'!H327),0)),"MISSING"))</f>
        <v/>
      </c>
      <c r="I326" s="183" t="str">
        <f t="array" ref="I326">IF(Table133[[#This Row],[Survey?]]="","",IFERROR(INDEX([2]Rubric!$G$3:$G$94,MATCH(1,([2]Rubric!$E$3:$E$94=I$2)*([2]Rubric!$F$3:$F$94='[2]Questionnaire Responses'!I327),0)),"MISSING"))</f>
        <v/>
      </c>
      <c r="J326" s="183" t="str">
        <f t="array" ref="J326">IF(Table133[[#This Row],[Survey?]]="","",IFERROR(INDEX([2]Rubric!$G$3:$G$94,MATCH(1,([2]Rubric!$E$3:$E$94=J$2)*([2]Rubric!$F$3:$F$94='[2]Questionnaire Responses'!J327),0)),"MISSING"))</f>
        <v/>
      </c>
      <c r="K326" s="206"/>
      <c r="L326" s="183" t="str">
        <f t="array" ref="L326">IF(Table133[[#This Row],[Survey?]]="","",IFERROR(INDEX([2]Rubric!$G$3:$G$94,MATCH(1,([2]Rubric!$E$3:$E$94=L$2)*([2]Rubric!$F$3:$F$94='[2]Questionnaire Responses'!L327),0)),"MISSING"))</f>
        <v/>
      </c>
      <c r="M326" s="206"/>
      <c r="N326" s="183" t="str">
        <f t="array" ref="N326">IF(Table133[[#This Row],[Survey?]]="","",IFERROR(INDEX([2]Rubric!$G$3:$G$94,MATCH(1,([2]Rubric!$E$3:$E$94=N$2)*([2]Rubric!$F$3:$F$94='[2]Questionnaire Responses'!N327),0)),"MISSING"))</f>
        <v/>
      </c>
      <c r="O326" s="183" t="str">
        <f t="array" ref="O326">IF(Table133[[#This Row],[Survey?]]="","",IFERROR(INDEX([2]Rubric!$G$3:$G$94,MATCH(1,([2]Rubric!$E$3:$E$94=O$2)*([2]Rubric!$F$3:$F$94='[2]Questionnaire Responses'!O327),0)),"MISSING"))</f>
        <v/>
      </c>
      <c r="P326" s="206"/>
      <c r="Q326" s="183" t="str">
        <f t="array" ref="Q326">IF(Table133[[#This Row],[Survey?]]="","",IFERROR(INDEX([2]Rubric!$G$3:$G$94,MATCH(1,([2]Rubric!$E$3:$E$94=Q$2)*([2]Rubric!$F$3:$F$94='[2]Questionnaire Responses'!Q327),0)),"MISSING"))</f>
        <v/>
      </c>
      <c r="R326" s="183" t="str">
        <f t="array" ref="R326">IF(Table133[[#This Row],[Survey?]]="","",IFERROR(INDEX([2]Rubric!$G$3:$G$94,MATCH(1,([2]Rubric!$E$3:$E$94=R$2)*([2]Rubric!$F$3:$F$94='[2]Questionnaire Responses'!R327),0)),"MISSING"))</f>
        <v/>
      </c>
      <c r="S326" s="183" t="str">
        <f t="array" ref="S326">IF(Table133[[#This Row],[Survey?]]="","",IFERROR(INDEX([2]Rubric!$G$3:$G$94,MATCH(1,([2]Rubric!$E$3:$E$94=S$2)*([2]Rubric!$F$3:$F$94='[2]Questionnaire Responses'!S327),0)),"MISSING"))</f>
        <v/>
      </c>
      <c r="T326" s="183" t="str">
        <f t="array" ref="T326">IF(Table133[[#This Row],[Survey?]]="","",IFERROR(INDEX([2]Rubric!$G$3:$G$94,MATCH(1,([2]Rubric!$E$3:$E$94=T$2)*([2]Rubric!$F$3:$F$94='[2]Questionnaire Responses'!T327),0)),"MISSING"))</f>
        <v/>
      </c>
      <c r="U326" s="206"/>
      <c r="V326" s="183" t="str">
        <f t="array" ref="V326">IF(Table133[[#This Row],[Survey?]]="","",IFERROR(INDEX([2]Rubric!$G$3:$G$94,MATCH(1,([2]Rubric!$E$3:$E$94=V$2)*([2]Rubric!$F$3:$F$94='[2]Questionnaire Responses'!V327),0)),"MISSING"))</f>
        <v/>
      </c>
      <c r="W326" s="206"/>
      <c r="X326" s="183" t="str">
        <f t="array" ref="X326">IF(Table133[[#This Row],[Survey?]]="","",IFERROR(INDEX([2]Rubric!$G$3:$G$94,MATCH(1,([2]Rubric!$E$3:$E$94=X$2)*([2]Rubric!$F$3:$F$94='[2]Questionnaire Responses'!X327),0)),"MISSING"))</f>
        <v/>
      </c>
      <c r="Y326" s="206"/>
      <c r="Z326" s="183" t="str">
        <f t="array" ref="Z326">IF(Table133[[#This Row],[Survey?]]="","",IFERROR(INDEX([2]Rubric!$G$3:$G$94,MATCH(1,([2]Rubric!$E$3:$E$94=Z$2)*([2]Rubric!$F$3:$F$94='[2]Questionnaire Responses'!Z327),0)),"MISSING"))</f>
        <v/>
      </c>
      <c r="AA326" s="183" t="str">
        <f t="array" ref="AA326">IF(Table133[[#This Row],[Survey?]]="","",IFERROR(INDEX([2]Rubric!$G$3:$G$94,MATCH(1,([2]Rubric!$E$3:$E$94=AA$2)*([2]Rubric!$F$3:$F$94='[2]Questionnaire Responses'!AA327),0)),"MISSING"))</f>
        <v/>
      </c>
      <c r="AB326" s="183" t="str">
        <f t="array" ref="AB326">IF(Table133[[#This Row],[Survey?]]="","",IFERROR(INDEX([2]Rubric!$G$3:$G$94,MATCH(1,([2]Rubric!$E$3:$E$94=AB$2)*([2]Rubric!$F$3:$F$94='[2]Questionnaire Responses'!AB327),0)),"MISSING"))</f>
        <v/>
      </c>
      <c r="AC326" s="206"/>
      <c r="AD326" s="183" t="str">
        <f t="array" ref="AD326">IF(Table133[[#This Row],[Survey?]]="","",IFERROR(INDEX([2]Rubric!$G$3:$G$94,MATCH(1,([2]Rubric!$E$3:$E$94=AD$2)*([2]Rubric!$F$3:$F$94='[2]Questionnaire Responses'!AD327),0)),"MISSING"))</f>
        <v/>
      </c>
      <c r="AE326" s="183" t="str">
        <f t="array" ref="AE326">IF(Table133[[#This Row],[Survey?]]="","",IFERROR(INDEX([2]Rubric!$G$3:$G$94,MATCH(1,([2]Rubric!$E$3:$E$94=AE$2)*([2]Rubric!$F$3:$F$94='[2]Questionnaire Responses'!AE327),0)),"MISSING"))</f>
        <v/>
      </c>
      <c r="AF326" s="206"/>
      <c r="AG326" s="183" t="str">
        <f t="array" ref="AG326">IF(Table133[[#This Row],[Survey?]]="","",IFERROR(INDEX([2]Rubric!$G$3:$G$94,MATCH(1,([2]Rubric!$E$3:$E$94=AG$2)*([2]Rubric!$F$3:$F$94='[2]Questionnaire Responses'!AG327),0)),"MISSING"))</f>
        <v/>
      </c>
    </row>
    <row r="327" spans="1:33" ht="12.75" customHeight="1" x14ac:dyDescent="0.25">
      <c r="A327" s="207">
        <f>'[2]Questionnaire Responses'!A328</f>
        <v>0</v>
      </c>
      <c r="B327" s="198">
        <f>'[2]Questionnaire Responses'!B328</f>
        <v>0</v>
      </c>
      <c r="C327" s="153">
        <f>'[2]Questionnaire Responses'!C328</f>
        <v>0</v>
      </c>
      <c r="D327" s="208"/>
      <c r="E327" s="206"/>
      <c r="F327" s="183" t="str">
        <f t="array" ref="F327">IF(Table133[[#This Row],[Survey?]]="","",IFERROR(INDEX([2]Rubric!$G$3:$G$94,MATCH(1,([2]Rubric!$E$3:$E$94=F$2)*([2]Rubric!$F$3:$F$94='[2]Questionnaire Responses'!F328),0)),"MISSING"))</f>
        <v/>
      </c>
      <c r="G327" s="183" t="str">
        <f t="array" ref="G327">IF(Table133[[#This Row],[Survey?]]="","",IFERROR(INDEX([2]Rubric!$G$3:$G$94,MATCH(1,([2]Rubric!$E$3:$E$94=G$2)*([2]Rubric!$F$3:$F$94='[2]Questionnaire Responses'!G328),0)),"MISSING"))</f>
        <v/>
      </c>
      <c r="H327" s="183" t="str">
        <f t="array" ref="H327">IF(Table133[[#This Row],[Survey?]]="","",IFERROR(INDEX([2]Rubric!$G$3:$G$94,MATCH(1,([2]Rubric!$E$3:$E$94=H$2)*([2]Rubric!$F$3:$F$94='[2]Questionnaire Responses'!H328),0)),"MISSING"))</f>
        <v/>
      </c>
      <c r="I327" s="183" t="str">
        <f t="array" ref="I327">IF(Table133[[#This Row],[Survey?]]="","",IFERROR(INDEX([2]Rubric!$G$3:$G$94,MATCH(1,([2]Rubric!$E$3:$E$94=I$2)*([2]Rubric!$F$3:$F$94='[2]Questionnaire Responses'!I328),0)),"MISSING"))</f>
        <v/>
      </c>
      <c r="J327" s="183" t="str">
        <f t="array" ref="J327">IF(Table133[[#This Row],[Survey?]]="","",IFERROR(INDEX([2]Rubric!$G$3:$G$94,MATCH(1,([2]Rubric!$E$3:$E$94=J$2)*([2]Rubric!$F$3:$F$94='[2]Questionnaire Responses'!J328),0)),"MISSING"))</f>
        <v/>
      </c>
      <c r="K327" s="206"/>
      <c r="L327" s="183" t="str">
        <f t="array" ref="L327">IF(Table133[[#This Row],[Survey?]]="","",IFERROR(INDEX([2]Rubric!$G$3:$G$94,MATCH(1,([2]Rubric!$E$3:$E$94=L$2)*([2]Rubric!$F$3:$F$94='[2]Questionnaire Responses'!L328),0)),"MISSING"))</f>
        <v/>
      </c>
      <c r="M327" s="206"/>
      <c r="N327" s="183" t="str">
        <f t="array" ref="N327">IF(Table133[[#This Row],[Survey?]]="","",IFERROR(INDEX([2]Rubric!$G$3:$G$94,MATCH(1,([2]Rubric!$E$3:$E$94=N$2)*([2]Rubric!$F$3:$F$94='[2]Questionnaire Responses'!N328),0)),"MISSING"))</f>
        <v/>
      </c>
      <c r="O327" s="183" t="str">
        <f t="array" ref="O327">IF(Table133[[#This Row],[Survey?]]="","",IFERROR(INDEX([2]Rubric!$G$3:$G$94,MATCH(1,([2]Rubric!$E$3:$E$94=O$2)*([2]Rubric!$F$3:$F$94='[2]Questionnaire Responses'!O328),0)),"MISSING"))</f>
        <v/>
      </c>
      <c r="P327" s="206"/>
      <c r="Q327" s="183" t="str">
        <f t="array" ref="Q327">IF(Table133[[#This Row],[Survey?]]="","",IFERROR(INDEX([2]Rubric!$G$3:$G$94,MATCH(1,([2]Rubric!$E$3:$E$94=Q$2)*([2]Rubric!$F$3:$F$94='[2]Questionnaire Responses'!Q328),0)),"MISSING"))</f>
        <v/>
      </c>
      <c r="R327" s="183" t="str">
        <f t="array" ref="R327">IF(Table133[[#This Row],[Survey?]]="","",IFERROR(INDEX([2]Rubric!$G$3:$G$94,MATCH(1,([2]Rubric!$E$3:$E$94=R$2)*([2]Rubric!$F$3:$F$94='[2]Questionnaire Responses'!R328),0)),"MISSING"))</f>
        <v/>
      </c>
      <c r="S327" s="183" t="str">
        <f t="array" ref="S327">IF(Table133[[#This Row],[Survey?]]="","",IFERROR(INDEX([2]Rubric!$G$3:$G$94,MATCH(1,([2]Rubric!$E$3:$E$94=S$2)*([2]Rubric!$F$3:$F$94='[2]Questionnaire Responses'!S328),0)),"MISSING"))</f>
        <v/>
      </c>
      <c r="T327" s="183" t="str">
        <f t="array" ref="T327">IF(Table133[[#This Row],[Survey?]]="","",IFERROR(INDEX([2]Rubric!$G$3:$G$94,MATCH(1,([2]Rubric!$E$3:$E$94=T$2)*([2]Rubric!$F$3:$F$94='[2]Questionnaire Responses'!T328),0)),"MISSING"))</f>
        <v/>
      </c>
      <c r="U327" s="206"/>
      <c r="V327" s="183" t="str">
        <f t="array" ref="V327">IF(Table133[[#This Row],[Survey?]]="","",IFERROR(INDEX([2]Rubric!$G$3:$G$94,MATCH(1,([2]Rubric!$E$3:$E$94=V$2)*([2]Rubric!$F$3:$F$94='[2]Questionnaire Responses'!V328),0)),"MISSING"))</f>
        <v/>
      </c>
      <c r="W327" s="206"/>
      <c r="X327" s="183" t="str">
        <f t="array" ref="X327">IF(Table133[[#This Row],[Survey?]]="","",IFERROR(INDEX([2]Rubric!$G$3:$G$94,MATCH(1,([2]Rubric!$E$3:$E$94=X$2)*([2]Rubric!$F$3:$F$94='[2]Questionnaire Responses'!X328),0)),"MISSING"))</f>
        <v/>
      </c>
      <c r="Y327" s="206"/>
      <c r="Z327" s="183" t="str">
        <f t="array" ref="Z327">IF(Table133[[#This Row],[Survey?]]="","",IFERROR(INDEX([2]Rubric!$G$3:$G$94,MATCH(1,([2]Rubric!$E$3:$E$94=Z$2)*([2]Rubric!$F$3:$F$94='[2]Questionnaire Responses'!Z328),0)),"MISSING"))</f>
        <v/>
      </c>
      <c r="AA327" s="183" t="str">
        <f t="array" ref="AA327">IF(Table133[[#This Row],[Survey?]]="","",IFERROR(INDEX([2]Rubric!$G$3:$G$94,MATCH(1,([2]Rubric!$E$3:$E$94=AA$2)*([2]Rubric!$F$3:$F$94='[2]Questionnaire Responses'!AA328),0)),"MISSING"))</f>
        <v/>
      </c>
      <c r="AB327" s="183" t="str">
        <f t="array" ref="AB327">IF(Table133[[#This Row],[Survey?]]="","",IFERROR(INDEX([2]Rubric!$G$3:$G$94,MATCH(1,([2]Rubric!$E$3:$E$94=AB$2)*([2]Rubric!$F$3:$F$94='[2]Questionnaire Responses'!AB328),0)),"MISSING"))</f>
        <v/>
      </c>
      <c r="AC327" s="206"/>
      <c r="AD327" s="183" t="str">
        <f t="array" ref="AD327">IF(Table133[[#This Row],[Survey?]]="","",IFERROR(INDEX([2]Rubric!$G$3:$G$94,MATCH(1,([2]Rubric!$E$3:$E$94=AD$2)*([2]Rubric!$F$3:$F$94='[2]Questionnaire Responses'!AD328),0)),"MISSING"))</f>
        <v/>
      </c>
      <c r="AE327" s="183" t="str">
        <f t="array" ref="AE327">IF(Table133[[#This Row],[Survey?]]="","",IFERROR(INDEX([2]Rubric!$G$3:$G$94,MATCH(1,([2]Rubric!$E$3:$E$94=AE$2)*([2]Rubric!$F$3:$F$94='[2]Questionnaire Responses'!AE328),0)),"MISSING"))</f>
        <v/>
      </c>
      <c r="AF327" s="206"/>
      <c r="AG327" s="183" t="str">
        <f t="array" ref="AG327">IF(Table133[[#This Row],[Survey?]]="","",IFERROR(INDEX([2]Rubric!$G$3:$G$94,MATCH(1,([2]Rubric!$E$3:$E$94=AG$2)*([2]Rubric!$F$3:$F$94='[2]Questionnaire Responses'!AG328),0)),"MISSING"))</f>
        <v/>
      </c>
    </row>
    <row r="328" spans="1:33" ht="12.75" customHeight="1" x14ac:dyDescent="0.25">
      <c r="A328" s="207">
        <f>'[2]Questionnaire Responses'!A329</f>
        <v>0</v>
      </c>
      <c r="B328" s="198">
        <f>'[2]Questionnaire Responses'!B329</f>
        <v>0</v>
      </c>
      <c r="C328" s="153">
        <f>'[2]Questionnaire Responses'!C329</f>
        <v>0</v>
      </c>
      <c r="D328" s="208"/>
      <c r="E328" s="206"/>
      <c r="F328" s="183" t="str">
        <f t="array" ref="F328">IF(Table133[[#This Row],[Survey?]]="","",IFERROR(INDEX([2]Rubric!$G$3:$G$94,MATCH(1,([2]Rubric!$E$3:$E$94=F$2)*([2]Rubric!$F$3:$F$94='[2]Questionnaire Responses'!F329),0)),"MISSING"))</f>
        <v/>
      </c>
      <c r="G328" s="183" t="str">
        <f t="array" ref="G328">IF(Table133[[#This Row],[Survey?]]="","",IFERROR(INDEX([2]Rubric!$G$3:$G$94,MATCH(1,([2]Rubric!$E$3:$E$94=G$2)*([2]Rubric!$F$3:$F$94='[2]Questionnaire Responses'!G329),0)),"MISSING"))</f>
        <v/>
      </c>
      <c r="H328" s="183" t="str">
        <f t="array" ref="H328">IF(Table133[[#This Row],[Survey?]]="","",IFERROR(INDEX([2]Rubric!$G$3:$G$94,MATCH(1,([2]Rubric!$E$3:$E$94=H$2)*([2]Rubric!$F$3:$F$94='[2]Questionnaire Responses'!H329),0)),"MISSING"))</f>
        <v/>
      </c>
      <c r="I328" s="183" t="str">
        <f t="array" ref="I328">IF(Table133[[#This Row],[Survey?]]="","",IFERROR(INDEX([2]Rubric!$G$3:$G$94,MATCH(1,([2]Rubric!$E$3:$E$94=I$2)*([2]Rubric!$F$3:$F$94='[2]Questionnaire Responses'!I329),0)),"MISSING"))</f>
        <v/>
      </c>
      <c r="J328" s="183" t="str">
        <f t="array" ref="J328">IF(Table133[[#This Row],[Survey?]]="","",IFERROR(INDEX([2]Rubric!$G$3:$G$94,MATCH(1,([2]Rubric!$E$3:$E$94=J$2)*([2]Rubric!$F$3:$F$94='[2]Questionnaire Responses'!J329),0)),"MISSING"))</f>
        <v/>
      </c>
      <c r="K328" s="206"/>
      <c r="L328" s="183" t="str">
        <f t="array" ref="L328">IF(Table133[[#This Row],[Survey?]]="","",IFERROR(INDEX([2]Rubric!$G$3:$G$94,MATCH(1,([2]Rubric!$E$3:$E$94=L$2)*([2]Rubric!$F$3:$F$94='[2]Questionnaire Responses'!L329),0)),"MISSING"))</f>
        <v/>
      </c>
      <c r="M328" s="206"/>
      <c r="N328" s="183" t="str">
        <f t="array" ref="N328">IF(Table133[[#This Row],[Survey?]]="","",IFERROR(INDEX([2]Rubric!$G$3:$G$94,MATCH(1,([2]Rubric!$E$3:$E$94=N$2)*([2]Rubric!$F$3:$F$94='[2]Questionnaire Responses'!N329),0)),"MISSING"))</f>
        <v/>
      </c>
      <c r="O328" s="183" t="str">
        <f t="array" ref="O328">IF(Table133[[#This Row],[Survey?]]="","",IFERROR(INDEX([2]Rubric!$G$3:$G$94,MATCH(1,([2]Rubric!$E$3:$E$94=O$2)*([2]Rubric!$F$3:$F$94='[2]Questionnaire Responses'!O329),0)),"MISSING"))</f>
        <v/>
      </c>
      <c r="P328" s="206"/>
      <c r="Q328" s="183" t="str">
        <f t="array" ref="Q328">IF(Table133[[#This Row],[Survey?]]="","",IFERROR(INDEX([2]Rubric!$G$3:$G$94,MATCH(1,([2]Rubric!$E$3:$E$94=Q$2)*([2]Rubric!$F$3:$F$94='[2]Questionnaire Responses'!Q329),0)),"MISSING"))</f>
        <v/>
      </c>
      <c r="R328" s="183" t="str">
        <f t="array" ref="R328">IF(Table133[[#This Row],[Survey?]]="","",IFERROR(INDEX([2]Rubric!$G$3:$G$94,MATCH(1,([2]Rubric!$E$3:$E$94=R$2)*([2]Rubric!$F$3:$F$94='[2]Questionnaire Responses'!R329),0)),"MISSING"))</f>
        <v/>
      </c>
      <c r="S328" s="183" t="str">
        <f t="array" ref="S328">IF(Table133[[#This Row],[Survey?]]="","",IFERROR(INDEX([2]Rubric!$G$3:$G$94,MATCH(1,([2]Rubric!$E$3:$E$94=S$2)*([2]Rubric!$F$3:$F$94='[2]Questionnaire Responses'!S329),0)),"MISSING"))</f>
        <v/>
      </c>
      <c r="T328" s="183" t="str">
        <f t="array" ref="T328">IF(Table133[[#This Row],[Survey?]]="","",IFERROR(INDEX([2]Rubric!$G$3:$G$94,MATCH(1,([2]Rubric!$E$3:$E$94=T$2)*([2]Rubric!$F$3:$F$94='[2]Questionnaire Responses'!T329),0)),"MISSING"))</f>
        <v/>
      </c>
      <c r="U328" s="206"/>
      <c r="V328" s="183" t="str">
        <f t="array" ref="V328">IF(Table133[[#This Row],[Survey?]]="","",IFERROR(INDEX([2]Rubric!$G$3:$G$94,MATCH(1,([2]Rubric!$E$3:$E$94=V$2)*([2]Rubric!$F$3:$F$94='[2]Questionnaire Responses'!V329),0)),"MISSING"))</f>
        <v/>
      </c>
      <c r="W328" s="206"/>
      <c r="X328" s="183" t="str">
        <f t="array" ref="X328">IF(Table133[[#This Row],[Survey?]]="","",IFERROR(INDEX([2]Rubric!$G$3:$G$94,MATCH(1,([2]Rubric!$E$3:$E$94=X$2)*([2]Rubric!$F$3:$F$94='[2]Questionnaire Responses'!X329),0)),"MISSING"))</f>
        <v/>
      </c>
      <c r="Y328" s="206"/>
      <c r="Z328" s="183" t="str">
        <f t="array" ref="Z328">IF(Table133[[#This Row],[Survey?]]="","",IFERROR(INDEX([2]Rubric!$G$3:$G$94,MATCH(1,([2]Rubric!$E$3:$E$94=Z$2)*([2]Rubric!$F$3:$F$94='[2]Questionnaire Responses'!Z329),0)),"MISSING"))</f>
        <v/>
      </c>
      <c r="AA328" s="183" t="str">
        <f t="array" ref="AA328">IF(Table133[[#This Row],[Survey?]]="","",IFERROR(INDEX([2]Rubric!$G$3:$G$94,MATCH(1,([2]Rubric!$E$3:$E$94=AA$2)*([2]Rubric!$F$3:$F$94='[2]Questionnaire Responses'!AA329),0)),"MISSING"))</f>
        <v/>
      </c>
      <c r="AB328" s="183" t="str">
        <f t="array" ref="AB328">IF(Table133[[#This Row],[Survey?]]="","",IFERROR(INDEX([2]Rubric!$G$3:$G$94,MATCH(1,([2]Rubric!$E$3:$E$94=AB$2)*([2]Rubric!$F$3:$F$94='[2]Questionnaire Responses'!AB329),0)),"MISSING"))</f>
        <v/>
      </c>
      <c r="AC328" s="206"/>
      <c r="AD328" s="183" t="str">
        <f t="array" ref="AD328">IF(Table133[[#This Row],[Survey?]]="","",IFERROR(INDEX([2]Rubric!$G$3:$G$94,MATCH(1,([2]Rubric!$E$3:$E$94=AD$2)*([2]Rubric!$F$3:$F$94='[2]Questionnaire Responses'!AD329),0)),"MISSING"))</f>
        <v/>
      </c>
      <c r="AE328" s="183" t="str">
        <f t="array" ref="AE328">IF(Table133[[#This Row],[Survey?]]="","",IFERROR(INDEX([2]Rubric!$G$3:$G$94,MATCH(1,([2]Rubric!$E$3:$E$94=AE$2)*([2]Rubric!$F$3:$F$94='[2]Questionnaire Responses'!AE329),0)),"MISSING"))</f>
        <v/>
      </c>
      <c r="AF328" s="206"/>
      <c r="AG328" s="183" t="str">
        <f t="array" ref="AG328">IF(Table133[[#This Row],[Survey?]]="","",IFERROR(INDEX([2]Rubric!$G$3:$G$94,MATCH(1,([2]Rubric!$E$3:$E$94=AG$2)*([2]Rubric!$F$3:$F$94='[2]Questionnaire Responses'!AG329),0)),"MISSING"))</f>
        <v/>
      </c>
    </row>
    <row r="329" spans="1:33" ht="12.75" customHeight="1" x14ac:dyDescent="0.25">
      <c r="A329" s="207">
        <f>'[2]Questionnaire Responses'!A330</f>
        <v>0</v>
      </c>
      <c r="B329" s="198">
        <f>'[2]Questionnaire Responses'!B330</f>
        <v>0</v>
      </c>
      <c r="C329" s="153">
        <f>'[2]Questionnaire Responses'!C330</f>
        <v>0</v>
      </c>
      <c r="D329" s="208"/>
      <c r="E329" s="206"/>
      <c r="F329" s="183" t="str">
        <f t="array" ref="F329">IF(Table133[[#This Row],[Survey?]]="","",IFERROR(INDEX([2]Rubric!$G$3:$G$94,MATCH(1,([2]Rubric!$E$3:$E$94=F$2)*([2]Rubric!$F$3:$F$94='[2]Questionnaire Responses'!F330),0)),"MISSING"))</f>
        <v/>
      </c>
      <c r="G329" s="183" t="str">
        <f t="array" ref="G329">IF(Table133[[#This Row],[Survey?]]="","",IFERROR(INDEX([2]Rubric!$G$3:$G$94,MATCH(1,([2]Rubric!$E$3:$E$94=G$2)*([2]Rubric!$F$3:$F$94='[2]Questionnaire Responses'!G330),0)),"MISSING"))</f>
        <v/>
      </c>
      <c r="H329" s="183" t="str">
        <f t="array" ref="H329">IF(Table133[[#This Row],[Survey?]]="","",IFERROR(INDEX([2]Rubric!$G$3:$G$94,MATCH(1,([2]Rubric!$E$3:$E$94=H$2)*([2]Rubric!$F$3:$F$94='[2]Questionnaire Responses'!H330),0)),"MISSING"))</f>
        <v/>
      </c>
      <c r="I329" s="183" t="str">
        <f t="array" ref="I329">IF(Table133[[#This Row],[Survey?]]="","",IFERROR(INDEX([2]Rubric!$G$3:$G$94,MATCH(1,([2]Rubric!$E$3:$E$94=I$2)*([2]Rubric!$F$3:$F$94='[2]Questionnaire Responses'!I330),0)),"MISSING"))</f>
        <v/>
      </c>
      <c r="J329" s="183" t="str">
        <f t="array" ref="J329">IF(Table133[[#This Row],[Survey?]]="","",IFERROR(INDEX([2]Rubric!$G$3:$G$94,MATCH(1,([2]Rubric!$E$3:$E$94=J$2)*([2]Rubric!$F$3:$F$94='[2]Questionnaire Responses'!J330),0)),"MISSING"))</f>
        <v/>
      </c>
      <c r="K329" s="206"/>
      <c r="L329" s="183" t="str">
        <f t="array" ref="L329">IF(Table133[[#This Row],[Survey?]]="","",IFERROR(INDEX([2]Rubric!$G$3:$G$94,MATCH(1,([2]Rubric!$E$3:$E$94=L$2)*([2]Rubric!$F$3:$F$94='[2]Questionnaire Responses'!L330),0)),"MISSING"))</f>
        <v/>
      </c>
      <c r="M329" s="206"/>
      <c r="N329" s="183" t="str">
        <f t="array" ref="N329">IF(Table133[[#This Row],[Survey?]]="","",IFERROR(INDEX([2]Rubric!$G$3:$G$94,MATCH(1,([2]Rubric!$E$3:$E$94=N$2)*([2]Rubric!$F$3:$F$94='[2]Questionnaire Responses'!N330),0)),"MISSING"))</f>
        <v/>
      </c>
      <c r="O329" s="183" t="str">
        <f t="array" ref="O329">IF(Table133[[#This Row],[Survey?]]="","",IFERROR(INDEX([2]Rubric!$G$3:$G$94,MATCH(1,([2]Rubric!$E$3:$E$94=O$2)*([2]Rubric!$F$3:$F$94='[2]Questionnaire Responses'!O330),0)),"MISSING"))</f>
        <v/>
      </c>
      <c r="P329" s="206"/>
      <c r="Q329" s="183" t="str">
        <f t="array" ref="Q329">IF(Table133[[#This Row],[Survey?]]="","",IFERROR(INDEX([2]Rubric!$G$3:$G$94,MATCH(1,([2]Rubric!$E$3:$E$94=Q$2)*([2]Rubric!$F$3:$F$94='[2]Questionnaire Responses'!Q330),0)),"MISSING"))</f>
        <v/>
      </c>
      <c r="R329" s="183" t="str">
        <f t="array" ref="R329">IF(Table133[[#This Row],[Survey?]]="","",IFERROR(INDEX([2]Rubric!$G$3:$G$94,MATCH(1,([2]Rubric!$E$3:$E$94=R$2)*([2]Rubric!$F$3:$F$94='[2]Questionnaire Responses'!R330),0)),"MISSING"))</f>
        <v/>
      </c>
      <c r="S329" s="183" t="str">
        <f t="array" ref="S329">IF(Table133[[#This Row],[Survey?]]="","",IFERROR(INDEX([2]Rubric!$G$3:$G$94,MATCH(1,([2]Rubric!$E$3:$E$94=S$2)*([2]Rubric!$F$3:$F$94='[2]Questionnaire Responses'!S330),0)),"MISSING"))</f>
        <v/>
      </c>
      <c r="T329" s="183" t="str">
        <f t="array" ref="T329">IF(Table133[[#This Row],[Survey?]]="","",IFERROR(INDEX([2]Rubric!$G$3:$G$94,MATCH(1,([2]Rubric!$E$3:$E$94=T$2)*([2]Rubric!$F$3:$F$94='[2]Questionnaire Responses'!T330),0)),"MISSING"))</f>
        <v/>
      </c>
      <c r="U329" s="206"/>
      <c r="V329" s="183" t="str">
        <f t="array" ref="V329">IF(Table133[[#This Row],[Survey?]]="","",IFERROR(INDEX([2]Rubric!$G$3:$G$94,MATCH(1,([2]Rubric!$E$3:$E$94=V$2)*([2]Rubric!$F$3:$F$94='[2]Questionnaire Responses'!V330),0)),"MISSING"))</f>
        <v/>
      </c>
      <c r="W329" s="206"/>
      <c r="X329" s="183" t="str">
        <f t="array" ref="X329">IF(Table133[[#This Row],[Survey?]]="","",IFERROR(INDEX([2]Rubric!$G$3:$G$94,MATCH(1,([2]Rubric!$E$3:$E$94=X$2)*([2]Rubric!$F$3:$F$94='[2]Questionnaire Responses'!X330),0)),"MISSING"))</f>
        <v/>
      </c>
      <c r="Y329" s="206"/>
      <c r="Z329" s="183" t="str">
        <f t="array" ref="Z329">IF(Table133[[#This Row],[Survey?]]="","",IFERROR(INDEX([2]Rubric!$G$3:$G$94,MATCH(1,([2]Rubric!$E$3:$E$94=Z$2)*([2]Rubric!$F$3:$F$94='[2]Questionnaire Responses'!Z330),0)),"MISSING"))</f>
        <v/>
      </c>
      <c r="AA329" s="183" t="str">
        <f t="array" ref="AA329">IF(Table133[[#This Row],[Survey?]]="","",IFERROR(INDEX([2]Rubric!$G$3:$G$94,MATCH(1,([2]Rubric!$E$3:$E$94=AA$2)*([2]Rubric!$F$3:$F$94='[2]Questionnaire Responses'!AA330),0)),"MISSING"))</f>
        <v/>
      </c>
      <c r="AB329" s="183" t="str">
        <f t="array" ref="AB329">IF(Table133[[#This Row],[Survey?]]="","",IFERROR(INDEX([2]Rubric!$G$3:$G$94,MATCH(1,([2]Rubric!$E$3:$E$94=AB$2)*([2]Rubric!$F$3:$F$94='[2]Questionnaire Responses'!AB330),0)),"MISSING"))</f>
        <v/>
      </c>
      <c r="AC329" s="206"/>
      <c r="AD329" s="183" t="str">
        <f t="array" ref="AD329">IF(Table133[[#This Row],[Survey?]]="","",IFERROR(INDEX([2]Rubric!$G$3:$G$94,MATCH(1,([2]Rubric!$E$3:$E$94=AD$2)*([2]Rubric!$F$3:$F$94='[2]Questionnaire Responses'!AD330),0)),"MISSING"))</f>
        <v/>
      </c>
      <c r="AE329" s="183" t="str">
        <f t="array" ref="AE329">IF(Table133[[#This Row],[Survey?]]="","",IFERROR(INDEX([2]Rubric!$G$3:$G$94,MATCH(1,([2]Rubric!$E$3:$E$94=AE$2)*([2]Rubric!$F$3:$F$94='[2]Questionnaire Responses'!AE330),0)),"MISSING"))</f>
        <v/>
      </c>
      <c r="AF329" s="206"/>
      <c r="AG329" s="183" t="str">
        <f t="array" ref="AG329">IF(Table133[[#This Row],[Survey?]]="","",IFERROR(INDEX([2]Rubric!$G$3:$G$94,MATCH(1,([2]Rubric!$E$3:$E$94=AG$2)*([2]Rubric!$F$3:$F$94='[2]Questionnaire Responses'!AG330),0)),"MISSING"))</f>
        <v/>
      </c>
    </row>
    <row r="330" spans="1:33" ht="12.75" customHeight="1" x14ac:dyDescent="0.25">
      <c r="A330" s="207">
        <f>'[2]Questionnaire Responses'!A331</f>
        <v>0</v>
      </c>
      <c r="B330" s="198">
        <f>'[2]Questionnaire Responses'!B331</f>
        <v>0</v>
      </c>
      <c r="C330" s="153">
        <f>'[2]Questionnaire Responses'!C331</f>
        <v>0</v>
      </c>
      <c r="D330" s="208"/>
      <c r="E330" s="206"/>
      <c r="F330" s="183" t="str">
        <f t="array" ref="F330">IF(Table133[[#This Row],[Survey?]]="","",IFERROR(INDEX([2]Rubric!$G$3:$G$94,MATCH(1,([2]Rubric!$E$3:$E$94=F$2)*([2]Rubric!$F$3:$F$94='[2]Questionnaire Responses'!F331),0)),"MISSING"))</f>
        <v/>
      </c>
      <c r="G330" s="183" t="str">
        <f t="array" ref="G330">IF(Table133[[#This Row],[Survey?]]="","",IFERROR(INDEX([2]Rubric!$G$3:$G$94,MATCH(1,([2]Rubric!$E$3:$E$94=G$2)*([2]Rubric!$F$3:$F$94='[2]Questionnaire Responses'!G331),0)),"MISSING"))</f>
        <v/>
      </c>
      <c r="H330" s="183" t="str">
        <f t="array" ref="H330">IF(Table133[[#This Row],[Survey?]]="","",IFERROR(INDEX([2]Rubric!$G$3:$G$94,MATCH(1,([2]Rubric!$E$3:$E$94=H$2)*([2]Rubric!$F$3:$F$94='[2]Questionnaire Responses'!H331),0)),"MISSING"))</f>
        <v/>
      </c>
      <c r="I330" s="183" t="str">
        <f t="array" ref="I330">IF(Table133[[#This Row],[Survey?]]="","",IFERROR(INDEX([2]Rubric!$G$3:$G$94,MATCH(1,([2]Rubric!$E$3:$E$94=I$2)*([2]Rubric!$F$3:$F$94='[2]Questionnaire Responses'!I331),0)),"MISSING"))</f>
        <v/>
      </c>
      <c r="J330" s="183" t="str">
        <f t="array" ref="J330">IF(Table133[[#This Row],[Survey?]]="","",IFERROR(INDEX([2]Rubric!$G$3:$G$94,MATCH(1,([2]Rubric!$E$3:$E$94=J$2)*([2]Rubric!$F$3:$F$94='[2]Questionnaire Responses'!J331),0)),"MISSING"))</f>
        <v/>
      </c>
      <c r="K330" s="206"/>
      <c r="L330" s="183" t="str">
        <f t="array" ref="L330">IF(Table133[[#This Row],[Survey?]]="","",IFERROR(INDEX([2]Rubric!$G$3:$G$94,MATCH(1,([2]Rubric!$E$3:$E$94=L$2)*([2]Rubric!$F$3:$F$94='[2]Questionnaire Responses'!L331),0)),"MISSING"))</f>
        <v/>
      </c>
      <c r="M330" s="206"/>
      <c r="N330" s="183" t="str">
        <f t="array" ref="N330">IF(Table133[[#This Row],[Survey?]]="","",IFERROR(INDEX([2]Rubric!$G$3:$G$94,MATCH(1,([2]Rubric!$E$3:$E$94=N$2)*([2]Rubric!$F$3:$F$94='[2]Questionnaire Responses'!N331),0)),"MISSING"))</f>
        <v/>
      </c>
      <c r="O330" s="183" t="str">
        <f t="array" ref="O330">IF(Table133[[#This Row],[Survey?]]="","",IFERROR(INDEX([2]Rubric!$G$3:$G$94,MATCH(1,([2]Rubric!$E$3:$E$94=O$2)*([2]Rubric!$F$3:$F$94='[2]Questionnaire Responses'!O331),0)),"MISSING"))</f>
        <v/>
      </c>
      <c r="P330" s="206"/>
      <c r="Q330" s="183" t="str">
        <f t="array" ref="Q330">IF(Table133[[#This Row],[Survey?]]="","",IFERROR(INDEX([2]Rubric!$G$3:$G$94,MATCH(1,([2]Rubric!$E$3:$E$94=Q$2)*([2]Rubric!$F$3:$F$94='[2]Questionnaire Responses'!Q331),0)),"MISSING"))</f>
        <v/>
      </c>
      <c r="R330" s="183" t="str">
        <f t="array" ref="R330">IF(Table133[[#This Row],[Survey?]]="","",IFERROR(INDEX([2]Rubric!$G$3:$G$94,MATCH(1,([2]Rubric!$E$3:$E$94=R$2)*([2]Rubric!$F$3:$F$94='[2]Questionnaire Responses'!R331),0)),"MISSING"))</f>
        <v/>
      </c>
      <c r="S330" s="183" t="str">
        <f t="array" ref="S330">IF(Table133[[#This Row],[Survey?]]="","",IFERROR(INDEX([2]Rubric!$G$3:$G$94,MATCH(1,([2]Rubric!$E$3:$E$94=S$2)*([2]Rubric!$F$3:$F$94='[2]Questionnaire Responses'!S331),0)),"MISSING"))</f>
        <v/>
      </c>
      <c r="T330" s="183" t="str">
        <f t="array" ref="T330">IF(Table133[[#This Row],[Survey?]]="","",IFERROR(INDEX([2]Rubric!$G$3:$G$94,MATCH(1,([2]Rubric!$E$3:$E$94=T$2)*([2]Rubric!$F$3:$F$94='[2]Questionnaire Responses'!T331),0)),"MISSING"))</f>
        <v/>
      </c>
      <c r="U330" s="206"/>
      <c r="V330" s="183" t="str">
        <f t="array" ref="V330">IF(Table133[[#This Row],[Survey?]]="","",IFERROR(INDEX([2]Rubric!$G$3:$G$94,MATCH(1,([2]Rubric!$E$3:$E$94=V$2)*([2]Rubric!$F$3:$F$94='[2]Questionnaire Responses'!V331),0)),"MISSING"))</f>
        <v/>
      </c>
      <c r="W330" s="206"/>
      <c r="X330" s="183" t="str">
        <f t="array" ref="X330">IF(Table133[[#This Row],[Survey?]]="","",IFERROR(INDEX([2]Rubric!$G$3:$G$94,MATCH(1,([2]Rubric!$E$3:$E$94=X$2)*([2]Rubric!$F$3:$F$94='[2]Questionnaire Responses'!X331),0)),"MISSING"))</f>
        <v/>
      </c>
      <c r="Y330" s="206"/>
      <c r="Z330" s="183" t="str">
        <f t="array" ref="Z330">IF(Table133[[#This Row],[Survey?]]="","",IFERROR(INDEX([2]Rubric!$G$3:$G$94,MATCH(1,([2]Rubric!$E$3:$E$94=Z$2)*([2]Rubric!$F$3:$F$94='[2]Questionnaire Responses'!Z331),0)),"MISSING"))</f>
        <v/>
      </c>
      <c r="AA330" s="183" t="str">
        <f t="array" ref="AA330">IF(Table133[[#This Row],[Survey?]]="","",IFERROR(INDEX([2]Rubric!$G$3:$G$94,MATCH(1,([2]Rubric!$E$3:$E$94=AA$2)*([2]Rubric!$F$3:$F$94='[2]Questionnaire Responses'!AA331),0)),"MISSING"))</f>
        <v/>
      </c>
      <c r="AB330" s="183" t="str">
        <f t="array" ref="AB330">IF(Table133[[#This Row],[Survey?]]="","",IFERROR(INDEX([2]Rubric!$G$3:$G$94,MATCH(1,([2]Rubric!$E$3:$E$94=AB$2)*([2]Rubric!$F$3:$F$94='[2]Questionnaire Responses'!AB331),0)),"MISSING"))</f>
        <v/>
      </c>
      <c r="AC330" s="206"/>
      <c r="AD330" s="183" t="str">
        <f t="array" ref="AD330">IF(Table133[[#This Row],[Survey?]]="","",IFERROR(INDEX([2]Rubric!$G$3:$G$94,MATCH(1,([2]Rubric!$E$3:$E$94=AD$2)*([2]Rubric!$F$3:$F$94='[2]Questionnaire Responses'!AD331),0)),"MISSING"))</f>
        <v/>
      </c>
      <c r="AE330" s="183" t="str">
        <f t="array" ref="AE330">IF(Table133[[#This Row],[Survey?]]="","",IFERROR(INDEX([2]Rubric!$G$3:$G$94,MATCH(1,([2]Rubric!$E$3:$E$94=AE$2)*([2]Rubric!$F$3:$F$94='[2]Questionnaire Responses'!AE331),0)),"MISSING"))</f>
        <v/>
      </c>
      <c r="AF330" s="206"/>
      <c r="AG330" s="183" t="str">
        <f t="array" ref="AG330">IF(Table133[[#This Row],[Survey?]]="","",IFERROR(INDEX([2]Rubric!$G$3:$G$94,MATCH(1,([2]Rubric!$E$3:$E$94=AG$2)*([2]Rubric!$F$3:$F$94='[2]Questionnaire Responses'!AG331),0)),"MISSING"))</f>
        <v/>
      </c>
    </row>
    <row r="331" spans="1:33" ht="12.75" customHeight="1" x14ac:dyDescent="0.25">
      <c r="A331" s="207">
        <f>'[2]Questionnaire Responses'!A332</f>
        <v>0</v>
      </c>
      <c r="B331" s="198">
        <f>'[2]Questionnaire Responses'!B332</f>
        <v>0</v>
      </c>
      <c r="C331" s="153">
        <f>'[2]Questionnaire Responses'!C332</f>
        <v>0</v>
      </c>
      <c r="D331" s="208"/>
      <c r="E331" s="206"/>
      <c r="F331" s="183" t="str">
        <f t="array" ref="F331">IF(Table133[[#This Row],[Survey?]]="","",IFERROR(INDEX([2]Rubric!$G$3:$G$94,MATCH(1,([2]Rubric!$E$3:$E$94=F$2)*([2]Rubric!$F$3:$F$94='[2]Questionnaire Responses'!F332),0)),"MISSING"))</f>
        <v/>
      </c>
      <c r="G331" s="183" t="str">
        <f t="array" ref="G331">IF(Table133[[#This Row],[Survey?]]="","",IFERROR(INDEX([2]Rubric!$G$3:$G$94,MATCH(1,([2]Rubric!$E$3:$E$94=G$2)*([2]Rubric!$F$3:$F$94='[2]Questionnaire Responses'!G332),0)),"MISSING"))</f>
        <v/>
      </c>
      <c r="H331" s="183" t="str">
        <f t="array" ref="H331">IF(Table133[[#This Row],[Survey?]]="","",IFERROR(INDEX([2]Rubric!$G$3:$G$94,MATCH(1,([2]Rubric!$E$3:$E$94=H$2)*([2]Rubric!$F$3:$F$94='[2]Questionnaire Responses'!H332),0)),"MISSING"))</f>
        <v/>
      </c>
      <c r="I331" s="183" t="str">
        <f t="array" ref="I331">IF(Table133[[#This Row],[Survey?]]="","",IFERROR(INDEX([2]Rubric!$G$3:$G$94,MATCH(1,([2]Rubric!$E$3:$E$94=I$2)*([2]Rubric!$F$3:$F$94='[2]Questionnaire Responses'!I332),0)),"MISSING"))</f>
        <v/>
      </c>
      <c r="J331" s="183" t="str">
        <f t="array" ref="J331">IF(Table133[[#This Row],[Survey?]]="","",IFERROR(INDEX([2]Rubric!$G$3:$G$94,MATCH(1,([2]Rubric!$E$3:$E$94=J$2)*([2]Rubric!$F$3:$F$94='[2]Questionnaire Responses'!J332),0)),"MISSING"))</f>
        <v/>
      </c>
      <c r="K331" s="206"/>
      <c r="L331" s="183" t="str">
        <f t="array" ref="L331">IF(Table133[[#This Row],[Survey?]]="","",IFERROR(INDEX([2]Rubric!$G$3:$G$94,MATCH(1,([2]Rubric!$E$3:$E$94=L$2)*([2]Rubric!$F$3:$F$94='[2]Questionnaire Responses'!L332),0)),"MISSING"))</f>
        <v/>
      </c>
      <c r="M331" s="206"/>
      <c r="N331" s="183" t="str">
        <f t="array" ref="N331">IF(Table133[[#This Row],[Survey?]]="","",IFERROR(INDEX([2]Rubric!$G$3:$G$94,MATCH(1,([2]Rubric!$E$3:$E$94=N$2)*([2]Rubric!$F$3:$F$94='[2]Questionnaire Responses'!N332),0)),"MISSING"))</f>
        <v/>
      </c>
      <c r="O331" s="183" t="str">
        <f t="array" ref="O331">IF(Table133[[#This Row],[Survey?]]="","",IFERROR(INDEX([2]Rubric!$G$3:$G$94,MATCH(1,([2]Rubric!$E$3:$E$94=O$2)*([2]Rubric!$F$3:$F$94='[2]Questionnaire Responses'!O332),0)),"MISSING"))</f>
        <v/>
      </c>
      <c r="P331" s="206"/>
      <c r="Q331" s="183" t="str">
        <f t="array" ref="Q331">IF(Table133[[#This Row],[Survey?]]="","",IFERROR(INDEX([2]Rubric!$G$3:$G$94,MATCH(1,([2]Rubric!$E$3:$E$94=Q$2)*([2]Rubric!$F$3:$F$94='[2]Questionnaire Responses'!Q332),0)),"MISSING"))</f>
        <v/>
      </c>
      <c r="R331" s="183" t="str">
        <f t="array" ref="R331">IF(Table133[[#This Row],[Survey?]]="","",IFERROR(INDEX([2]Rubric!$G$3:$G$94,MATCH(1,([2]Rubric!$E$3:$E$94=R$2)*([2]Rubric!$F$3:$F$94='[2]Questionnaire Responses'!R332),0)),"MISSING"))</f>
        <v/>
      </c>
      <c r="S331" s="183" t="str">
        <f t="array" ref="S331">IF(Table133[[#This Row],[Survey?]]="","",IFERROR(INDEX([2]Rubric!$G$3:$G$94,MATCH(1,([2]Rubric!$E$3:$E$94=S$2)*([2]Rubric!$F$3:$F$94='[2]Questionnaire Responses'!S332),0)),"MISSING"))</f>
        <v/>
      </c>
      <c r="T331" s="183" t="str">
        <f t="array" ref="T331">IF(Table133[[#This Row],[Survey?]]="","",IFERROR(INDEX([2]Rubric!$G$3:$G$94,MATCH(1,([2]Rubric!$E$3:$E$94=T$2)*([2]Rubric!$F$3:$F$94='[2]Questionnaire Responses'!T332),0)),"MISSING"))</f>
        <v/>
      </c>
      <c r="U331" s="206"/>
      <c r="V331" s="183" t="str">
        <f t="array" ref="V331">IF(Table133[[#This Row],[Survey?]]="","",IFERROR(INDEX([2]Rubric!$G$3:$G$94,MATCH(1,([2]Rubric!$E$3:$E$94=V$2)*([2]Rubric!$F$3:$F$94='[2]Questionnaire Responses'!V332),0)),"MISSING"))</f>
        <v/>
      </c>
      <c r="W331" s="206"/>
      <c r="X331" s="183" t="str">
        <f t="array" ref="X331">IF(Table133[[#This Row],[Survey?]]="","",IFERROR(INDEX([2]Rubric!$G$3:$G$94,MATCH(1,([2]Rubric!$E$3:$E$94=X$2)*([2]Rubric!$F$3:$F$94='[2]Questionnaire Responses'!X332),0)),"MISSING"))</f>
        <v/>
      </c>
      <c r="Y331" s="206"/>
      <c r="Z331" s="183" t="str">
        <f t="array" ref="Z331">IF(Table133[[#This Row],[Survey?]]="","",IFERROR(INDEX([2]Rubric!$G$3:$G$94,MATCH(1,([2]Rubric!$E$3:$E$94=Z$2)*([2]Rubric!$F$3:$F$94='[2]Questionnaire Responses'!Z332),0)),"MISSING"))</f>
        <v/>
      </c>
      <c r="AA331" s="183" t="str">
        <f t="array" ref="AA331">IF(Table133[[#This Row],[Survey?]]="","",IFERROR(INDEX([2]Rubric!$G$3:$G$94,MATCH(1,([2]Rubric!$E$3:$E$94=AA$2)*([2]Rubric!$F$3:$F$94='[2]Questionnaire Responses'!AA332),0)),"MISSING"))</f>
        <v/>
      </c>
      <c r="AB331" s="183" t="str">
        <f t="array" ref="AB331">IF(Table133[[#This Row],[Survey?]]="","",IFERROR(INDEX([2]Rubric!$G$3:$G$94,MATCH(1,([2]Rubric!$E$3:$E$94=AB$2)*([2]Rubric!$F$3:$F$94='[2]Questionnaire Responses'!AB332),0)),"MISSING"))</f>
        <v/>
      </c>
      <c r="AC331" s="206"/>
      <c r="AD331" s="183" t="str">
        <f t="array" ref="AD331">IF(Table133[[#This Row],[Survey?]]="","",IFERROR(INDEX([2]Rubric!$G$3:$G$94,MATCH(1,([2]Rubric!$E$3:$E$94=AD$2)*([2]Rubric!$F$3:$F$94='[2]Questionnaire Responses'!AD332),0)),"MISSING"))</f>
        <v/>
      </c>
      <c r="AE331" s="183" t="str">
        <f t="array" ref="AE331">IF(Table133[[#This Row],[Survey?]]="","",IFERROR(INDEX([2]Rubric!$G$3:$G$94,MATCH(1,([2]Rubric!$E$3:$E$94=AE$2)*([2]Rubric!$F$3:$F$94='[2]Questionnaire Responses'!AE332),0)),"MISSING"))</f>
        <v/>
      </c>
      <c r="AF331" s="206"/>
      <c r="AG331" s="183" t="str">
        <f t="array" ref="AG331">IF(Table133[[#This Row],[Survey?]]="","",IFERROR(INDEX([2]Rubric!$G$3:$G$94,MATCH(1,([2]Rubric!$E$3:$E$94=AG$2)*([2]Rubric!$F$3:$F$94='[2]Questionnaire Responses'!AG332),0)),"MISSING"))</f>
        <v/>
      </c>
    </row>
    <row r="332" spans="1:33" ht="12.75" customHeight="1" x14ac:dyDescent="0.25">
      <c r="A332" s="207">
        <f>'[2]Questionnaire Responses'!A333</f>
        <v>0</v>
      </c>
      <c r="B332" s="198">
        <f>'[2]Questionnaire Responses'!B333</f>
        <v>0</v>
      </c>
      <c r="C332" s="153">
        <f>'[2]Questionnaire Responses'!C333</f>
        <v>0</v>
      </c>
      <c r="D332" s="208"/>
      <c r="E332" s="206"/>
      <c r="F332" s="183" t="str">
        <f t="array" ref="F332">IF(Table133[[#This Row],[Survey?]]="","",IFERROR(INDEX([2]Rubric!$G$3:$G$94,MATCH(1,([2]Rubric!$E$3:$E$94=F$2)*([2]Rubric!$F$3:$F$94='[2]Questionnaire Responses'!F333),0)),"MISSING"))</f>
        <v/>
      </c>
      <c r="G332" s="183" t="str">
        <f t="array" ref="G332">IF(Table133[[#This Row],[Survey?]]="","",IFERROR(INDEX([2]Rubric!$G$3:$G$94,MATCH(1,([2]Rubric!$E$3:$E$94=G$2)*([2]Rubric!$F$3:$F$94='[2]Questionnaire Responses'!G333),0)),"MISSING"))</f>
        <v/>
      </c>
      <c r="H332" s="183" t="str">
        <f t="array" ref="H332">IF(Table133[[#This Row],[Survey?]]="","",IFERROR(INDEX([2]Rubric!$G$3:$G$94,MATCH(1,([2]Rubric!$E$3:$E$94=H$2)*([2]Rubric!$F$3:$F$94='[2]Questionnaire Responses'!H333),0)),"MISSING"))</f>
        <v/>
      </c>
      <c r="I332" s="183" t="str">
        <f t="array" ref="I332">IF(Table133[[#This Row],[Survey?]]="","",IFERROR(INDEX([2]Rubric!$G$3:$G$94,MATCH(1,([2]Rubric!$E$3:$E$94=I$2)*([2]Rubric!$F$3:$F$94='[2]Questionnaire Responses'!I333),0)),"MISSING"))</f>
        <v/>
      </c>
      <c r="J332" s="183" t="str">
        <f t="array" ref="J332">IF(Table133[[#This Row],[Survey?]]="","",IFERROR(INDEX([2]Rubric!$G$3:$G$94,MATCH(1,([2]Rubric!$E$3:$E$94=J$2)*([2]Rubric!$F$3:$F$94='[2]Questionnaire Responses'!J333),0)),"MISSING"))</f>
        <v/>
      </c>
      <c r="K332" s="206"/>
      <c r="L332" s="183" t="str">
        <f t="array" ref="L332">IF(Table133[[#This Row],[Survey?]]="","",IFERROR(INDEX([2]Rubric!$G$3:$G$94,MATCH(1,([2]Rubric!$E$3:$E$94=L$2)*([2]Rubric!$F$3:$F$94='[2]Questionnaire Responses'!L333),0)),"MISSING"))</f>
        <v/>
      </c>
      <c r="M332" s="206"/>
      <c r="N332" s="183" t="str">
        <f t="array" ref="N332">IF(Table133[[#This Row],[Survey?]]="","",IFERROR(INDEX([2]Rubric!$G$3:$G$94,MATCH(1,([2]Rubric!$E$3:$E$94=N$2)*([2]Rubric!$F$3:$F$94='[2]Questionnaire Responses'!N333),0)),"MISSING"))</f>
        <v/>
      </c>
      <c r="O332" s="183" t="str">
        <f t="array" ref="O332">IF(Table133[[#This Row],[Survey?]]="","",IFERROR(INDEX([2]Rubric!$G$3:$G$94,MATCH(1,([2]Rubric!$E$3:$E$94=O$2)*([2]Rubric!$F$3:$F$94='[2]Questionnaire Responses'!O333),0)),"MISSING"))</f>
        <v/>
      </c>
      <c r="P332" s="206"/>
      <c r="Q332" s="183" t="str">
        <f t="array" ref="Q332">IF(Table133[[#This Row],[Survey?]]="","",IFERROR(INDEX([2]Rubric!$G$3:$G$94,MATCH(1,([2]Rubric!$E$3:$E$94=Q$2)*([2]Rubric!$F$3:$F$94='[2]Questionnaire Responses'!Q333),0)),"MISSING"))</f>
        <v/>
      </c>
      <c r="R332" s="183" t="str">
        <f t="array" ref="R332">IF(Table133[[#This Row],[Survey?]]="","",IFERROR(INDEX([2]Rubric!$G$3:$G$94,MATCH(1,([2]Rubric!$E$3:$E$94=R$2)*([2]Rubric!$F$3:$F$94='[2]Questionnaire Responses'!R333),0)),"MISSING"))</f>
        <v/>
      </c>
      <c r="S332" s="183" t="str">
        <f t="array" ref="S332">IF(Table133[[#This Row],[Survey?]]="","",IFERROR(INDEX([2]Rubric!$G$3:$G$94,MATCH(1,([2]Rubric!$E$3:$E$94=S$2)*([2]Rubric!$F$3:$F$94='[2]Questionnaire Responses'!S333),0)),"MISSING"))</f>
        <v/>
      </c>
      <c r="T332" s="183" t="str">
        <f t="array" ref="T332">IF(Table133[[#This Row],[Survey?]]="","",IFERROR(INDEX([2]Rubric!$G$3:$G$94,MATCH(1,([2]Rubric!$E$3:$E$94=T$2)*([2]Rubric!$F$3:$F$94='[2]Questionnaire Responses'!T333),0)),"MISSING"))</f>
        <v/>
      </c>
      <c r="U332" s="206"/>
      <c r="V332" s="183" t="str">
        <f t="array" ref="V332">IF(Table133[[#This Row],[Survey?]]="","",IFERROR(INDEX([2]Rubric!$G$3:$G$94,MATCH(1,([2]Rubric!$E$3:$E$94=V$2)*([2]Rubric!$F$3:$F$94='[2]Questionnaire Responses'!V333),0)),"MISSING"))</f>
        <v/>
      </c>
      <c r="W332" s="206"/>
      <c r="X332" s="183" t="str">
        <f t="array" ref="X332">IF(Table133[[#This Row],[Survey?]]="","",IFERROR(INDEX([2]Rubric!$G$3:$G$94,MATCH(1,([2]Rubric!$E$3:$E$94=X$2)*([2]Rubric!$F$3:$F$94='[2]Questionnaire Responses'!X333),0)),"MISSING"))</f>
        <v/>
      </c>
      <c r="Y332" s="206"/>
      <c r="Z332" s="183" t="str">
        <f t="array" ref="Z332">IF(Table133[[#This Row],[Survey?]]="","",IFERROR(INDEX([2]Rubric!$G$3:$G$94,MATCH(1,([2]Rubric!$E$3:$E$94=Z$2)*([2]Rubric!$F$3:$F$94='[2]Questionnaire Responses'!Z333),0)),"MISSING"))</f>
        <v/>
      </c>
      <c r="AA332" s="183" t="str">
        <f t="array" ref="AA332">IF(Table133[[#This Row],[Survey?]]="","",IFERROR(INDEX([2]Rubric!$G$3:$G$94,MATCH(1,([2]Rubric!$E$3:$E$94=AA$2)*([2]Rubric!$F$3:$F$94='[2]Questionnaire Responses'!AA333),0)),"MISSING"))</f>
        <v/>
      </c>
      <c r="AB332" s="183" t="str">
        <f t="array" ref="AB332">IF(Table133[[#This Row],[Survey?]]="","",IFERROR(INDEX([2]Rubric!$G$3:$G$94,MATCH(1,([2]Rubric!$E$3:$E$94=AB$2)*([2]Rubric!$F$3:$F$94='[2]Questionnaire Responses'!AB333),0)),"MISSING"))</f>
        <v/>
      </c>
      <c r="AC332" s="206"/>
      <c r="AD332" s="183" t="str">
        <f t="array" ref="AD332">IF(Table133[[#This Row],[Survey?]]="","",IFERROR(INDEX([2]Rubric!$G$3:$G$94,MATCH(1,([2]Rubric!$E$3:$E$94=AD$2)*([2]Rubric!$F$3:$F$94='[2]Questionnaire Responses'!AD333),0)),"MISSING"))</f>
        <v/>
      </c>
      <c r="AE332" s="183" t="str">
        <f t="array" ref="AE332">IF(Table133[[#This Row],[Survey?]]="","",IFERROR(INDEX([2]Rubric!$G$3:$G$94,MATCH(1,([2]Rubric!$E$3:$E$94=AE$2)*([2]Rubric!$F$3:$F$94='[2]Questionnaire Responses'!AE333),0)),"MISSING"))</f>
        <v/>
      </c>
      <c r="AF332" s="206"/>
      <c r="AG332" s="183" t="str">
        <f t="array" ref="AG332">IF(Table133[[#This Row],[Survey?]]="","",IFERROR(INDEX([2]Rubric!$G$3:$G$94,MATCH(1,([2]Rubric!$E$3:$E$94=AG$2)*([2]Rubric!$F$3:$F$94='[2]Questionnaire Responses'!AG333),0)),"MISSING"))</f>
        <v/>
      </c>
    </row>
    <row r="333" spans="1:33" ht="12.75" customHeight="1" x14ac:dyDescent="0.25">
      <c r="A333" s="207">
        <f>'[2]Questionnaire Responses'!A334</f>
        <v>0</v>
      </c>
      <c r="B333" s="198">
        <f>'[2]Questionnaire Responses'!B334</f>
        <v>0</v>
      </c>
      <c r="C333" s="153">
        <f>'[2]Questionnaire Responses'!C334</f>
        <v>0</v>
      </c>
      <c r="D333" s="208"/>
      <c r="E333" s="206"/>
      <c r="F333" s="183" t="str">
        <f t="array" ref="F333">IF(Table133[[#This Row],[Survey?]]="","",IFERROR(INDEX([2]Rubric!$G$3:$G$94,MATCH(1,([2]Rubric!$E$3:$E$94=F$2)*([2]Rubric!$F$3:$F$94='[2]Questionnaire Responses'!F334),0)),"MISSING"))</f>
        <v/>
      </c>
      <c r="G333" s="183" t="str">
        <f t="array" ref="G333">IF(Table133[[#This Row],[Survey?]]="","",IFERROR(INDEX([2]Rubric!$G$3:$G$94,MATCH(1,([2]Rubric!$E$3:$E$94=G$2)*([2]Rubric!$F$3:$F$94='[2]Questionnaire Responses'!G334),0)),"MISSING"))</f>
        <v/>
      </c>
      <c r="H333" s="183" t="str">
        <f t="array" ref="H333">IF(Table133[[#This Row],[Survey?]]="","",IFERROR(INDEX([2]Rubric!$G$3:$G$94,MATCH(1,([2]Rubric!$E$3:$E$94=H$2)*([2]Rubric!$F$3:$F$94='[2]Questionnaire Responses'!H334),0)),"MISSING"))</f>
        <v/>
      </c>
      <c r="I333" s="183" t="str">
        <f t="array" ref="I333">IF(Table133[[#This Row],[Survey?]]="","",IFERROR(INDEX([2]Rubric!$G$3:$G$94,MATCH(1,([2]Rubric!$E$3:$E$94=I$2)*([2]Rubric!$F$3:$F$94='[2]Questionnaire Responses'!I334),0)),"MISSING"))</f>
        <v/>
      </c>
      <c r="J333" s="183" t="str">
        <f t="array" ref="J333">IF(Table133[[#This Row],[Survey?]]="","",IFERROR(INDEX([2]Rubric!$G$3:$G$94,MATCH(1,([2]Rubric!$E$3:$E$94=J$2)*([2]Rubric!$F$3:$F$94='[2]Questionnaire Responses'!J334),0)),"MISSING"))</f>
        <v/>
      </c>
      <c r="K333" s="206"/>
      <c r="L333" s="183" t="str">
        <f t="array" ref="L333">IF(Table133[[#This Row],[Survey?]]="","",IFERROR(INDEX([2]Rubric!$G$3:$G$94,MATCH(1,([2]Rubric!$E$3:$E$94=L$2)*([2]Rubric!$F$3:$F$94='[2]Questionnaire Responses'!L334),0)),"MISSING"))</f>
        <v/>
      </c>
      <c r="M333" s="206"/>
      <c r="N333" s="183" t="str">
        <f t="array" ref="N333">IF(Table133[[#This Row],[Survey?]]="","",IFERROR(INDEX([2]Rubric!$G$3:$G$94,MATCH(1,([2]Rubric!$E$3:$E$94=N$2)*([2]Rubric!$F$3:$F$94='[2]Questionnaire Responses'!N334),0)),"MISSING"))</f>
        <v/>
      </c>
      <c r="O333" s="183" t="str">
        <f t="array" ref="O333">IF(Table133[[#This Row],[Survey?]]="","",IFERROR(INDEX([2]Rubric!$G$3:$G$94,MATCH(1,([2]Rubric!$E$3:$E$94=O$2)*([2]Rubric!$F$3:$F$94='[2]Questionnaire Responses'!O334),0)),"MISSING"))</f>
        <v/>
      </c>
      <c r="P333" s="206"/>
      <c r="Q333" s="183" t="str">
        <f t="array" ref="Q333">IF(Table133[[#This Row],[Survey?]]="","",IFERROR(INDEX([2]Rubric!$G$3:$G$94,MATCH(1,([2]Rubric!$E$3:$E$94=Q$2)*([2]Rubric!$F$3:$F$94='[2]Questionnaire Responses'!Q334),0)),"MISSING"))</f>
        <v/>
      </c>
      <c r="R333" s="183" t="str">
        <f t="array" ref="R333">IF(Table133[[#This Row],[Survey?]]="","",IFERROR(INDEX([2]Rubric!$G$3:$G$94,MATCH(1,([2]Rubric!$E$3:$E$94=R$2)*([2]Rubric!$F$3:$F$94='[2]Questionnaire Responses'!R334),0)),"MISSING"))</f>
        <v/>
      </c>
      <c r="S333" s="183" t="str">
        <f t="array" ref="S333">IF(Table133[[#This Row],[Survey?]]="","",IFERROR(INDEX([2]Rubric!$G$3:$G$94,MATCH(1,([2]Rubric!$E$3:$E$94=S$2)*([2]Rubric!$F$3:$F$94='[2]Questionnaire Responses'!S334),0)),"MISSING"))</f>
        <v/>
      </c>
      <c r="T333" s="183" t="str">
        <f t="array" ref="T333">IF(Table133[[#This Row],[Survey?]]="","",IFERROR(INDEX([2]Rubric!$G$3:$G$94,MATCH(1,([2]Rubric!$E$3:$E$94=T$2)*([2]Rubric!$F$3:$F$94='[2]Questionnaire Responses'!T334),0)),"MISSING"))</f>
        <v/>
      </c>
      <c r="U333" s="206"/>
      <c r="V333" s="183" t="str">
        <f t="array" ref="V333">IF(Table133[[#This Row],[Survey?]]="","",IFERROR(INDEX([2]Rubric!$G$3:$G$94,MATCH(1,([2]Rubric!$E$3:$E$94=V$2)*([2]Rubric!$F$3:$F$94='[2]Questionnaire Responses'!V334),0)),"MISSING"))</f>
        <v/>
      </c>
      <c r="W333" s="206"/>
      <c r="X333" s="183" t="str">
        <f t="array" ref="X333">IF(Table133[[#This Row],[Survey?]]="","",IFERROR(INDEX([2]Rubric!$G$3:$G$94,MATCH(1,([2]Rubric!$E$3:$E$94=X$2)*([2]Rubric!$F$3:$F$94='[2]Questionnaire Responses'!X334),0)),"MISSING"))</f>
        <v/>
      </c>
      <c r="Y333" s="206"/>
      <c r="Z333" s="183" t="str">
        <f t="array" ref="Z333">IF(Table133[[#This Row],[Survey?]]="","",IFERROR(INDEX([2]Rubric!$G$3:$G$94,MATCH(1,([2]Rubric!$E$3:$E$94=Z$2)*([2]Rubric!$F$3:$F$94='[2]Questionnaire Responses'!Z334),0)),"MISSING"))</f>
        <v/>
      </c>
      <c r="AA333" s="183" t="str">
        <f t="array" ref="AA333">IF(Table133[[#This Row],[Survey?]]="","",IFERROR(INDEX([2]Rubric!$G$3:$G$94,MATCH(1,([2]Rubric!$E$3:$E$94=AA$2)*([2]Rubric!$F$3:$F$94='[2]Questionnaire Responses'!AA334),0)),"MISSING"))</f>
        <v/>
      </c>
      <c r="AB333" s="183" t="str">
        <f t="array" ref="AB333">IF(Table133[[#This Row],[Survey?]]="","",IFERROR(INDEX([2]Rubric!$G$3:$G$94,MATCH(1,([2]Rubric!$E$3:$E$94=AB$2)*([2]Rubric!$F$3:$F$94='[2]Questionnaire Responses'!AB334),0)),"MISSING"))</f>
        <v/>
      </c>
      <c r="AC333" s="206"/>
      <c r="AD333" s="183" t="str">
        <f t="array" ref="AD333">IF(Table133[[#This Row],[Survey?]]="","",IFERROR(INDEX([2]Rubric!$G$3:$G$94,MATCH(1,([2]Rubric!$E$3:$E$94=AD$2)*([2]Rubric!$F$3:$F$94='[2]Questionnaire Responses'!AD334),0)),"MISSING"))</f>
        <v/>
      </c>
      <c r="AE333" s="183" t="str">
        <f t="array" ref="AE333">IF(Table133[[#This Row],[Survey?]]="","",IFERROR(INDEX([2]Rubric!$G$3:$G$94,MATCH(1,([2]Rubric!$E$3:$E$94=AE$2)*([2]Rubric!$F$3:$F$94='[2]Questionnaire Responses'!AE334),0)),"MISSING"))</f>
        <v/>
      </c>
      <c r="AF333" s="206"/>
      <c r="AG333" s="183" t="str">
        <f t="array" ref="AG333">IF(Table133[[#This Row],[Survey?]]="","",IFERROR(INDEX([2]Rubric!$G$3:$G$94,MATCH(1,([2]Rubric!$E$3:$E$94=AG$2)*([2]Rubric!$F$3:$F$94='[2]Questionnaire Responses'!AG334),0)),"MISSING"))</f>
        <v/>
      </c>
    </row>
    <row r="334" spans="1:33" ht="12.75" customHeight="1" x14ac:dyDescent="0.25">
      <c r="A334" s="207">
        <f>'[2]Questionnaire Responses'!A335</f>
        <v>0</v>
      </c>
      <c r="B334" s="198">
        <f>'[2]Questionnaire Responses'!B335</f>
        <v>0</v>
      </c>
      <c r="C334" s="153">
        <f>'[2]Questionnaire Responses'!C335</f>
        <v>0</v>
      </c>
      <c r="D334" s="208"/>
      <c r="E334" s="206"/>
      <c r="F334" s="183" t="str">
        <f t="array" ref="F334">IF(Table133[[#This Row],[Survey?]]="","",IFERROR(INDEX([2]Rubric!$G$3:$G$94,MATCH(1,([2]Rubric!$E$3:$E$94=F$2)*([2]Rubric!$F$3:$F$94='[2]Questionnaire Responses'!F335),0)),"MISSING"))</f>
        <v/>
      </c>
      <c r="G334" s="183" t="str">
        <f t="array" ref="G334">IF(Table133[[#This Row],[Survey?]]="","",IFERROR(INDEX([2]Rubric!$G$3:$G$94,MATCH(1,([2]Rubric!$E$3:$E$94=G$2)*([2]Rubric!$F$3:$F$94='[2]Questionnaire Responses'!G335),0)),"MISSING"))</f>
        <v/>
      </c>
      <c r="H334" s="183" t="str">
        <f t="array" ref="H334">IF(Table133[[#This Row],[Survey?]]="","",IFERROR(INDEX([2]Rubric!$G$3:$G$94,MATCH(1,([2]Rubric!$E$3:$E$94=H$2)*([2]Rubric!$F$3:$F$94='[2]Questionnaire Responses'!H335),0)),"MISSING"))</f>
        <v/>
      </c>
      <c r="I334" s="183" t="str">
        <f t="array" ref="I334">IF(Table133[[#This Row],[Survey?]]="","",IFERROR(INDEX([2]Rubric!$G$3:$G$94,MATCH(1,([2]Rubric!$E$3:$E$94=I$2)*([2]Rubric!$F$3:$F$94='[2]Questionnaire Responses'!I335),0)),"MISSING"))</f>
        <v/>
      </c>
      <c r="J334" s="183" t="str">
        <f t="array" ref="J334">IF(Table133[[#This Row],[Survey?]]="","",IFERROR(INDEX([2]Rubric!$G$3:$G$94,MATCH(1,([2]Rubric!$E$3:$E$94=J$2)*([2]Rubric!$F$3:$F$94='[2]Questionnaire Responses'!J335),0)),"MISSING"))</f>
        <v/>
      </c>
      <c r="K334" s="206"/>
      <c r="L334" s="183" t="str">
        <f t="array" ref="L334">IF(Table133[[#This Row],[Survey?]]="","",IFERROR(INDEX([2]Rubric!$G$3:$G$94,MATCH(1,([2]Rubric!$E$3:$E$94=L$2)*([2]Rubric!$F$3:$F$94='[2]Questionnaire Responses'!L335),0)),"MISSING"))</f>
        <v/>
      </c>
      <c r="M334" s="206"/>
      <c r="N334" s="183" t="str">
        <f t="array" ref="N334">IF(Table133[[#This Row],[Survey?]]="","",IFERROR(INDEX([2]Rubric!$G$3:$G$94,MATCH(1,([2]Rubric!$E$3:$E$94=N$2)*([2]Rubric!$F$3:$F$94='[2]Questionnaire Responses'!N335),0)),"MISSING"))</f>
        <v/>
      </c>
      <c r="O334" s="183" t="str">
        <f t="array" ref="O334">IF(Table133[[#This Row],[Survey?]]="","",IFERROR(INDEX([2]Rubric!$G$3:$G$94,MATCH(1,([2]Rubric!$E$3:$E$94=O$2)*([2]Rubric!$F$3:$F$94='[2]Questionnaire Responses'!O335),0)),"MISSING"))</f>
        <v/>
      </c>
      <c r="P334" s="206"/>
      <c r="Q334" s="183" t="str">
        <f t="array" ref="Q334">IF(Table133[[#This Row],[Survey?]]="","",IFERROR(INDEX([2]Rubric!$G$3:$G$94,MATCH(1,([2]Rubric!$E$3:$E$94=Q$2)*([2]Rubric!$F$3:$F$94='[2]Questionnaire Responses'!Q335),0)),"MISSING"))</f>
        <v/>
      </c>
      <c r="R334" s="183" t="str">
        <f t="array" ref="R334">IF(Table133[[#This Row],[Survey?]]="","",IFERROR(INDEX([2]Rubric!$G$3:$G$94,MATCH(1,([2]Rubric!$E$3:$E$94=R$2)*([2]Rubric!$F$3:$F$94='[2]Questionnaire Responses'!R335),0)),"MISSING"))</f>
        <v/>
      </c>
      <c r="S334" s="183" t="str">
        <f t="array" ref="S334">IF(Table133[[#This Row],[Survey?]]="","",IFERROR(INDEX([2]Rubric!$G$3:$G$94,MATCH(1,([2]Rubric!$E$3:$E$94=S$2)*([2]Rubric!$F$3:$F$94='[2]Questionnaire Responses'!S335),0)),"MISSING"))</f>
        <v/>
      </c>
      <c r="T334" s="183" t="str">
        <f t="array" ref="T334">IF(Table133[[#This Row],[Survey?]]="","",IFERROR(INDEX([2]Rubric!$G$3:$G$94,MATCH(1,([2]Rubric!$E$3:$E$94=T$2)*([2]Rubric!$F$3:$F$94='[2]Questionnaire Responses'!T335),0)),"MISSING"))</f>
        <v/>
      </c>
      <c r="U334" s="206"/>
      <c r="V334" s="183" t="str">
        <f t="array" ref="V334">IF(Table133[[#This Row],[Survey?]]="","",IFERROR(INDEX([2]Rubric!$G$3:$G$94,MATCH(1,([2]Rubric!$E$3:$E$94=V$2)*([2]Rubric!$F$3:$F$94='[2]Questionnaire Responses'!V335),0)),"MISSING"))</f>
        <v/>
      </c>
      <c r="W334" s="206"/>
      <c r="X334" s="183" t="str">
        <f t="array" ref="X334">IF(Table133[[#This Row],[Survey?]]="","",IFERROR(INDEX([2]Rubric!$G$3:$G$94,MATCH(1,([2]Rubric!$E$3:$E$94=X$2)*([2]Rubric!$F$3:$F$94='[2]Questionnaire Responses'!X335),0)),"MISSING"))</f>
        <v/>
      </c>
      <c r="Y334" s="206"/>
      <c r="Z334" s="183" t="str">
        <f t="array" ref="Z334">IF(Table133[[#This Row],[Survey?]]="","",IFERROR(INDEX([2]Rubric!$G$3:$G$94,MATCH(1,([2]Rubric!$E$3:$E$94=Z$2)*([2]Rubric!$F$3:$F$94='[2]Questionnaire Responses'!Z335),0)),"MISSING"))</f>
        <v/>
      </c>
      <c r="AA334" s="183" t="str">
        <f t="array" ref="AA334">IF(Table133[[#This Row],[Survey?]]="","",IFERROR(INDEX([2]Rubric!$G$3:$G$94,MATCH(1,([2]Rubric!$E$3:$E$94=AA$2)*([2]Rubric!$F$3:$F$94='[2]Questionnaire Responses'!AA335),0)),"MISSING"))</f>
        <v/>
      </c>
      <c r="AB334" s="183" t="str">
        <f t="array" ref="AB334">IF(Table133[[#This Row],[Survey?]]="","",IFERROR(INDEX([2]Rubric!$G$3:$G$94,MATCH(1,([2]Rubric!$E$3:$E$94=AB$2)*([2]Rubric!$F$3:$F$94='[2]Questionnaire Responses'!AB335),0)),"MISSING"))</f>
        <v/>
      </c>
      <c r="AC334" s="206"/>
      <c r="AD334" s="183" t="str">
        <f t="array" ref="AD334">IF(Table133[[#This Row],[Survey?]]="","",IFERROR(INDEX([2]Rubric!$G$3:$G$94,MATCH(1,([2]Rubric!$E$3:$E$94=AD$2)*([2]Rubric!$F$3:$F$94='[2]Questionnaire Responses'!AD335),0)),"MISSING"))</f>
        <v/>
      </c>
      <c r="AE334" s="183" t="str">
        <f t="array" ref="AE334">IF(Table133[[#This Row],[Survey?]]="","",IFERROR(INDEX([2]Rubric!$G$3:$G$94,MATCH(1,([2]Rubric!$E$3:$E$94=AE$2)*([2]Rubric!$F$3:$F$94='[2]Questionnaire Responses'!AE335),0)),"MISSING"))</f>
        <v/>
      </c>
      <c r="AF334" s="206"/>
      <c r="AG334" s="183" t="str">
        <f t="array" ref="AG334">IF(Table133[[#This Row],[Survey?]]="","",IFERROR(INDEX([2]Rubric!$G$3:$G$94,MATCH(1,([2]Rubric!$E$3:$E$94=AG$2)*([2]Rubric!$F$3:$F$94='[2]Questionnaire Responses'!AG335),0)),"MISSING"))</f>
        <v/>
      </c>
    </row>
    <row r="335" spans="1:33" ht="12.75" customHeight="1" x14ac:dyDescent="0.25">
      <c r="A335" s="207">
        <f>'[2]Questionnaire Responses'!A336</f>
        <v>0</v>
      </c>
      <c r="B335" s="198">
        <f>'[2]Questionnaire Responses'!B336</f>
        <v>0</v>
      </c>
      <c r="C335" s="153">
        <f>'[2]Questionnaire Responses'!C336</f>
        <v>0</v>
      </c>
      <c r="D335" s="208"/>
      <c r="E335" s="206"/>
      <c r="F335" s="183" t="str">
        <f t="array" ref="F335">IF(Table133[[#This Row],[Survey?]]="","",IFERROR(INDEX([2]Rubric!$G$3:$G$94,MATCH(1,([2]Rubric!$E$3:$E$94=F$2)*([2]Rubric!$F$3:$F$94='[2]Questionnaire Responses'!F336),0)),"MISSING"))</f>
        <v/>
      </c>
      <c r="G335" s="183" t="str">
        <f t="array" ref="G335">IF(Table133[[#This Row],[Survey?]]="","",IFERROR(INDEX([2]Rubric!$G$3:$G$94,MATCH(1,([2]Rubric!$E$3:$E$94=G$2)*([2]Rubric!$F$3:$F$94='[2]Questionnaire Responses'!G336),0)),"MISSING"))</f>
        <v/>
      </c>
      <c r="H335" s="183" t="str">
        <f t="array" ref="H335">IF(Table133[[#This Row],[Survey?]]="","",IFERROR(INDEX([2]Rubric!$G$3:$G$94,MATCH(1,([2]Rubric!$E$3:$E$94=H$2)*([2]Rubric!$F$3:$F$94='[2]Questionnaire Responses'!H336),0)),"MISSING"))</f>
        <v/>
      </c>
      <c r="I335" s="183" t="str">
        <f t="array" ref="I335">IF(Table133[[#This Row],[Survey?]]="","",IFERROR(INDEX([2]Rubric!$G$3:$G$94,MATCH(1,([2]Rubric!$E$3:$E$94=I$2)*([2]Rubric!$F$3:$F$94='[2]Questionnaire Responses'!I336),0)),"MISSING"))</f>
        <v/>
      </c>
      <c r="J335" s="183" t="str">
        <f t="array" ref="J335">IF(Table133[[#This Row],[Survey?]]="","",IFERROR(INDEX([2]Rubric!$G$3:$G$94,MATCH(1,([2]Rubric!$E$3:$E$94=J$2)*([2]Rubric!$F$3:$F$94='[2]Questionnaire Responses'!J336),0)),"MISSING"))</f>
        <v/>
      </c>
      <c r="K335" s="206"/>
      <c r="L335" s="183" t="str">
        <f t="array" ref="L335">IF(Table133[[#This Row],[Survey?]]="","",IFERROR(INDEX([2]Rubric!$G$3:$G$94,MATCH(1,([2]Rubric!$E$3:$E$94=L$2)*([2]Rubric!$F$3:$F$94='[2]Questionnaire Responses'!L336),0)),"MISSING"))</f>
        <v/>
      </c>
      <c r="M335" s="206"/>
      <c r="N335" s="183" t="str">
        <f t="array" ref="N335">IF(Table133[[#This Row],[Survey?]]="","",IFERROR(INDEX([2]Rubric!$G$3:$G$94,MATCH(1,([2]Rubric!$E$3:$E$94=N$2)*([2]Rubric!$F$3:$F$94='[2]Questionnaire Responses'!N336),0)),"MISSING"))</f>
        <v/>
      </c>
      <c r="O335" s="183" t="str">
        <f t="array" ref="O335">IF(Table133[[#This Row],[Survey?]]="","",IFERROR(INDEX([2]Rubric!$G$3:$G$94,MATCH(1,([2]Rubric!$E$3:$E$94=O$2)*([2]Rubric!$F$3:$F$94='[2]Questionnaire Responses'!O336),0)),"MISSING"))</f>
        <v/>
      </c>
      <c r="P335" s="206"/>
      <c r="Q335" s="183" t="str">
        <f t="array" ref="Q335">IF(Table133[[#This Row],[Survey?]]="","",IFERROR(INDEX([2]Rubric!$G$3:$G$94,MATCH(1,([2]Rubric!$E$3:$E$94=Q$2)*([2]Rubric!$F$3:$F$94='[2]Questionnaire Responses'!Q336),0)),"MISSING"))</f>
        <v/>
      </c>
      <c r="R335" s="183" t="str">
        <f t="array" ref="R335">IF(Table133[[#This Row],[Survey?]]="","",IFERROR(INDEX([2]Rubric!$G$3:$G$94,MATCH(1,([2]Rubric!$E$3:$E$94=R$2)*([2]Rubric!$F$3:$F$94='[2]Questionnaire Responses'!R336),0)),"MISSING"))</f>
        <v/>
      </c>
      <c r="S335" s="183" t="str">
        <f t="array" ref="S335">IF(Table133[[#This Row],[Survey?]]="","",IFERROR(INDEX([2]Rubric!$G$3:$G$94,MATCH(1,([2]Rubric!$E$3:$E$94=S$2)*([2]Rubric!$F$3:$F$94='[2]Questionnaire Responses'!S336),0)),"MISSING"))</f>
        <v/>
      </c>
      <c r="T335" s="183" t="str">
        <f t="array" ref="T335">IF(Table133[[#This Row],[Survey?]]="","",IFERROR(INDEX([2]Rubric!$G$3:$G$94,MATCH(1,([2]Rubric!$E$3:$E$94=T$2)*([2]Rubric!$F$3:$F$94='[2]Questionnaire Responses'!T336),0)),"MISSING"))</f>
        <v/>
      </c>
      <c r="U335" s="206"/>
      <c r="V335" s="183" t="str">
        <f t="array" ref="V335">IF(Table133[[#This Row],[Survey?]]="","",IFERROR(INDEX([2]Rubric!$G$3:$G$94,MATCH(1,([2]Rubric!$E$3:$E$94=V$2)*([2]Rubric!$F$3:$F$94='[2]Questionnaire Responses'!V336),0)),"MISSING"))</f>
        <v/>
      </c>
      <c r="W335" s="206"/>
      <c r="X335" s="183" t="str">
        <f t="array" ref="X335">IF(Table133[[#This Row],[Survey?]]="","",IFERROR(INDEX([2]Rubric!$G$3:$G$94,MATCH(1,([2]Rubric!$E$3:$E$94=X$2)*([2]Rubric!$F$3:$F$94='[2]Questionnaire Responses'!X336),0)),"MISSING"))</f>
        <v/>
      </c>
      <c r="Y335" s="206"/>
      <c r="Z335" s="183" t="str">
        <f t="array" ref="Z335">IF(Table133[[#This Row],[Survey?]]="","",IFERROR(INDEX([2]Rubric!$G$3:$G$94,MATCH(1,([2]Rubric!$E$3:$E$94=Z$2)*([2]Rubric!$F$3:$F$94='[2]Questionnaire Responses'!Z336),0)),"MISSING"))</f>
        <v/>
      </c>
      <c r="AA335" s="183" t="str">
        <f t="array" ref="AA335">IF(Table133[[#This Row],[Survey?]]="","",IFERROR(INDEX([2]Rubric!$G$3:$G$94,MATCH(1,([2]Rubric!$E$3:$E$94=AA$2)*([2]Rubric!$F$3:$F$94='[2]Questionnaire Responses'!AA336),0)),"MISSING"))</f>
        <v/>
      </c>
      <c r="AB335" s="183" t="str">
        <f t="array" ref="AB335">IF(Table133[[#This Row],[Survey?]]="","",IFERROR(INDEX([2]Rubric!$G$3:$G$94,MATCH(1,([2]Rubric!$E$3:$E$94=AB$2)*([2]Rubric!$F$3:$F$94='[2]Questionnaire Responses'!AB336),0)),"MISSING"))</f>
        <v/>
      </c>
      <c r="AC335" s="206"/>
      <c r="AD335" s="183" t="str">
        <f t="array" ref="AD335">IF(Table133[[#This Row],[Survey?]]="","",IFERROR(INDEX([2]Rubric!$G$3:$G$94,MATCH(1,([2]Rubric!$E$3:$E$94=AD$2)*([2]Rubric!$F$3:$F$94='[2]Questionnaire Responses'!AD336),0)),"MISSING"))</f>
        <v/>
      </c>
      <c r="AE335" s="183" t="str">
        <f t="array" ref="AE335">IF(Table133[[#This Row],[Survey?]]="","",IFERROR(INDEX([2]Rubric!$G$3:$G$94,MATCH(1,([2]Rubric!$E$3:$E$94=AE$2)*([2]Rubric!$F$3:$F$94='[2]Questionnaire Responses'!AE336),0)),"MISSING"))</f>
        <v/>
      </c>
      <c r="AF335" s="206"/>
      <c r="AG335" s="183" t="str">
        <f t="array" ref="AG335">IF(Table133[[#This Row],[Survey?]]="","",IFERROR(INDEX([2]Rubric!$G$3:$G$94,MATCH(1,([2]Rubric!$E$3:$E$94=AG$2)*([2]Rubric!$F$3:$F$94='[2]Questionnaire Responses'!AG336),0)),"MISSING"))</f>
        <v/>
      </c>
    </row>
    <row r="336" spans="1:33" ht="12.75" customHeight="1" x14ac:dyDescent="0.25">
      <c r="A336" s="207">
        <f>'[2]Questionnaire Responses'!A337</f>
        <v>0</v>
      </c>
      <c r="B336" s="198">
        <f>'[2]Questionnaire Responses'!B337</f>
        <v>0</v>
      </c>
      <c r="C336" s="153">
        <f>'[2]Questionnaire Responses'!C337</f>
        <v>0</v>
      </c>
      <c r="D336" s="208"/>
      <c r="E336" s="206"/>
      <c r="F336" s="183" t="str">
        <f t="array" ref="F336">IF(Table133[[#This Row],[Survey?]]="","",IFERROR(INDEX([2]Rubric!$G$3:$G$94,MATCH(1,([2]Rubric!$E$3:$E$94=F$2)*([2]Rubric!$F$3:$F$94='[2]Questionnaire Responses'!F337),0)),"MISSING"))</f>
        <v/>
      </c>
      <c r="G336" s="183" t="str">
        <f t="array" ref="G336">IF(Table133[[#This Row],[Survey?]]="","",IFERROR(INDEX([2]Rubric!$G$3:$G$94,MATCH(1,([2]Rubric!$E$3:$E$94=G$2)*([2]Rubric!$F$3:$F$94='[2]Questionnaire Responses'!G337),0)),"MISSING"))</f>
        <v/>
      </c>
      <c r="H336" s="183" t="str">
        <f t="array" ref="H336">IF(Table133[[#This Row],[Survey?]]="","",IFERROR(INDEX([2]Rubric!$G$3:$G$94,MATCH(1,([2]Rubric!$E$3:$E$94=H$2)*([2]Rubric!$F$3:$F$94='[2]Questionnaire Responses'!H337),0)),"MISSING"))</f>
        <v/>
      </c>
      <c r="I336" s="183" t="str">
        <f t="array" ref="I336">IF(Table133[[#This Row],[Survey?]]="","",IFERROR(INDEX([2]Rubric!$G$3:$G$94,MATCH(1,([2]Rubric!$E$3:$E$94=I$2)*([2]Rubric!$F$3:$F$94='[2]Questionnaire Responses'!I337),0)),"MISSING"))</f>
        <v/>
      </c>
      <c r="J336" s="183" t="str">
        <f t="array" ref="J336">IF(Table133[[#This Row],[Survey?]]="","",IFERROR(INDEX([2]Rubric!$G$3:$G$94,MATCH(1,([2]Rubric!$E$3:$E$94=J$2)*([2]Rubric!$F$3:$F$94='[2]Questionnaire Responses'!J337),0)),"MISSING"))</f>
        <v/>
      </c>
      <c r="K336" s="206"/>
      <c r="L336" s="183" t="str">
        <f t="array" ref="L336">IF(Table133[[#This Row],[Survey?]]="","",IFERROR(INDEX([2]Rubric!$G$3:$G$94,MATCH(1,([2]Rubric!$E$3:$E$94=L$2)*([2]Rubric!$F$3:$F$94='[2]Questionnaire Responses'!L337),0)),"MISSING"))</f>
        <v/>
      </c>
      <c r="M336" s="206"/>
      <c r="N336" s="183" t="str">
        <f t="array" ref="N336">IF(Table133[[#This Row],[Survey?]]="","",IFERROR(INDEX([2]Rubric!$G$3:$G$94,MATCH(1,([2]Rubric!$E$3:$E$94=N$2)*([2]Rubric!$F$3:$F$94='[2]Questionnaire Responses'!N337),0)),"MISSING"))</f>
        <v/>
      </c>
      <c r="O336" s="183" t="str">
        <f t="array" ref="O336">IF(Table133[[#This Row],[Survey?]]="","",IFERROR(INDEX([2]Rubric!$G$3:$G$94,MATCH(1,([2]Rubric!$E$3:$E$94=O$2)*([2]Rubric!$F$3:$F$94='[2]Questionnaire Responses'!O337),0)),"MISSING"))</f>
        <v/>
      </c>
      <c r="P336" s="206"/>
      <c r="Q336" s="183" t="str">
        <f t="array" ref="Q336">IF(Table133[[#This Row],[Survey?]]="","",IFERROR(INDEX([2]Rubric!$G$3:$G$94,MATCH(1,([2]Rubric!$E$3:$E$94=Q$2)*([2]Rubric!$F$3:$F$94='[2]Questionnaire Responses'!Q337),0)),"MISSING"))</f>
        <v/>
      </c>
      <c r="R336" s="183" t="str">
        <f t="array" ref="R336">IF(Table133[[#This Row],[Survey?]]="","",IFERROR(INDEX([2]Rubric!$G$3:$G$94,MATCH(1,([2]Rubric!$E$3:$E$94=R$2)*([2]Rubric!$F$3:$F$94='[2]Questionnaire Responses'!R337),0)),"MISSING"))</f>
        <v/>
      </c>
      <c r="S336" s="183" t="str">
        <f t="array" ref="S336">IF(Table133[[#This Row],[Survey?]]="","",IFERROR(INDEX([2]Rubric!$G$3:$G$94,MATCH(1,([2]Rubric!$E$3:$E$94=S$2)*([2]Rubric!$F$3:$F$94='[2]Questionnaire Responses'!S337),0)),"MISSING"))</f>
        <v/>
      </c>
      <c r="T336" s="183" t="str">
        <f t="array" ref="T336">IF(Table133[[#This Row],[Survey?]]="","",IFERROR(INDEX([2]Rubric!$G$3:$G$94,MATCH(1,([2]Rubric!$E$3:$E$94=T$2)*([2]Rubric!$F$3:$F$94='[2]Questionnaire Responses'!T337),0)),"MISSING"))</f>
        <v/>
      </c>
      <c r="U336" s="206"/>
      <c r="V336" s="183" t="str">
        <f t="array" ref="V336">IF(Table133[[#This Row],[Survey?]]="","",IFERROR(INDEX([2]Rubric!$G$3:$G$94,MATCH(1,([2]Rubric!$E$3:$E$94=V$2)*([2]Rubric!$F$3:$F$94='[2]Questionnaire Responses'!V337),0)),"MISSING"))</f>
        <v/>
      </c>
      <c r="W336" s="206"/>
      <c r="X336" s="183" t="str">
        <f t="array" ref="X336">IF(Table133[[#This Row],[Survey?]]="","",IFERROR(INDEX([2]Rubric!$G$3:$G$94,MATCH(1,([2]Rubric!$E$3:$E$94=X$2)*([2]Rubric!$F$3:$F$94='[2]Questionnaire Responses'!X337),0)),"MISSING"))</f>
        <v/>
      </c>
      <c r="Y336" s="206"/>
      <c r="Z336" s="183" t="str">
        <f t="array" ref="Z336">IF(Table133[[#This Row],[Survey?]]="","",IFERROR(INDEX([2]Rubric!$G$3:$G$94,MATCH(1,([2]Rubric!$E$3:$E$94=Z$2)*([2]Rubric!$F$3:$F$94='[2]Questionnaire Responses'!Z337),0)),"MISSING"))</f>
        <v/>
      </c>
      <c r="AA336" s="183" t="str">
        <f t="array" ref="AA336">IF(Table133[[#This Row],[Survey?]]="","",IFERROR(INDEX([2]Rubric!$G$3:$G$94,MATCH(1,([2]Rubric!$E$3:$E$94=AA$2)*([2]Rubric!$F$3:$F$94='[2]Questionnaire Responses'!AA337),0)),"MISSING"))</f>
        <v/>
      </c>
      <c r="AB336" s="183" t="str">
        <f t="array" ref="AB336">IF(Table133[[#This Row],[Survey?]]="","",IFERROR(INDEX([2]Rubric!$G$3:$G$94,MATCH(1,([2]Rubric!$E$3:$E$94=AB$2)*([2]Rubric!$F$3:$F$94='[2]Questionnaire Responses'!AB337),0)),"MISSING"))</f>
        <v/>
      </c>
      <c r="AC336" s="206"/>
      <c r="AD336" s="183" t="str">
        <f t="array" ref="AD336">IF(Table133[[#This Row],[Survey?]]="","",IFERROR(INDEX([2]Rubric!$G$3:$G$94,MATCH(1,([2]Rubric!$E$3:$E$94=AD$2)*([2]Rubric!$F$3:$F$94='[2]Questionnaire Responses'!AD337),0)),"MISSING"))</f>
        <v/>
      </c>
      <c r="AE336" s="183" t="str">
        <f t="array" ref="AE336">IF(Table133[[#This Row],[Survey?]]="","",IFERROR(INDEX([2]Rubric!$G$3:$G$94,MATCH(1,([2]Rubric!$E$3:$E$94=AE$2)*([2]Rubric!$F$3:$F$94='[2]Questionnaire Responses'!AE337),0)),"MISSING"))</f>
        <v/>
      </c>
      <c r="AF336" s="206"/>
      <c r="AG336" s="183" t="str">
        <f t="array" ref="AG336">IF(Table133[[#This Row],[Survey?]]="","",IFERROR(INDEX([2]Rubric!$G$3:$G$94,MATCH(1,([2]Rubric!$E$3:$E$94=AG$2)*([2]Rubric!$F$3:$F$94='[2]Questionnaire Responses'!AG337),0)),"MISSING"))</f>
        <v/>
      </c>
    </row>
    <row r="337" spans="1:33" ht="12.75" customHeight="1" x14ac:dyDescent="0.25">
      <c r="A337" s="207">
        <f>'[2]Questionnaire Responses'!A338</f>
        <v>0</v>
      </c>
      <c r="B337" s="198">
        <f>'[2]Questionnaire Responses'!B338</f>
        <v>0</v>
      </c>
      <c r="C337" s="153">
        <f>'[2]Questionnaire Responses'!C338</f>
        <v>0</v>
      </c>
      <c r="D337" s="208"/>
      <c r="E337" s="206"/>
      <c r="F337" s="183" t="str">
        <f t="array" ref="F337">IF(Table133[[#This Row],[Survey?]]="","",IFERROR(INDEX([2]Rubric!$G$3:$G$94,MATCH(1,([2]Rubric!$E$3:$E$94=F$2)*([2]Rubric!$F$3:$F$94='[2]Questionnaire Responses'!F338),0)),"MISSING"))</f>
        <v/>
      </c>
      <c r="G337" s="183" t="str">
        <f t="array" ref="G337">IF(Table133[[#This Row],[Survey?]]="","",IFERROR(INDEX([2]Rubric!$G$3:$G$94,MATCH(1,([2]Rubric!$E$3:$E$94=G$2)*([2]Rubric!$F$3:$F$94='[2]Questionnaire Responses'!G338),0)),"MISSING"))</f>
        <v/>
      </c>
      <c r="H337" s="183" t="str">
        <f t="array" ref="H337">IF(Table133[[#This Row],[Survey?]]="","",IFERROR(INDEX([2]Rubric!$G$3:$G$94,MATCH(1,([2]Rubric!$E$3:$E$94=H$2)*([2]Rubric!$F$3:$F$94='[2]Questionnaire Responses'!H338),0)),"MISSING"))</f>
        <v/>
      </c>
      <c r="I337" s="183" t="str">
        <f t="array" ref="I337">IF(Table133[[#This Row],[Survey?]]="","",IFERROR(INDEX([2]Rubric!$G$3:$G$94,MATCH(1,([2]Rubric!$E$3:$E$94=I$2)*([2]Rubric!$F$3:$F$94='[2]Questionnaire Responses'!I338),0)),"MISSING"))</f>
        <v/>
      </c>
      <c r="J337" s="183" t="str">
        <f t="array" ref="J337">IF(Table133[[#This Row],[Survey?]]="","",IFERROR(INDEX([2]Rubric!$G$3:$G$94,MATCH(1,([2]Rubric!$E$3:$E$94=J$2)*([2]Rubric!$F$3:$F$94='[2]Questionnaire Responses'!J338),0)),"MISSING"))</f>
        <v/>
      </c>
      <c r="K337" s="206"/>
      <c r="L337" s="183" t="str">
        <f t="array" ref="L337">IF(Table133[[#This Row],[Survey?]]="","",IFERROR(INDEX([2]Rubric!$G$3:$G$94,MATCH(1,([2]Rubric!$E$3:$E$94=L$2)*([2]Rubric!$F$3:$F$94='[2]Questionnaire Responses'!L338),0)),"MISSING"))</f>
        <v/>
      </c>
      <c r="M337" s="206"/>
      <c r="N337" s="183" t="str">
        <f t="array" ref="N337">IF(Table133[[#This Row],[Survey?]]="","",IFERROR(INDEX([2]Rubric!$G$3:$G$94,MATCH(1,([2]Rubric!$E$3:$E$94=N$2)*([2]Rubric!$F$3:$F$94='[2]Questionnaire Responses'!N338),0)),"MISSING"))</f>
        <v/>
      </c>
      <c r="O337" s="183" t="str">
        <f t="array" ref="O337">IF(Table133[[#This Row],[Survey?]]="","",IFERROR(INDEX([2]Rubric!$G$3:$G$94,MATCH(1,([2]Rubric!$E$3:$E$94=O$2)*([2]Rubric!$F$3:$F$94='[2]Questionnaire Responses'!O338),0)),"MISSING"))</f>
        <v/>
      </c>
      <c r="P337" s="206"/>
      <c r="Q337" s="183" t="str">
        <f t="array" ref="Q337">IF(Table133[[#This Row],[Survey?]]="","",IFERROR(INDEX([2]Rubric!$G$3:$G$94,MATCH(1,([2]Rubric!$E$3:$E$94=Q$2)*([2]Rubric!$F$3:$F$94='[2]Questionnaire Responses'!Q338),0)),"MISSING"))</f>
        <v/>
      </c>
      <c r="R337" s="183" t="str">
        <f t="array" ref="R337">IF(Table133[[#This Row],[Survey?]]="","",IFERROR(INDEX([2]Rubric!$G$3:$G$94,MATCH(1,([2]Rubric!$E$3:$E$94=R$2)*([2]Rubric!$F$3:$F$94='[2]Questionnaire Responses'!R338),0)),"MISSING"))</f>
        <v/>
      </c>
      <c r="S337" s="183" t="str">
        <f t="array" ref="S337">IF(Table133[[#This Row],[Survey?]]="","",IFERROR(INDEX([2]Rubric!$G$3:$G$94,MATCH(1,([2]Rubric!$E$3:$E$94=S$2)*([2]Rubric!$F$3:$F$94='[2]Questionnaire Responses'!S338),0)),"MISSING"))</f>
        <v/>
      </c>
      <c r="T337" s="183" t="str">
        <f t="array" ref="T337">IF(Table133[[#This Row],[Survey?]]="","",IFERROR(INDEX([2]Rubric!$G$3:$G$94,MATCH(1,([2]Rubric!$E$3:$E$94=T$2)*([2]Rubric!$F$3:$F$94='[2]Questionnaire Responses'!T338),0)),"MISSING"))</f>
        <v/>
      </c>
      <c r="U337" s="206"/>
      <c r="V337" s="183" t="str">
        <f t="array" ref="V337">IF(Table133[[#This Row],[Survey?]]="","",IFERROR(INDEX([2]Rubric!$G$3:$G$94,MATCH(1,([2]Rubric!$E$3:$E$94=V$2)*([2]Rubric!$F$3:$F$94='[2]Questionnaire Responses'!V338),0)),"MISSING"))</f>
        <v/>
      </c>
      <c r="W337" s="206"/>
      <c r="X337" s="183" t="str">
        <f t="array" ref="X337">IF(Table133[[#This Row],[Survey?]]="","",IFERROR(INDEX([2]Rubric!$G$3:$G$94,MATCH(1,([2]Rubric!$E$3:$E$94=X$2)*([2]Rubric!$F$3:$F$94='[2]Questionnaire Responses'!X338),0)),"MISSING"))</f>
        <v/>
      </c>
      <c r="Y337" s="206"/>
      <c r="Z337" s="183" t="str">
        <f t="array" ref="Z337">IF(Table133[[#This Row],[Survey?]]="","",IFERROR(INDEX([2]Rubric!$G$3:$G$94,MATCH(1,([2]Rubric!$E$3:$E$94=Z$2)*([2]Rubric!$F$3:$F$94='[2]Questionnaire Responses'!Z338),0)),"MISSING"))</f>
        <v/>
      </c>
      <c r="AA337" s="183" t="str">
        <f t="array" ref="AA337">IF(Table133[[#This Row],[Survey?]]="","",IFERROR(INDEX([2]Rubric!$G$3:$G$94,MATCH(1,([2]Rubric!$E$3:$E$94=AA$2)*([2]Rubric!$F$3:$F$94='[2]Questionnaire Responses'!AA338),0)),"MISSING"))</f>
        <v/>
      </c>
      <c r="AB337" s="183" t="str">
        <f t="array" ref="AB337">IF(Table133[[#This Row],[Survey?]]="","",IFERROR(INDEX([2]Rubric!$G$3:$G$94,MATCH(1,([2]Rubric!$E$3:$E$94=AB$2)*([2]Rubric!$F$3:$F$94='[2]Questionnaire Responses'!AB338),0)),"MISSING"))</f>
        <v/>
      </c>
      <c r="AC337" s="206"/>
      <c r="AD337" s="183" t="str">
        <f t="array" ref="AD337">IF(Table133[[#This Row],[Survey?]]="","",IFERROR(INDEX([2]Rubric!$G$3:$G$94,MATCH(1,([2]Rubric!$E$3:$E$94=AD$2)*([2]Rubric!$F$3:$F$94='[2]Questionnaire Responses'!AD338),0)),"MISSING"))</f>
        <v/>
      </c>
      <c r="AE337" s="183" t="str">
        <f t="array" ref="AE337">IF(Table133[[#This Row],[Survey?]]="","",IFERROR(INDEX([2]Rubric!$G$3:$G$94,MATCH(1,([2]Rubric!$E$3:$E$94=AE$2)*([2]Rubric!$F$3:$F$94='[2]Questionnaire Responses'!AE338),0)),"MISSING"))</f>
        <v/>
      </c>
      <c r="AF337" s="206"/>
      <c r="AG337" s="183" t="str">
        <f t="array" ref="AG337">IF(Table133[[#This Row],[Survey?]]="","",IFERROR(INDEX([2]Rubric!$G$3:$G$94,MATCH(1,([2]Rubric!$E$3:$E$94=AG$2)*([2]Rubric!$F$3:$F$94='[2]Questionnaire Responses'!AG338),0)),"MISSING"))</f>
        <v/>
      </c>
    </row>
    <row r="338" spans="1:33" ht="12.75" customHeight="1" x14ac:dyDescent="0.25">
      <c r="A338" s="207">
        <f>'[2]Questionnaire Responses'!A339</f>
        <v>0</v>
      </c>
      <c r="B338" s="198">
        <f>'[2]Questionnaire Responses'!B339</f>
        <v>0</v>
      </c>
      <c r="C338" s="153">
        <f>'[2]Questionnaire Responses'!C339</f>
        <v>0</v>
      </c>
      <c r="D338" s="208"/>
      <c r="E338" s="206"/>
      <c r="F338" s="183" t="str">
        <f t="array" ref="F338">IF(Table133[[#This Row],[Survey?]]="","",IFERROR(INDEX([2]Rubric!$G$3:$G$94,MATCH(1,([2]Rubric!$E$3:$E$94=F$2)*([2]Rubric!$F$3:$F$94='[2]Questionnaire Responses'!F339),0)),"MISSING"))</f>
        <v/>
      </c>
      <c r="G338" s="183" t="str">
        <f t="array" ref="G338">IF(Table133[[#This Row],[Survey?]]="","",IFERROR(INDEX([2]Rubric!$G$3:$G$94,MATCH(1,([2]Rubric!$E$3:$E$94=G$2)*([2]Rubric!$F$3:$F$94='[2]Questionnaire Responses'!G339),0)),"MISSING"))</f>
        <v/>
      </c>
      <c r="H338" s="183" t="str">
        <f t="array" ref="H338">IF(Table133[[#This Row],[Survey?]]="","",IFERROR(INDEX([2]Rubric!$G$3:$G$94,MATCH(1,([2]Rubric!$E$3:$E$94=H$2)*([2]Rubric!$F$3:$F$94='[2]Questionnaire Responses'!H339),0)),"MISSING"))</f>
        <v/>
      </c>
      <c r="I338" s="183" t="str">
        <f t="array" ref="I338">IF(Table133[[#This Row],[Survey?]]="","",IFERROR(INDEX([2]Rubric!$G$3:$G$94,MATCH(1,([2]Rubric!$E$3:$E$94=I$2)*([2]Rubric!$F$3:$F$94='[2]Questionnaire Responses'!I339),0)),"MISSING"))</f>
        <v/>
      </c>
      <c r="J338" s="183" t="str">
        <f t="array" ref="J338">IF(Table133[[#This Row],[Survey?]]="","",IFERROR(INDEX([2]Rubric!$G$3:$G$94,MATCH(1,([2]Rubric!$E$3:$E$94=J$2)*([2]Rubric!$F$3:$F$94='[2]Questionnaire Responses'!J339),0)),"MISSING"))</f>
        <v/>
      </c>
      <c r="K338" s="206"/>
      <c r="L338" s="183" t="str">
        <f t="array" ref="L338">IF(Table133[[#This Row],[Survey?]]="","",IFERROR(INDEX([2]Rubric!$G$3:$G$94,MATCH(1,([2]Rubric!$E$3:$E$94=L$2)*([2]Rubric!$F$3:$F$94='[2]Questionnaire Responses'!L339),0)),"MISSING"))</f>
        <v/>
      </c>
      <c r="M338" s="206"/>
      <c r="N338" s="183" t="str">
        <f t="array" ref="N338">IF(Table133[[#This Row],[Survey?]]="","",IFERROR(INDEX([2]Rubric!$G$3:$G$94,MATCH(1,([2]Rubric!$E$3:$E$94=N$2)*([2]Rubric!$F$3:$F$94='[2]Questionnaire Responses'!N339),0)),"MISSING"))</f>
        <v/>
      </c>
      <c r="O338" s="183" t="str">
        <f t="array" ref="O338">IF(Table133[[#This Row],[Survey?]]="","",IFERROR(INDEX([2]Rubric!$G$3:$G$94,MATCH(1,([2]Rubric!$E$3:$E$94=O$2)*([2]Rubric!$F$3:$F$94='[2]Questionnaire Responses'!O339),0)),"MISSING"))</f>
        <v/>
      </c>
      <c r="P338" s="206"/>
      <c r="Q338" s="183" t="str">
        <f t="array" ref="Q338">IF(Table133[[#This Row],[Survey?]]="","",IFERROR(INDEX([2]Rubric!$G$3:$G$94,MATCH(1,([2]Rubric!$E$3:$E$94=Q$2)*([2]Rubric!$F$3:$F$94='[2]Questionnaire Responses'!Q339),0)),"MISSING"))</f>
        <v/>
      </c>
      <c r="R338" s="183" t="str">
        <f t="array" ref="R338">IF(Table133[[#This Row],[Survey?]]="","",IFERROR(INDEX([2]Rubric!$G$3:$G$94,MATCH(1,([2]Rubric!$E$3:$E$94=R$2)*([2]Rubric!$F$3:$F$94='[2]Questionnaire Responses'!R339),0)),"MISSING"))</f>
        <v/>
      </c>
      <c r="S338" s="183" t="str">
        <f t="array" ref="S338">IF(Table133[[#This Row],[Survey?]]="","",IFERROR(INDEX([2]Rubric!$G$3:$G$94,MATCH(1,([2]Rubric!$E$3:$E$94=S$2)*([2]Rubric!$F$3:$F$94='[2]Questionnaire Responses'!S339),0)),"MISSING"))</f>
        <v/>
      </c>
      <c r="T338" s="183" t="str">
        <f t="array" ref="T338">IF(Table133[[#This Row],[Survey?]]="","",IFERROR(INDEX([2]Rubric!$G$3:$G$94,MATCH(1,([2]Rubric!$E$3:$E$94=T$2)*([2]Rubric!$F$3:$F$94='[2]Questionnaire Responses'!T339),0)),"MISSING"))</f>
        <v/>
      </c>
      <c r="U338" s="206"/>
      <c r="V338" s="183" t="str">
        <f t="array" ref="V338">IF(Table133[[#This Row],[Survey?]]="","",IFERROR(INDEX([2]Rubric!$G$3:$G$94,MATCH(1,([2]Rubric!$E$3:$E$94=V$2)*([2]Rubric!$F$3:$F$94='[2]Questionnaire Responses'!V339),0)),"MISSING"))</f>
        <v/>
      </c>
      <c r="W338" s="206"/>
      <c r="X338" s="183" t="str">
        <f t="array" ref="X338">IF(Table133[[#This Row],[Survey?]]="","",IFERROR(INDEX([2]Rubric!$G$3:$G$94,MATCH(1,([2]Rubric!$E$3:$E$94=X$2)*([2]Rubric!$F$3:$F$94='[2]Questionnaire Responses'!X339),0)),"MISSING"))</f>
        <v/>
      </c>
      <c r="Y338" s="206"/>
      <c r="Z338" s="183" t="str">
        <f t="array" ref="Z338">IF(Table133[[#This Row],[Survey?]]="","",IFERROR(INDEX([2]Rubric!$G$3:$G$94,MATCH(1,([2]Rubric!$E$3:$E$94=Z$2)*([2]Rubric!$F$3:$F$94='[2]Questionnaire Responses'!Z339),0)),"MISSING"))</f>
        <v/>
      </c>
      <c r="AA338" s="183" t="str">
        <f t="array" ref="AA338">IF(Table133[[#This Row],[Survey?]]="","",IFERROR(INDEX([2]Rubric!$G$3:$G$94,MATCH(1,([2]Rubric!$E$3:$E$94=AA$2)*([2]Rubric!$F$3:$F$94='[2]Questionnaire Responses'!AA339),0)),"MISSING"))</f>
        <v/>
      </c>
      <c r="AB338" s="183" t="str">
        <f t="array" ref="AB338">IF(Table133[[#This Row],[Survey?]]="","",IFERROR(INDEX([2]Rubric!$G$3:$G$94,MATCH(1,([2]Rubric!$E$3:$E$94=AB$2)*([2]Rubric!$F$3:$F$94='[2]Questionnaire Responses'!AB339),0)),"MISSING"))</f>
        <v/>
      </c>
      <c r="AC338" s="206"/>
      <c r="AD338" s="183" t="str">
        <f t="array" ref="AD338">IF(Table133[[#This Row],[Survey?]]="","",IFERROR(INDEX([2]Rubric!$G$3:$G$94,MATCH(1,([2]Rubric!$E$3:$E$94=AD$2)*([2]Rubric!$F$3:$F$94='[2]Questionnaire Responses'!AD339),0)),"MISSING"))</f>
        <v/>
      </c>
      <c r="AE338" s="183" t="str">
        <f t="array" ref="AE338">IF(Table133[[#This Row],[Survey?]]="","",IFERROR(INDEX([2]Rubric!$G$3:$G$94,MATCH(1,([2]Rubric!$E$3:$E$94=AE$2)*([2]Rubric!$F$3:$F$94='[2]Questionnaire Responses'!AE339),0)),"MISSING"))</f>
        <v/>
      </c>
      <c r="AF338" s="206"/>
      <c r="AG338" s="183" t="str">
        <f t="array" ref="AG338">IF(Table133[[#This Row],[Survey?]]="","",IFERROR(INDEX([2]Rubric!$G$3:$G$94,MATCH(1,([2]Rubric!$E$3:$E$94=AG$2)*([2]Rubric!$F$3:$F$94='[2]Questionnaire Responses'!AG339),0)),"MISSING"))</f>
        <v/>
      </c>
    </row>
    <row r="339" spans="1:33" ht="12.75" customHeight="1" x14ac:dyDescent="0.25">
      <c r="A339" s="207">
        <f>'[2]Questionnaire Responses'!A340</f>
        <v>0</v>
      </c>
      <c r="B339" s="198">
        <f>'[2]Questionnaire Responses'!B340</f>
        <v>0</v>
      </c>
      <c r="C339" s="153">
        <f>'[2]Questionnaire Responses'!C340</f>
        <v>0</v>
      </c>
      <c r="D339" s="208"/>
      <c r="E339" s="206"/>
      <c r="F339" s="183" t="str">
        <f t="array" ref="F339">IF(Table133[[#This Row],[Survey?]]="","",IFERROR(INDEX([2]Rubric!$G$3:$G$94,MATCH(1,([2]Rubric!$E$3:$E$94=F$2)*([2]Rubric!$F$3:$F$94='[2]Questionnaire Responses'!F340),0)),"MISSING"))</f>
        <v/>
      </c>
      <c r="G339" s="183" t="str">
        <f t="array" ref="G339">IF(Table133[[#This Row],[Survey?]]="","",IFERROR(INDEX([2]Rubric!$G$3:$G$94,MATCH(1,([2]Rubric!$E$3:$E$94=G$2)*([2]Rubric!$F$3:$F$94='[2]Questionnaire Responses'!G340),0)),"MISSING"))</f>
        <v/>
      </c>
      <c r="H339" s="183" t="str">
        <f t="array" ref="H339">IF(Table133[[#This Row],[Survey?]]="","",IFERROR(INDEX([2]Rubric!$G$3:$G$94,MATCH(1,([2]Rubric!$E$3:$E$94=H$2)*([2]Rubric!$F$3:$F$94='[2]Questionnaire Responses'!H340),0)),"MISSING"))</f>
        <v/>
      </c>
      <c r="I339" s="183" t="str">
        <f t="array" ref="I339">IF(Table133[[#This Row],[Survey?]]="","",IFERROR(INDEX([2]Rubric!$G$3:$G$94,MATCH(1,([2]Rubric!$E$3:$E$94=I$2)*([2]Rubric!$F$3:$F$94='[2]Questionnaire Responses'!I340),0)),"MISSING"))</f>
        <v/>
      </c>
      <c r="J339" s="183" t="str">
        <f t="array" ref="J339">IF(Table133[[#This Row],[Survey?]]="","",IFERROR(INDEX([2]Rubric!$G$3:$G$94,MATCH(1,([2]Rubric!$E$3:$E$94=J$2)*([2]Rubric!$F$3:$F$94='[2]Questionnaire Responses'!J340),0)),"MISSING"))</f>
        <v/>
      </c>
      <c r="K339" s="206"/>
      <c r="L339" s="183" t="str">
        <f t="array" ref="L339">IF(Table133[[#This Row],[Survey?]]="","",IFERROR(INDEX([2]Rubric!$G$3:$G$94,MATCH(1,([2]Rubric!$E$3:$E$94=L$2)*([2]Rubric!$F$3:$F$94='[2]Questionnaire Responses'!L340),0)),"MISSING"))</f>
        <v/>
      </c>
      <c r="M339" s="206"/>
      <c r="N339" s="183" t="str">
        <f t="array" ref="N339">IF(Table133[[#This Row],[Survey?]]="","",IFERROR(INDEX([2]Rubric!$G$3:$G$94,MATCH(1,([2]Rubric!$E$3:$E$94=N$2)*([2]Rubric!$F$3:$F$94='[2]Questionnaire Responses'!N340),0)),"MISSING"))</f>
        <v/>
      </c>
      <c r="O339" s="183" t="str">
        <f t="array" ref="O339">IF(Table133[[#This Row],[Survey?]]="","",IFERROR(INDEX([2]Rubric!$G$3:$G$94,MATCH(1,([2]Rubric!$E$3:$E$94=O$2)*([2]Rubric!$F$3:$F$94='[2]Questionnaire Responses'!O340),0)),"MISSING"))</f>
        <v/>
      </c>
      <c r="P339" s="206"/>
      <c r="Q339" s="183" t="str">
        <f t="array" ref="Q339">IF(Table133[[#This Row],[Survey?]]="","",IFERROR(INDEX([2]Rubric!$G$3:$G$94,MATCH(1,([2]Rubric!$E$3:$E$94=Q$2)*([2]Rubric!$F$3:$F$94='[2]Questionnaire Responses'!Q340),0)),"MISSING"))</f>
        <v/>
      </c>
      <c r="R339" s="183" t="str">
        <f t="array" ref="R339">IF(Table133[[#This Row],[Survey?]]="","",IFERROR(INDEX([2]Rubric!$G$3:$G$94,MATCH(1,([2]Rubric!$E$3:$E$94=R$2)*([2]Rubric!$F$3:$F$94='[2]Questionnaire Responses'!R340),0)),"MISSING"))</f>
        <v/>
      </c>
      <c r="S339" s="183" t="str">
        <f t="array" ref="S339">IF(Table133[[#This Row],[Survey?]]="","",IFERROR(INDEX([2]Rubric!$G$3:$G$94,MATCH(1,([2]Rubric!$E$3:$E$94=S$2)*([2]Rubric!$F$3:$F$94='[2]Questionnaire Responses'!S340),0)),"MISSING"))</f>
        <v/>
      </c>
      <c r="T339" s="183" t="str">
        <f t="array" ref="T339">IF(Table133[[#This Row],[Survey?]]="","",IFERROR(INDEX([2]Rubric!$G$3:$G$94,MATCH(1,([2]Rubric!$E$3:$E$94=T$2)*([2]Rubric!$F$3:$F$94='[2]Questionnaire Responses'!T340),0)),"MISSING"))</f>
        <v/>
      </c>
      <c r="U339" s="206"/>
      <c r="V339" s="183" t="str">
        <f t="array" ref="V339">IF(Table133[[#This Row],[Survey?]]="","",IFERROR(INDEX([2]Rubric!$G$3:$G$94,MATCH(1,([2]Rubric!$E$3:$E$94=V$2)*([2]Rubric!$F$3:$F$94='[2]Questionnaire Responses'!V340),0)),"MISSING"))</f>
        <v/>
      </c>
      <c r="W339" s="206"/>
      <c r="X339" s="183" t="str">
        <f t="array" ref="X339">IF(Table133[[#This Row],[Survey?]]="","",IFERROR(INDEX([2]Rubric!$G$3:$G$94,MATCH(1,([2]Rubric!$E$3:$E$94=X$2)*([2]Rubric!$F$3:$F$94='[2]Questionnaire Responses'!X340),0)),"MISSING"))</f>
        <v/>
      </c>
      <c r="Y339" s="206"/>
      <c r="Z339" s="183" t="str">
        <f t="array" ref="Z339">IF(Table133[[#This Row],[Survey?]]="","",IFERROR(INDEX([2]Rubric!$G$3:$G$94,MATCH(1,([2]Rubric!$E$3:$E$94=Z$2)*([2]Rubric!$F$3:$F$94='[2]Questionnaire Responses'!Z340),0)),"MISSING"))</f>
        <v/>
      </c>
      <c r="AA339" s="183" t="str">
        <f t="array" ref="AA339">IF(Table133[[#This Row],[Survey?]]="","",IFERROR(INDEX([2]Rubric!$G$3:$G$94,MATCH(1,([2]Rubric!$E$3:$E$94=AA$2)*([2]Rubric!$F$3:$F$94='[2]Questionnaire Responses'!AA340),0)),"MISSING"))</f>
        <v/>
      </c>
      <c r="AB339" s="183" t="str">
        <f t="array" ref="AB339">IF(Table133[[#This Row],[Survey?]]="","",IFERROR(INDEX([2]Rubric!$G$3:$G$94,MATCH(1,([2]Rubric!$E$3:$E$94=AB$2)*([2]Rubric!$F$3:$F$94='[2]Questionnaire Responses'!AB340),0)),"MISSING"))</f>
        <v/>
      </c>
      <c r="AC339" s="206"/>
      <c r="AD339" s="183" t="str">
        <f t="array" ref="AD339">IF(Table133[[#This Row],[Survey?]]="","",IFERROR(INDEX([2]Rubric!$G$3:$G$94,MATCH(1,([2]Rubric!$E$3:$E$94=AD$2)*([2]Rubric!$F$3:$F$94='[2]Questionnaire Responses'!AD340),0)),"MISSING"))</f>
        <v/>
      </c>
      <c r="AE339" s="183" t="str">
        <f t="array" ref="AE339">IF(Table133[[#This Row],[Survey?]]="","",IFERROR(INDEX([2]Rubric!$G$3:$G$94,MATCH(1,([2]Rubric!$E$3:$E$94=AE$2)*([2]Rubric!$F$3:$F$94='[2]Questionnaire Responses'!AE340),0)),"MISSING"))</f>
        <v/>
      </c>
      <c r="AF339" s="206"/>
      <c r="AG339" s="183" t="str">
        <f t="array" ref="AG339">IF(Table133[[#This Row],[Survey?]]="","",IFERROR(INDEX([2]Rubric!$G$3:$G$94,MATCH(1,([2]Rubric!$E$3:$E$94=AG$2)*([2]Rubric!$F$3:$F$94='[2]Questionnaire Responses'!AG340),0)),"MISSING"))</f>
        <v/>
      </c>
    </row>
    <row r="340" spans="1:33" ht="12.75" customHeight="1" x14ac:dyDescent="0.25">
      <c r="A340" s="207">
        <f>'[2]Questionnaire Responses'!A341</f>
        <v>0</v>
      </c>
      <c r="B340" s="198">
        <f>'[2]Questionnaire Responses'!B341</f>
        <v>0</v>
      </c>
      <c r="C340" s="153">
        <f>'[2]Questionnaire Responses'!C341</f>
        <v>0</v>
      </c>
      <c r="D340" s="208"/>
      <c r="E340" s="206"/>
      <c r="F340" s="183" t="str">
        <f t="array" ref="F340">IF(Table133[[#This Row],[Survey?]]="","",IFERROR(INDEX([2]Rubric!$G$3:$G$94,MATCH(1,([2]Rubric!$E$3:$E$94=F$2)*([2]Rubric!$F$3:$F$94='[2]Questionnaire Responses'!F341),0)),"MISSING"))</f>
        <v/>
      </c>
      <c r="G340" s="183" t="str">
        <f t="array" ref="G340">IF(Table133[[#This Row],[Survey?]]="","",IFERROR(INDEX([2]Rubric!$G$3:$G$94,MATCH(1,([2]Rubric!$E$3:$E$94=G$2)*([2]Rubric!$F$3:$F$94='[2]Questionnaire Responses'!G341),0)),"MISSING"))</f>
        <v/>
      </c>
      <c r="H340" s="183" t="str">
        <f t="array" ref="H340">IF(Table133[[#This Row],[Survey?]]="","",IFERROR(INDEX([2]Rubric!$G$3:$G$94,MATCH(1,([2]Rubric!$E$3:$E$94=H$2)*([2]Rubric!$F$3:$F$94='[2]Questionnaire Responses'!H341),0)),"MISSING"))</f>
        <v/>
      </c>
      <c r="I340" s="183" t="str">
        <f t="array" ref="I340">IF(Table133[[#This Row],[Survey?]]="","",IFERROR(INDEX([2]Rubric!$G$3:$G$94,MATCH(1,([2]Rubric!$E$3:$E$94=I$2)*([2]Rubric!$F$3:$F$94='[2]Questionnaire Responses'!I341),0)),"MISSING"))</f>
        <v/>
      </c>
      <c r="J340" s="183" t="str">
        <f t="array" ref="J340">IF(Table133[[#This Row],[Survey?]]="","",IFERROR(INDEX([2]Rubric!$G$3:$G$94,MATCH(1,([2]Rubric!$E$3:$E$94=J$2)*([2]Rubric!$F$3:$F$94='[2]Questionnaire Responses'!J341),0)),"MISSING"))</f>
        <v/>
      </c>
      <c r="K340" s="206"/>
      <c r="L340" s="183" t="str">
        <f t="array" ref="L340">IF(Table133[[#This Row],[Survey?]]="","",IFERROR(INDEX([2]Rubric!$G$3:$G$94,MATCH(1,([2]Rubric!$E$3:$E$94=L$2)*([2]Rubric!$F$3:$F$94='[2]Questionnaire Responses'!L341),0)),"MISSING"))</f>
        <v/>
      </c>
      <c r="M340" s="206"/>
      <c r="N340" s="183" t="str">
        <f t="array" ref="N340">IF(Table133[[#This Row],[Survey?]]="","",IFERROR(INDEX([2]Rubric!$G$3:$G$94,MATCH(1,([2]Rubric!$E$3:$E$94=N$2)*([2]Rubric!$F$3:$F$94='[2]Questionnaire Responses'!N341),0)),"MISSING"))</f>
        <v/>
      </c>
      <c r="O340" s="183" t="str">
        <f t="array" ref="O340">IF(Table133[[#This Row],[Survey?]]="","",IFERROR(INDEX([2]Rubric!$G$3:$G$94,MATCH(1,([2]Rubric!$E$3:$E$94=O$2)*([2]Rubric!$F$3:$F$94='[2]Questionnaire Responses'!O341),0)),"MISSING"))</f>
        <v/>
      </c>
      <c r="P340" s="206"/>
      <c r="Q340" s="183" t="str">
        <f t="array" ref="Q340">IF(Table133[[#This Row],[Survey?]]="","",IFERROR(INDEX([2]Rubric!$G$3:$G$94,MATCH(1,([2]Rubric!$E$3:$E$94=Q$2)*([2]Rubric!$F$3:$F$94='[2]Questionnaire Responses'!Q341),0)),"MISSING"))</f>
        <v/>
      </c>
      <c r="R340" s="183" t="str">
        <f t="array" ref="R340">IF(Table133[[#This Row],[Survey?]]="","",IFERROR(INDEX([2]Rubric!$G$3:$G$94,MATCH(1,([2]Rubric!$E$3:$E$94=R$2)*([2]Rubric!$F$3:$F$94='[2]Questionnaire Responses'!R341),0)),"MISSING"))</f>
        <v/>
      </c>
      <c r="S340" s="183" t="str">
        <f t="array" ref="S340">IF(Table133[[#This Row],[Survey?]]="","",IFERROR(INDEX([2]Rubric!$G$3:$G$94,MATCH(1,([2]Rubric!$E$3:$E$94=S$2)*([2]Rubric!$F$3:$F$94='[2]Questionnaire Responses'!S341),0)),"MISSING"))</f>
        <v/>
      </c>
      <c r="T340" s="183" t="str">
        <f t="array" ref="T340">IF(Table133[[#This Row],[Survey?]]="","",IFERROR(INDEX([2]Rubric!$G$3:$G$94,MATCH(1,([2]Rubric!$E$3:$E$94=T$2)*([2]Rubric!$F$3:$F$94='[2]Questionnaire Responses'!T341),0)),"MISSING"))</f>
        <v/>
      </c>
      <c r="U340" s="206"/>
      <c r="V340" s="183" t="str">
        <f t="array" ref="V340">IF(Table133[[#This Row],[Survey?]]="","",IFERROR(INDEX([2]Rubric!$G$3:$G$94,MATCH(1,([2]Rubric!$E$3:$E$94=V$2)*([2]Rubric!$F$3:$F$94='[2]Questionnaire Responses'!V341),0)),"MISSING"))</f>
        <v/>
      </c>
      <c r="W340" s="206"/>
      <c r="X340" s="183" t="str">
        <f t="array" ref="X340">IF(Table133[[#This Row],[Survey?]]="","",IFERROR(INDEX([2]Rubric!$G$3:$G$94,MATCH(1,([2]Rubric!$E$3:$E$94=X$2)*([2]Rubric!$F$3:$F$94='[2]Questionnaire Responses'!X341),0)),"MISSING"))</f>
        <v/>
      </c>
      <c r="Y340" s="206"/>
      <c r="Z340" s="183" t="str">
        <f t="array" ref="Z340">IF(Table133[[#This Row],[Survey?]]="","",IFERROR(INDEX([2]Rubric!$G$3:$G$94,MATCH(1,([2]Rubric!$E$3:$E$94=Z$2)*([2]Rubric!$F$3:$F$94='[2]Questionnaire Responses'!Z341),0)),"MISSING"))</f>
        <v/>
      </c>
      <c r="AA340" s="183" t="str">
        <f t="array" ref="AA340">IF(Table133[[#This Row],[Survey?]]="","",IFERROR(INDEX([2]Rubric!$G$3:$G$94,MATCH(1,([2]Rubric!$E$3:$E$94=AA$2)*([2]Rubric!$F$3:$F$94='[2]Questionnaire Responses'!AA341),0)),"MISSING"))</f>
        <v/>
      </c>
      <c r="AB340" s="183" t="str">
        <f t="array" ref="AB340">IF(Table133[[#This Row],[Survey?]]="","",IFERROR(INDEX([2]Rubric!$G$3:$G$94,MATCH(1,([2]Rubric!$E$3:$E$94=AB$2)*([2]Rubric!$F$3:$F$94='[2]Questionnaire Responses'!AB341),0)),"MISSING"))</f>
        <v/>
      </c>
      <c r="AC340" s="206"/>
      <c r="AD340" s="183" t="str">
        <f t="array" ref="AD340">IF(Table133[[#This Row],[Survey?]]="","",IFERROR(INDEX([2]Rubric!$G$3:$G$94,MATCH(1,([2]Rubric!$E$3:$E$94=AD$2)*([2]Rubric!$F$3:$F$94='[2]Questionnaire Responses'!AD341),0)),"MISSING"))</f>
        <v/>
      </c>
      <c r="AE340" s="183" t="str">
        <f t="array" ref="AE340">IF(Table133[[#This Row],[Survey?]]="","",IFERROR(INDEX([2]Rubric!$G$3:$G$94,MATCH(1,([2]Rubric!$E$3:$E$94=AE$2)*([2]Rubric!$F$3:$F$94='[2]Questionnaire Responses'!AE341),0)),"MISSING"))</f>
        <v/>
      </c>
      <c r="AF340" s="206"/>
      <c r="AG340" s="183" t="str">
        <f t="array" ref="AG340">IF(Table133[[#This Row],[Survey?]]="","",IFERROR(INDEX([2]Rubric!$G$3:$G$94,MATCH(1,([2]Rubric!$E$3:$E$94=AG$2)*([2]Rubric!$F$3:$F$94='[2]Questionnaire Responses'!AG341),0)),"MISSING"))</f>
        <v/>
      </c>
    </row>
    <row r="341" spans="1:33" ht="12.75" customHeight="1" x14ac:dyDescent="0.25">
      <c r="A341" s="207">
        <f>'[2]Questionnaire Responses'!A342</f>
        <v>0</v>
      </c>
      <c r="B341" s="198">
        <f>'[2]Questionnaire Responses'!B342</f>
        <v>0</v>
      </c>
      <c r="C341" s="153">
        <f>'[2]Questionnaire Responses'!C342</f>
        <v>0</v>
      </c>
      <c r="D341" s="208"/>
      <c r="E341" s="206"/>
      <c r="F341" s="183" t="str">
        <f t="array" ref="F341">IF(Table133[[#This Row],[Survey?]]="","",IFERROR(INDEX([2]Rubric!$G$3:$G$94,MATCH(1,([2]Rubric!$E$3:$E$94=F$2)*([2]Rubric!$F$3:$F$94='[2]Questionnaire Responses'!F342),0)),"MISSING"))</f>
        <v/>
      </c>
      <c r="G341" s="183" t="str">
        <f t="array" ref="G341">IF(Table133[[#This Row],[Survey?]]="","",IFERROR(INDEX([2]Rubric!$G$3:$G$94,MATCH(1,([2]Rubric!$E$3:$E$94=G$2)*([2]Rubric!$F$3:$F$94='[2]Questionnaire Responses'!G342),0)),"MISSING"))</f>
        <v/>
      </c>
      <c r="H341" s="183" t="str">
        <f t="array" ref="H341">IF(Table133[[#This Row],[Survey?]]="","",IFERROR(INDEX([2]Rubric!$G$3:$G$94,MATCH(1,([2]Rubric!$E$3:$E$94=H$2)*([2]Rubric!$F$3:$F$94='[2]Questionnaire Responses'!H342),0)),"MISSING"))</f>
        <v/>
      </c>
      <c r="I341" s="183" t="str">
        <f t="array" ref="I341">IF(Table133[[#This Row],[Survey?]]="","",IFERROR(INDEX([2]Rubric!$G$3:$G$94,MATCH(1,([2]Rubric!$E$3:$E$94=I$2)*([2]Rubric!$F$3:$F$94='[2]Questionnaire Responses'!I342),0)),"MISSING"))</f>
        <v/>
      </c>
      <c r="J341" s="183" t="str">
        <f t="array" ref="J341">IF(Table133[[#This Row],[Survey?]]="","",IFERROR(INDEX([2]Rubric!$G$3:$G$94,MATCH(1,([2]Rubric!$E$3:$E$94=J$2)*([2]Rubric!$F$3:$F$94='[2]Questionnaire Responses'!J342),0)),"MISSING"))</f>
        <v/>
      </c>
      <c r="K341" s="206"/>
      <c r="L341" s="183" t="str">
        <f t="array" ref="L341">IF(Table133[[#This Row],[Survey?]]="","",IFERROR(INDEX([2]Rubric!$G$3:$G$94,MATCH(1,([2]Rubric!$E$3:$E$94=L$2)*([2]Rubric!$F$3:$F$94='[2]Questionnaire Responses'!L342),0)),"MISSING"))</f>
        <v/>
      </c>
      <c r="M341" s="206"/>
      <c r="N341" s="183" t="str">
        <f t="array" ref="N341">IF(Table133[[#This Row],[Survey?]]="","",IFERROR(INDEX([2]Rubric!$G$3:$G$94,MATCH(1,([2]Rubric!$E$3:$E$94=N$2)*([2]Rubric!$F$3:$F$94='[2]Questionnaire Responses'!N342),0)),"MISSING"))</f>
        <v/>
      </c>
      <c r="O341" s="183" t="str">
        <f t="array" ref="O341">IF(Table133[[#This Row],[Survey?]]="","",IFERROR(INDEX([2]Rubric!$G$3:$G$94,MATCH(1,([2]Rubric!$E$3:$E$94=O$2)*([2]Rubric!$F$3:$F$94='[2]Questionnaire Responses'!O342),0)),"MISSING"))</f>
        <v/>
      </c>
      <c r="P341" s="206"/>
      <c r="Q341" s="183" t="str">
        <f t="array" ref="Q341">IF(Table133[[#This Row],[Survey?]]="","",IFERROR(INDEX([2]Rubric!$G$3:$G$94,MATCH(1,([2]Rubric!$E$3:$E$94=Q$2)*([2]Rubric!$F$3:$F$94='[2]Questionnaire Responses'!Q342),0)),"MISSING"))</f>
        <v/>
      </c>
      <c r="R341" s="183" t="str">
        <f t="array" ref="R341">IF(Table133[[#This Row],[Survey?]]="","",IFERROR(INDEX([2]Rubric!$G$3:$G$94,MATCH(1,([2]Rubric!$E$3:$E$94=R$2)*([2]Rubric!$F$3:$F$94='[2]Questionnaire Responses'!R342),0)),"MISSING"))</f>
        <v/>
      </c>
      <c r="S341" s="183" t="str">
        <f t="array" ref="S341">IF(Table133[[#This Row],[Survey?]]="","",IFERROR(INDEX([2]Rubric!$G$3:$G$94,MATCH(1,([2]Rubric!$E$3:$E$94=S$2)*([2]Rubric!$F$3:$F$94='[2]Questionnaire Responses'!S342),0)),"MISSING"))</f>
        <v/>
      </c>
      <c r="T341" s="183" t="str">
        <f t="array" ref="T341">IF(Table133[[#This Row],[Survey?]]="","",IFERROR(INDEX([2]Rubric!$G$3:$G$94,MATCH(1,([2]Rubric!$E$3:$E$94=T$2)*([2]Rubric!$F$3:$F$94='[2]Questionnaire Responses'!T342),0)),"MISSING"))</f>
        <v/>
      </c>
      <c r="U341" s="206"/>
      <c r="V341" s="183" t="str">
        <f t="array" ref="V341">IF(Table133[[#This Row],[Survey?]]="","",IFERROR(INDEX([2]Rubric!$G$3:$G$94,MATCH(1,([2]Rubric!$E$3:$E$94=V$2)*([2]Rubric!$F$3:$F$94='[2]Questionnaire Responses'!V342),0)),"MISSING"))</f>
        <v/>
      </c>
      <c r="W341" s="206"/>
      <c r="X341" s="183" t="str">
        <f t="array" ref="X341">IF(Table133[[#This Row],[Survey?]]="","",IFERROR(INDEX([2]Rubric!$G$3:$G$94,MATCH(1,([2]Rubric!$E$3:$E$94=X$2)*([2]Rubric!$F$3:$F$94='[2]Questionnaire Responses'!X342),0)),"MISSING"))</f>
        <v/>
      </c>
      <c r="Y341" s="206"/>
      <c r="Z341" s="183" t="str">
        <f t="array" ref="Z341">IF(Table133[[#This Row],[Survey?]]="","",IFERROR(INDEX([2]Rubric!$G$3:$G$94,MATCH(1,([2]Rubric!$E$3:$E$94=Z$2)*([2]Rubric!$F$3:$F$94='[2]Questionnaire Responses'!Z342),0)),"MISSING"))</f>
        <v/>
      </c>
      <c r="AA341" s="183" t="str">
        <f t="array" ref="AA341">IF(Table133[[#This Row],[Survey?]]="","",IFERROR(INDEX([2]Rubric!$G$3:$G$94,MATCH(1,([2]Rubric!$E$3:$E$94=AA$2)*([2]Rubric!$F$3:$F$94='[2]Questionnaire Responses'!AA342),0)),"MISSING"))</f>
        <v/>
      </c>
      <c r="AB341" s="183" t="str">
        <f t="array" ref="AB341">IF(Table133[[#This Row],[Survey?]]="","",IFERROR(INDEX([2]Rubric!$G$3:$G$94,MATCH(1,([2]Rubric!$E$3:$E$94=AB$2)*([2]Rubric!$F$3:$F$94='[2]Questionnaire Responses'!AB342),0)),"MISSING"))</f>
        <v/>
      </c>
      <c r="AC341" s="206"/>
      <c r="AD341" s="183" t="str">
        <f t="array" ref="AD341">IF(Table133[[#This Row],[Survey?]]="","",IFERROR(INDEX([2]Rubric!$G$3:$G$94,MATCH(1,([2]Rubric!$E$3:$E$94=AD$2)*([2]Rubric!$F$3:$F$94='[2]Questionnaire Responses'!AD342),0)),"MISSING"))</f>
        <v/>
      </c>
      <c r="AE341" s="183" t="str">
        <f t="array" ref="AE341">IF(Table133[[#This Row],[Survey?]]="","",IFERROR(INDEX([2]Rubric!$G$3:$G$94,MATCH(1,([2]Rubric!$E$3:$E$94=AE$2)*([2]Rubric!$F$3:$F$94='[2]Questionnaire Responses'!AE342),0)),"MISSING"))</f>
        <v/>
      </c>
      <c r="AF341" s="206"/>
      <c r="AG341" s="183" t="str">
        <f t="array" ref="AG341">IF(Table133[[#This Row],[Survey?]]="","",IFERROR(INDEX([2]Rubric!$G$3:$G$94,MATCH(1,([2]Rubric!$E$3:$E$94=AG$2)*([2]Rubric!$F$3:$F$94='[2]Questionnaire Responses'!AG342),0)),"MISSING"))</f>
        <v/>
      </c>
    </row>
    <row r="342" spans="1:33" ht="12.75" customHeight="1" x14ac:dyDescent="0.25">
      <c r="A342" s="207">
        <f>'[2]Questionnaire Responses'!A343</f>
        <v>0</v>
      </c>
      <c r="B342" s="198">
        <f>'[2]Questionnaire Responses'!B343</f>
        <v>0</v>
      </c>
      <c r="C342" s="153">
        <f>'[2]Questionnaire Responses'!C343</f>
        <v>0</v>
      </c>
      <c r="D342" s="208"/>
      <c r="E342" s="206"/>
      <c r="F342" s="183" t="str">
        <f t="array" ref="F342">IF(Table133[[#This Row],[Survey?]]="","",IFERROR(INDEX([2]Rubric!$G$3:$G$94,MATCH(1,([2]Rubric!$E$3:$E$94=F$2)*([2]Rubric!$F$3:$F$94='[2]Questionnaire Responses'!F343),0)),"MISSING"))</f>
        <v/>
      </c>
      <c r="G342" s="183" t="str">
        <f t="array" ref="G342">IF(Table133[[#This Row],[Survey?]]="","",IFERROR(INDEX([2]Rubric!$G$3:$G$94,MATCH(1,([2]Rubric!$E$3:$E$94=G$2)*([2]Rubric!$F$3:$F$94='[2]Questionnaire Responses'!G343),0)),"MISSING"))</f>
        <v/>
      </c>
      <c r="H342" s="183" t="str">
        <f t="array" ref="H342">IF(Table133[[#This Row],[Survey?]]="","",IFERROR(INDEX([2]Rubric!$G$3:$G$94,MATCH(1,([2]Rubric!$E$3:$E$94=H$2)*([2]Rubric!$F$3:$F$94='[2]Questionnaire Responses'!H343),0)),"MISSING"))</f>
        <v/>
      </c>
      <c r="I342" s="183" t="str">
        <f t="array" ref="I342">IF(Table133[[#This Row],[Survey?]]="","",IFERROR(INDEX([2]Rubric!$G$3:$G$94,MATCH(1,([2]Rubric!$E$3:$E$94=I$2)*([2]Rubric!$F$3:$F$94='[2]Questionnaire Responses'!I343),0)),"MISSING"))</f>
        <v/>
      </c>
      <c r="J342" s="183" t="str">
        <f t="array" ref="J342">IF(Table133[[#This Row],[Survey?]]="","",IFERROR(INDEX([2]Rubric!$G$3:$G$94,MATCH(1,([2]Rubric!$E$3:$E$94=J$2)*([2]Rubric!$F$3:$F$94='[2]Questionnaire Responses'!J343),0)),"MISSING"))</f>
        <v/>
      </c>
      <c r="K342" s="206"/>
      <c r="L342" s="183" t="str">
        <f t="array" ref="L342">IF(Table133[[#This Row],[Survey?]]="","",IFERROR(INDEX([2]Rubric!$G$3:$G$94,MATCH(1,([2]Rubric!$E$3:$E$94=L$2)*([2]Rubric!$F$3:$F$94='[2]Questionnaire Responses'!L343),0)),"MISSING"))</f>
        <v/>
      </c>
      <c r="M342" s="206"/>
      <c r="N342" s="183" t="str">
        <f t="array" ref="N342">IF(Table133[[#This Row],[Survey?]]="","",IFERROR(INDEX([2]Rubric!$G$3:$G$94,MATCH(1,([2]Rubric!$E$3:$E$94=N$2)*([2]Rubric!$F$3:$F$94='[2]Questionnaire Responses'!N343),0)),"MISSING"))</f>
        <v/>
      </c>
      <c r="O342" s="183" t="str">
        <f t="array" ref="O342">IF(Table133[[#This Row],[Survey?]]="","",IFERROR(INDEX([2]Rubric!$G$3:$G$94,MATCH(1,([2]Rubric!$E$3:$E$94=O$2)*([2]Rubric!$F$3:$F$94='[2]Questionnaire Responses'!O343),0)),"MISSING"))</f>
        <v/>
      </c>
      <c r="P342" s="206"/>
      <c r="Q342" s="183" t="str">
        <f t="array" ref="Q342">IF(Table133[[#This Row],[Survey?]]="","",IFERROR(INDEX([2]Rubric!$G$3:$G$94,MATCH(1,([2]Rubric!$E$3:$E$94=Q$2)*([2]Rubric!$F$3:$F$94='[2]Questionnaire Responses'!Q343),0)),"MISSING"))</f>
        <v/>
      </c>
      <c r="R342" s="183" t="str">
        <f t="array" ref="R342">IF(Table133[[#This Row],[Survey?]]="","",IFERROR(INDEX([2]Rubric!$G$3:$G$94,MATCH(1,([2]Rubric!$E$3:$E$94=R$2)*([2]Rubric!$F$3:$F$94='[2]Questionnaire Responses'!R343),0)),"MISSING"))</f>
        <v/>
      </c>
      <c r="S342" s="183" t="str">
        <f t="array" ref="S342">IF(Table133[[#This Row],[Survey?]]="","",IFERROR(INDEX([2]Rubric!$G$3:$G$94,MATCH(1,([2]Rubric!$E$3:$E$94=S$2)*([2]Rubric!$F$3:$F$94='[2]Questionnaire Responses'!S343),0)),"MISSING"))</f>
        <v/>
      </c>
      <c r="T342" s="183" t="str">
        <f t="array" ref="T342">IF(Table133[[#This Row],[Survey?]]="","",IFERROR(INDEX([2]Rubric!$G$3:$G$94,MATCH(1,([2]Rubric!$E$3:$E$94=T$2)*([2]Rubric!$F$3:$F$94='[2]Questionnaire Responses'!T343),0)),"MISSING"))</f>
        <v/>
      </c>
      <c r="U342" s="206"/>
      <c r="V342" s="183" t="str">
        <f t="array" ref="V342">IF(Table133[[#This Row],[Survey?]]="","",IFERROR(INDEX([2]Rubric!$G$3:$G$94,MATCH(1,([2]Rubric!$E$3:$E$94=V$2)*([2]Rubric!$F$3:$F$94='[2]Questionnaire Responses'!V343),0)),"MISSING"))</f>
        <v/>
      </c>
      <c r="W342" s="206"/>
      <c r="X342" s="183" t="str">
        <f t="array" ref="X342">IF(Table133[[#This Row],[Survey?]]="","",IFERROR(INDEX([2]Rubric!$G$3:$G$94,MATCH(1,([2]Rubric!$E$3:$E$94=X$2)*([2]Rubric!$F$3:$F$94='[2]Questionnaire Responses'!X343),0)),"MISSING"))</f>
        <v/>
      </c>
      <c r="Y342" s="206"/>
      <c r="Z342" s="183" t="str">
        <f t="array" ref="Z342">IF(Table133[[#This Row],[Survey?]]="","",IFERROR(INDEX([2]Rubric!$G$3:$G$94,MATCH(1,([2]Rubric!$E$3:$E$94=Z$2)*([2]Rubric!$F$3:$F$94='[2]Questionnaire Responses'!Z343),0)),"MISSING"))</f>
        <v/>
      </c>
      <c r="AA342" s="183" t="str">
        <f t="array" ref="AA342">IF(Table133[[#This Row],[Survey?]]="","",IFERROR(INDEX([2]Rubric!$G$3:$G$94,MATCH(1,([2]Rubric!$E$3:$E$94=AA$2)*([2]Rubric!$F$3:$F$94='[2]Questionnaire Responses'!AA343),0)),"MISSING"))</f>
        <v/>
      </c>
      <c r="AB342" s="183" t="str">
        <f t="array" ref="AB342">IF(Table133[[#This Row],[Survey?]]="","",IFERROR(INDEX([2]Rubric!$G$3:$G$94,MATCH(1,([2]Rubric!$E$3:$E$94=AB$2)*([2]Rubric!$F$3:$F$94='[2]Questionnaire Responses'!AB343),0)),"MISSING"))</f>
        <v/>
      </c>
      <c r="AC342" s="206"/>
      <c r="AD342" s="183" t="str">
        <f t="array" ref="AD342">IF(Table133[[#This Row],[Survey?]]="","",IFERROR(INDEX([2]Rubric!$G$3:$G$94,MATCH(1,([2]Rubric!$E$3:$E$94=AD$2)*([2]Rubric!$F$3:$F$94='[2]Questionnaire Responses'!AD343),0)),"MISSING"))</f>
        <v/>
      </c>
      <c r="AE342" s="183" t="str">
        <f t="array" ref="AE342">IF(Table133[[#This Row],[Survey?]]="","",IFERROR(INDEX([2]Rubric!$G$3:$G$94,MATCH(1,([2]Rubric!$E$3:$E$94=AE$2)*([2]Rubric!$F$3:$F$94='[2]Questionnaire Responses'!AE343),0)),"MISSING"))</f>
        <v/>
      </c>
      <c r="AF342" s="206"/>
      <c r="AG342" s="183" t="str">
        <f t="array" ref="AG342">IF(Table133[[#This Row],[Survey?]]="","",IFERROR(INDEX([2]Rubric!$G$3:$G$94,MATCH(1,([2]Rubric!$E$3:$E$94=AG$2)*([2]Rubric!$F$3:$F$94='[2]Questionnaire Responses'!AG343),0)),"MISSING"))</f>
        <v/>
      </c>
    </row>
    <row r="343" spans="1:33" ht="12.75" customHeight="1" x14ac:dyDescent="0.25">
      <c r="A343" s="207">
        <f>'[2]Questionnaire Responses'!A344</f>
        <v>0</v>
      </c>
      <c r="B343" s="198">
        <f>'[2]Questionnaire Responses'!B344</f>
        <v>0</v>
      </c>
      <c r="C343" s="153">
        <f>'[2]Questionnaire Responses'!C344</f>
        <v>0</v>
      </c>
      <c r="D343" s="208"/>
      <c r="E343" s="206"/>
      <c r="F343" s="183" t="str">
        <f t="array" ref="F343">IF(Table133[[#This Row],[Survey?]]="","",IFERROR(INDEX([2]Rubric!$G$3:$G$94,MATCH(1,([2]Rubric!$E$3:$E$94=F$2)*([2]Rubric!$F$3:$F$94='[2]Questionnaire Responses'!F344),0)),"MISSING"))</f>
        <v/>
      </c>
      <c r="G343" s="183" t="str">
        <f t="array" ref="G343">IF(Table133[[#This Row],[Survey?]]="","",IFERROR(INDEX([2]Rubric!$G$3:$G$94,MATCH(1,([2]Rubric!$E$3:$E$94=G$2)*([2]Rubric!$F$3:$F$94='[2]Questionnaire Responses'!G344),0)),"MISSING"))</f>
        <v/>
      </c>
      <c r="H343" s="183" t="str">
        <f t="array" ref="H343">IF(Table133[[#This Row],[Survey?]]="","",IFERROR(INDEX([2]Rubric!$G$3:$G$94,MATCH(1,([2]Rubric!$E$3:$E$94=H$2)*([2]Rubric!$F$3:$F$94='[2]Questionnaire Responses'!H344),0)),"MISSING"))</f>
        <v/>
      </c>
      <c r="I343" s="183" t="str">
        <f t="array" ref="I343">IF(Table133[[#This Row],[Survey?]]="","",IFERROR(INDEX([2]Rubric!$G$3:$G$94,MATCH(1,([2]Rubric!$E$3:$E$94=I$2)*([2]Rubric!$F$3:$F$94='[2]Questionnaire Responses'!I344),0)),"MISSING"))</f>
        <v/>
      </c>
      <c r="J343" s="183" t="str">
        <f t="array" ref="J343">IF(Table133[[#This Row],[Survey?]]="","",IFERROR(INDEX([2]Rubric!$G$3:$G$94,MATCH(1,([2]Rubric!$E$3:$E$94=J$2)*([2]Rubric!$F$3:$F$94='[2]Questionnaire Responses'!J344),0)),"MISSING"))</f>
        <v/>
      </c>
      <c r="K343" s="206"/>
      <c r="L343" s="183" t="str">
        <f t="array" ref="L343">IF(Table133[[#This Row],[Survey?]]="","",IFERROR(INDEX([2]Rubric!$G$3:$G$94,MATCH(1,([2]Rubric!$E$3:$E$94=L$2)*([2]Rubric!$F$3:$F$94='[2]Questionnaire Responses'!L344),0)),"MISSING"))</f>
        <v/>
      </c>
      <c r="M343" s="206"/>
      <c r="N343" s="183" t="str">
        <f t="array" ref="N343">IF(Table133[[#This Row],[Survey?]]="","",IFERROR(INDEX([2]Rubric!$G$3:$G$94,MATCH(1,([2]Rubric!$E$3:$E$94=N$2)*([2]Rubric!$F$3:$F$94='[2]Questionnaire Responses'!N344),0)),"MISSING"))</f>
        <v/>
      </c>
      <c r="O343" s="183" t="str">
        <f t="array" ref="O343">IF(Table133[[#This Row],[Survey?]]="","",IFERROR(INDEX([2]Rubric!$G$3:$G$94,MATCH(1,([2]Rubric!$E$3:$E$94=O$2)*([2]Rubric!$F$3:$F$94='[2]Questionnaire Responses'!O344),0)),"MISSING"))</f>
        <v/>
      </c>
      <c r="P343" s="206"/>
      <c r="Q343" s="183" t="str">
        <f t="array" ref="Q343">IF(Table133[[#This Row],[Survey?]]="","",IFERROR(INDEX([2]Rubric!$G$3:$G$94,MATCH(1,([2]Rubric!$E$3:$E$94=Q$2)*([2]Rubric!$F$3:$F$94='[2]Questionnaire Responses'!Q344),0)),"MISSING"))</f>
        <v/>
      </c>
      <c r="R343" s="183" t="str">
        <f t="array" ref="R343">IF(Table133[[#This Row],[Survey?]]="","",IFERROR(INDEX([2]Rubric!$G$3:$G$94,MATCH(1,([2]Rubric!$E$3:$E$94=R$2)*([2]Rubric!$F$3:$F$94='[2]Questionnaire Responses'!R344),0)),"MISSING"))</f>
        <v/>
      </c>
      <c r="S343" s="183" t="str">
        <f t="array" ref="S343">IF(Table133[[#This Row],[Survey?]]="","",IFERROR(INDEX([2]Rubric!$G$3:$G$94,MATCH(1,([2]Rubric!$E$3:$E$94=S$2)*([2]Rubric!$F$3:$F$94='[2]Questionnaire Responses'!S344),0)),"MISSING"))</f>
        <v/>
      </c>
      <c r="T343" s="183" t="str">
        <f t="array" ref="T343">IF(Table133[[#This Row],[Survey?]]="","",IFERROR(INDEX([2]Rubric!$G$3:$G$94,MATCH(1,([2]Rubric!$E$3:$E$94=T$2)*([2]Rubric!$F$3:$F$94='[2]Questionnaire Responses'!T344),0)),"MISSING"))</f>
        <v/>
      </c>
      <c r="U343" s="206"/>
      <c r="V343" s="183" t="str">
        <f t="array" ref="V343">IF(Table133[[#This Row],[Survey?]]="","",IFERROR(INDEX([2]Rubric!$G$3:$G$94,MATCH(1,([2]Rubric!$E$3:$E$94=V$2)*([2]Rubric!$F$3:$F$94='[2]Questionnaire Responses'!V344),0)),"MISSING"))</f>
        <v/>
      </c>
      <c r="W343" s="206"/>
      <c r="X343" s="183" t="str">
        <f t="array" ref="X343">IF(Table133[[#This Row],[Survey?]]="","",IFERROR(INDEX([2]Rubric!$G$3:$G$94,MATCH(1,([2]Rubric!$E$3:$E$94=X$2)*([2]Rubric!$F$3:$F$94='[2]Questionnaire Responses'!X344),0)),"MISSING"))</f>
        <v/>
      </c>
      <c r="Y343" s="206"/>
      <c r="Z343" s="183" t="str">
        <f t="array" ref="Z343">IF(Table133[[#This Row],[Survey?]]="","",IFERROR(INDEX([2]Rubric!$G$3:$G$94,MATCH(1,([2]Rubric!$E$3:$E$94=Z$2)*([2]Rubric!$F$3:$F$94='[2]Questionnaire Responses'!Z344),0)),"MISSING"))</f>
        <v/>
      </c>
      <c r="AA343" s="183" t="str">
        <f t="array" ref="AA343">IF(Table133[[#This Row],[Survey?]]="","",IFERROR(INDEX([2]Rubric!$G$3:$G$94,MATCH(1,([2]Rubric!$E$3:$E$94=AA$2)*([2]Rubric!$F$3:$F$94='[2]Questionnaire Responses'!AA344),0)),"MISSING"))</f>
        <v/>
      </c>
      <c r="AB343" s="183" t="str">
        <f t="array" ref="AB343">IF(Table133[[#This Row],[Survey?]]="","",IFERROR(INDEX([2]Rubric!$G$3:$G$94,MATCH(1,([2]Rubric!$E$3:$E$94=AB$2)*([2]Rubric!$F$3:$F$94='[2]Questionnaire Responses'!AB344),0)),"MISSING"))</f>
        <v/>
      </c>
      <c r="AC343" s="206"/>
      <c r="AD343" s="183" t="str">
        <f t="array" ref="AD343">IF(Table133[[#This Row],[Survey?]]="","",IFERROR(INDEX([2]Rubric!$G$3:$G$94,MATCH(1,([2]Rubric!$E$3:$E$94=AD$2)*([2]Rubric!$F$3:$F$94='[2]Questionnaire Responses'!AD344),0)),"MISSING"))</f>
        <v/>
      </c>
      <c r="AE343" s="183" t="str">
        <f t="array" ref="AE343">IF(Table133[[#This Row],[Survey?]]="","",IFERROR(INDEX([2]Rubric!$G$3:$G$94,MATCH(1,([2]Rubric!$E$3:$E$94=AE$2)*([2]Rubric!$F$3:$F$94='[2]Questionnaire Responses'!AE344),0)),"MISSING"))</f>
        <v/>
      </c>
      <c r="AF343" s="206"/>
      <c r="AG343" s="183" t="str">
        <f t="array" ref="AG343">IF(Table133[[#This Row],[Survey?]]="","",IFERROR(INDEX([2]Rubric!$G$3:$G$94,MATCH(1,([2]Rubric!$E$3:$E$94=AG$2)*([2]Rubric!$F$3:$F$94='[2]Questionnaire Responses'!AG344),0)),"MISSING"))</f>
        <v/>
      </c>
    </row>
    <row r="344" spans="1:33" ht="12.75" customHeight="1" x14ac:dyDescent="0.25">
      <c r="A344" s="207">
        <f>'[2]Questionnaire Responses'!A345</f>
        <v>0</v>
      </c>
      <c r="B344" s="198">
        <f>'[2]Questionnaire Responses'!B345</f>
        <v>0</v>
      </c>
      <c r="C344" s="153">
        <f>'[2]Questionnaire Responses'!C345</f>
        <v>0</v>
      </c>
      <c r="D344" s="208"/>
      <c r="E344" s="206"/>
      <c r="F344" s="183" t="str">
        <f t="array" ref="F344">IF(Table133[[#This Row],[Survey?]]="","",IFERROR(INDEX([2]Rubric!$G$3:$G$94,MATCH(1,([2]Rubric!$E$3:$E$94=F$2)*([2]Rubric!$F$3:$F$94='[2]Questionnaire Responses'!F345),0)),"MISSING"))</f>
        <v/>
      </c>
      <c r="G344" s="183" t="str">
        <f t="array" ref="G344">IF(Table133[[#This Row],[Survey?]]="","",IFERROR(INDEX([2]Rubric!$G$3:$G$94,MATCH(1,([2]Rubric!$E$3:$E$94=G$2)*([2]Rubric!$F$3:$F$94='[2]Questionnaire Responses'!G345),0)),"MISSING"))</f>
        <v/>
      </c>
      <c r="H344" s="183" t="str">
        <f t="array" ref="H344">IF(Table133[[#This Row],[Survey?]]="","",IFERROR(INDEX([2]Rubric!$G$3:$G$94,MATCH(1,([2]Rubric!$E$3:$E$94=H$2)*([2]Rubric!$F$3:$F$94='[2]Questionnaire Responses'!H345),0)),"MISSING"))</f>
        <v/>
      </c>
      <c r="I344" s="183" t="str">
        <f t="array" ref="I344">IF(Table133[[#This Row],[Survey?]]="","",IFERROR(INDEX([2]Rubric!$G$3:$G$94,MATCH(1,([2]Rubric!$E$3:$E$94=I$2)*([2]Rubric!$F$3:$F$94='[2]Questionnaire Responses'!I345),0)),"MISSING"))</f>
        <v/>
      </c>
      <c r="J344" s="183" t="str">
        <f t="array" ref="J344">IF(Table133[[#This Row],[Survey?]]="","",IFERROR(INDEX([2]Rubric!$G$3:$G$94,MATCH(1,([2]Rubric!$E$3:$E$94=J$2)*([2]Rubric!$F$3:$F$94='[2]Questionnaire Responses'!J345),0)),"MISSING"))</f>
        <v/>
      </c>
      <c r="K344" s="206"/>
      <c r="L344" s="183" t="str">
        <f t="array" ref="L344">IF(Table133[[#This Row],[Survey?]]="","",IFERROR(INDEX([2]Rubric!$G$3:$G$94,MATCH(1,([2]Rubric!$E$3:$E$94=L$2)*([2]Rubric!$F$3:$F$94='[2]Questionnaire Responses'!L345),0)),"MISSING"))</f>
        <v/>
      </c>
      <c r="M344" s="206"/>
      <c r="N344" s="183" t="str">
        <f t="array" ref="N344">IF(Table133[[#This Row],[Survey?]]="","",IFERROR(INDEX([2]Rubric!$G$3:$G$94,MATCH(1,([2]Rubric!$E$3:$E$94=N$2)*([2]Rubric!$F$3:$F$94='[2]Questionnaire Responses'!N345),0)),"MISSING"))</f>
        <v/>
      </c>
      <c r="O344" s="183" t="str">
        <f t="array" ref="O344">IF(Table133[[#This Row],[Survey?]]="","",IFERROR(INDEX([2]Rubric!$G$3:$G$94,MATCH(1,([2]Rubric!$E$3:$E$94=O$2)*([2]Rubric!$F$3:$F$94='[2]Questionnaire Responses'!O345),0)),"MISSING"))</f>
        <v/>
      </c>
      <c r="P344" s="206"/>
      <c r="Q344" s="183" t="str">
        <f t="array" ref="Q344">IF(Table133[[#This Row],[Survey?]]="","",IFERROR(INDEX([2]Rubric!$G$3:$G$94,MATCH(1,([2]Rubric!$E$3:$E$94=Q$2)*([2]Rubric!$F$3:$F$94='[2]Questionnaire Responses'!Q345),0)),"MISSING"))</f>
        <v/>
      </c>
      <c r="R344" s="183" t="str">
        <f t="array" ref="R344">IF(Table133[[#This Row],[Survey?]]="","",IFERROR(INDEX([2]Rubric!$G$3:$G$94,MATCH(1,([2]Rubric!$E$3:$E$94=R$2)*([2]Rubric!$F$3:$F$94='[2]Questionnaire Responses'!R345),0)),"MISSING"))</f>
        <v/>
      </c>
      <c r="S344" s="183" t="str">
        <f t="array" ref="S344">IF(Table133[[#This Row],[Survey?]]="","",IFERROR(INDEX([2]Rubric!$G$3:$G$94,MATCH(1,([2]Rubric!$E$3:$E$94=S$2)*([2]Rubric!$F$3:$F$94='[2]Questionnaire Responses'!S345),0)),"MISSING"))</f>
        <v/>
      </c>
      <c r="T344" s="183" t="str">
        <f t="array" ref="T344">IF(Table133[[#This Row],[Survey?]]="","",IFERROR(INDEX([2]Rubric!$G$3:$G$94,MATCH(1,([2]Rubric!$E$3:$E$94=T$2)*([2]Rubric!$F$3:$F$94='[2]Questionnaire Responses'!T345),0)),"MISSING"))</f>
        <v/>
      </c>
      <c r="U344" s="206"/>
      <c r="V344" s="183" t="str">
        <f t="array" ref="V344">IF(Table133[[#This Row],[Survey?]]="","",IFERROR(INDEX([2]Rubric!$G$3:$G$94,MATCH(1,([2]Rubric!$E$3:$E$94=V$2)*([2]Rubric!$F$3:$F$94='[2]Questionnaire Responses'!V345),0)),"MISSING"))</f>
        <v/>
      </c>
      <c r="W344" s="206"/>
      <c r="X344" s="183" t="str">
        <f t="array" ref="X344">IF(Table133[[#This Row],[Survey?]]="","",IFERROR(INDEX([2]Rubric!$G$3:$G$94,MATCH(1,([2]Rubric!$E$3:$E$94=X$2)*([2]Rubric!$F$3:$F$94='[2]Questionnaire Responses'!X345),0)),"MISSING"))</f>
        <v/>
      </c>
      <c r="Y344" s="206"/>
      <c r="Z344" s="183" t="str">
        <f t="array" ref="Z344">IF(Table133[[#This Row],[Survey?]]="","",IFERROR(INDEX([2]Rubric!$G$3:$G$94,MATCH(1,([2]Rubric!$E$3:$E$94=Z$2)*([2]Rubric!$F$3:$F$94='[2]Questionnaire Responses'!Z345),0)),"MISSING"))</f>
        <v/>
      </c>
      <c r="AA344" s="183" t="str">
        <f t="array" ref="AA344">IF(Table133[[#This Row],[Survey?]]="","",IFERROR(INDEX([2]Rubric!$G$3:$G$94,MATCH(1,([2]Rubric!$E$3:$E$94=AA$2)*([2]Rubric!$F$3:$F$94='[2]Questionnaire Responses'!AA345),0)),"MISSING"))</f>
        <v/>
      </c>
      <c r="AB344" s="183" t="str">
        <f t="array" ref="AB344">IF(Table133[[#This Row],[Survey?]]="","",IFERROR(INDEX([2]Rubric!$G$3:$G$94,MATCH(1,([2]Rubric!$E$3:$E$94=AB$2)*([2]Rubric!$F$3:$F$94='[2]Questionnaire Responses'!AB345),0)),"MISSING"))</f>
        <v/>
      </c>
      <c r="AC344" s="206"/>
      <c r="AD344" s="183" t="str">
        <f t="array" ref="AD344">IF(Table133[[#This Row],[Survey?]]="","",IFERROR(INDEX([2]Rubric!$G$3:$G$94,MATCH(1,([2]Rubric!$E$3:$E$94=AD$2)*([2]Rubric!$F$3:$F$94='[2]Questionnaire Responses'!AD345),0)),"MISSING"))</f>
        <v/>
      </c>
      <c r="AE344" s="183" t="str">
        <f t="array" ref="AE344">IF(Table133[[#This Row],[Survey?]]="","",IFERROR(INDEX([2]Rubric!$G$3:$G$94,MATCH(1,([2]Rubric!$E$3:$E$94=AE$2)*([2]Rubric!$F$3:$F$94='[2]Questionnaire Responses'!AE345),0)),"MISSING"))</f>
        <v/>
      </c>
      <c r="AF344" s="206"/>
      <c r="AG344" s="183" t="str">
        <f t="array" ref="AG344">IF(Table133[[#This Row],[Survey?]]="","",IFERROR(INDEX([2]Rubric!$G$3:$G$94,MATCH(1,([2]Rubric!$E$3:$E$94=AG$2)*([2]Rubric!$F$3:$F$94='[2]Questionnaire Responses'!AG345),0)),"MISSING"))</f>
        <v/>
      </c>
    </row>
    <row r="345" spans="1:33" ht="12.75" customHeight="1" x14ac:dyDescent="0.25">
      <c r="A345" s="207">
        <f>'[2]Questionnaire Responses'!A346</f>
        <v>0</v>
      </c>
      <c r="B345" s="198">
        <f>'[2]Questionnaire Responses'!B346</f>
        <v>0</v>
      </c>
      <c r="C345" s="153">
        <f>'[2]Questionnaire Responses'!C346</f>
        <v>0</v>
      </c>
      <c r="D345" s="208"/>
      <c r="E345" s="206"/>
      <c r="F345" s="183" t="str">
        <f t="array" ref="F345">IF(Table133[[#This Row],[Survey?]]="","",IFERROR(INDEX([2]Rubric!$G$3:$G$94,MATCH(1,([2]Rubric!$E$3:$E$94=F$2)*([2]Rubric!$F$3:$F$94='[2]Questionnaire Responses'!F346),0)),"MISSING"))</f>
        <v/>
      </c>
      <c r="G345" s="183" t="str">
        <f t="array" ref="G345">IF(Table133[[#This Row],[Survey?]]="","",IFERROR(INDEX([2]Rubric!$G$3:$G$94,MATCH(1,([2]Rubric!$E$3:$E$94=G$2)*([2]Rubric!$F$3:$F$94='[2]Questionnaire Responses'!G346),0)),"MISSING"))</f>
        <v/>
      </c>
      <c r="H345" s="183" t="str">
        <f t="array" ref="H345">IF(Table133[[#This Row],[Survey?]]="","",IFERROR(INDEX([2]Rubric!$G$3:$G$94,MATCH(1,([2]Rubric!$E$3:$E$94=H$2)*([2]Rubric!$F$3:$F$94='[2]Questionnaire Responses'!H346),0)),"MISSING"))</f>
        <v/>
      </c>
      <c r="I345" s="183" t="str">
        <f t="array" ref="I345">IF(Table133[[#This Row],[Survey?]]="","",IFERROR(INDEX([2]Rubric!$G$3:$G$94,MATCH(1,([2]Rubric!$E$3:$E$94=I$2)*([2]Rubric!$F$3:$F$94='[2]Questionnaire Responses'!I346),0)),"MISSING"))</f>
        <v/>
      </c>
      <c r="J345" s="183" t="str">
        <f t="array" ref="J345">IF(Table133[[#This Row],[Survey?]]="","",IFERROR(INDEX([2]Rubric!$G$3:$G$94,MATCH(1,([2]Rubric!$E$3:$E$94=J$2)*([2]Rubric!$F$3:$F$94='[2]Questionnaire Responses'!J346),0)),"MISSING"))</f>
        <v/>
      </c>
      <c r="K345" s="206"/>
      <c r="L345" s="183" t="str">
        <f t="array" ref="L345">IF(Table133[[#This Row],[Survey?]]="","",IFERROR(INDEX([2]Rubric!$G$3:$G$94,MATCH(1,([2]Rubric!$E$3:$E$94=L$2)*([2]Rubric!$F$3:$F$94='[2]Questionnaire Responses'!L346),0)),"MISSING"))</f>
        <v/>
      </c>
      <c r="M345" s="206"/>
      <c r="N345" s="183" t="str">
        <f t="array" ref="N345">IF(Table133[[#This Row],[Survey?]]="","",IFERROR(INDEX([2]Rubric!$G$3:$G$94,MATCH(1,([2]Rubric!$E$3:$E$94=N$2)*([2]Rubric!$F$3:$F$94='[2]Questionnaire Responses'!N346),0)),"MISSING"))</f>
        <v/>
      </c>
      <c r="O345" s="183" t="str">
        <f t="array" ref="O345">IF(Table133[[#This Row],[Survey?]]="","",IFERROR(INDEX([2]Rubric!$G$3:$G$94,MATCH(1,([2]Rubric!$E$3:$E$94=O$2)*([2]Rubric!$F$3:$F$94='[2]Questionnaire Responses'!O346),0)),"MISSING"))</f>
        <v/>
      </c>
      <c r="P345" s="206"/>
      <c r="Q345" s="183" t="str">
        <f t="array" ref="Q345">IF(Table133[[#This Row],[Survey?]]="","",IFERROR(INDEX([2]Rubric!$G$3:$G$94,MATCH(1,([2]Rubric!$E$3:$E$94=Q$2)*([2]Rubric!$F$3:$F$94='[2]Questionnaire Responses'!Q346),0)),"MISSING"))</f>
        <v/>
      </c>
      <c r="R345" s="183" t="str">
        <f t="array" ref="R345">IF(Table133[[#This Row],[Survey?]]="","",IFERROR(INDEX([2]Rubric!$G$3:$G$94,MATCH(1,([2]Rubric!$E$3:$E$94=R$2)*([2]Rubric!$F$3:$F$94='[2]Questionnaire Responses'!R346),0)),"MISSING"))</f>
        <v/>
      </c>
      <c r="S345" s="183" t="str">
        <f t="array" ref="S345">IF(Table133[[#This Row],[Survey?]]="","",IFERROR(INDEX([2]Rubric!$G$3:$G$94,MATCH(1,([2]Rubric!$E$3:$E$94=S$2)*([2]Rubric!$F$3:$F$94='[2]Questionnaire Responses'!S346),0)),"MISSING"))</f>
        <v/>
      </c>
      <c r="T345" s="183" t="str">
        <f t="array" ref="T345">IF(Table133[[#This Row],[Survey?]]="","",IFERROR(INDEX([2]Rubric!$G$3:$G$94,MATCH(1,([2]Rubric!$E$3:$E$94=T$2)*([2]Rubric!$F$3:$F$94='[2]Questionnaire Responses'!T346),0)),"MISSING"))</f>
        <v/>
      </c>
      <c r="U345" s="206"/>
      <c r="V345" s="183" t="str">
        <f t="array" ref="V345">IF(Table133[[#This Row],[Survey?]]="","",IFERROR(INDEX([2]Rubric!$G$3:$G$94,MATCH(1,([2]Rubric!$E$3:$E$94=V$2)*([2]Rubric!$F$3:$F$94='[2]Questionnaire Responses'!V346),0)),"MISSING"))</f>
        <v/>
      </c>
      <c r="W345" s="206"/>
      <c r="X345" s="183" t="str">
        <f t="array" ref="X345">IF(Table133[[#This Row],[Survey?]]="","",IFERROR(INDEX([2]Rubric!$G$3:$G$94,MATCH(1,([2]Rubric!$E$3:$E$94=X$2)*([2]Rubric!$F$3:$F$94='[2]Questionnaire Responses'!X346),0)),"MISSING"))</f>
        <v/>
      </c>
      <c r="Y345" s="206"/>
      <c r="Z345" s="183" t="str">
        <f t="array" ref="Z345">IF(Table133[[#This Row],[Survey?]]="","",IFERROR(INDEX([2]Rubric!$G$3:$G$94,MATCH(1,([2]Rubric!$E$3:$E$94=Z$2)*([2]Rubric!$F$3:$F$94='[2]Questionnaire Responses'!Z346),0)),"MISSING"))</f>
        <v/>
      </c>
      <c r="AA345" s="183" t="str">
        <f t="array" ref="AA345">IF(Table133[[#This Row],[Survey?]]="","",IFERROR(INDEX([2]Rubric!$G$3:$G$94,MATCH(1,([2]Rubric!$E$3:$E$94=AA$2)*([2]Rubric!$F$3:$F$94='[2]Questionnaire Responses'!AA346),0)),"MISSING"))</f>
        <v/>
      </c>
      <c r="AB345" s="183" t="str">
        <f t="array" ref="AB345">IF(Table133[[#This Row],[Survey?]]="","",IFERROR(INDEX([2]Rubric!$G$3:$G$94,MATCH(1,([2]Rubric!$E$3:$E$94=AB$2)*([2]Rubric!$F$3:$F$94='[2]Questionnaire Responses'!AB346),0)),"MISSING"))</f>
        <v/>
      </c>
      <c r="AC345" s="206"/>
      <c r="AD345" s="183" t="str">
        <f t="array" ref="AD345">IF(Table133[[#This Row],[Survey?]]="","",IFERROR(INDEX([2]Rubric!$G$3:$G$94,MATCH(1,([2]Rubric!$E$3:$E$94=AD$2)*([2]Rubric!$F$3:$F$94='[2]Questionnaire Responses'!AD346),0)),"MISSING"))</f>
        <v/>
      </c>
      <c r="AE345" s="183" t="str">
        <f t="array" ref="AE345">IF(Table133[[#This Row],[Survey?]]="","",IFERROR(INDEX([2]Rubric!$G$3:$G$94,MATCH(1,([2]Rubric!$E$3:$E$94=AE$2)*([2]Rubric!$F$3:$F$94='[2]Questionnaire Responses'!AE346),0)),"MISSING"))</f>
        <v/>
      </c>
      <c r="AF345" s="206"/>
      <c r="AG345" s="183" t="str">
        <f t="array" ref="AG345">IF(Table133[[#This Row],[Survey?]]="","",IFERROR(INDEX([2]Rubric!$G$3:$G$94,MATCH(1,([2]Rubric!$E$3:$E$94=AG$2)*([2]Rubric!$F$3:$F$94='[2]Questionnaire Responses'!AG346),0)),"MISSING"))</f>
        <v/>
      </c>
    </row>
    <row r="346" spans="1:33" ht="12.75" customHeight="1" x14ac:dyDescent="0.25">
      <c r="A346" s="207">
        <f>'[2]Questionnaire Responses'!A347</f>
        <v>0</v>
      </c>
      <c r="B346" s="198">
        <f>'[2]Questionnaire Responses'!B347</f>
        <v>0</v>
      </c>
      <c r="C346" s="153">
        <f>'[2]Questionnaire Responses'!C347</f>
        <v>0</v>
      </c>
      <c r="D346" s="208"/>
      <c r="E346" s="206"/>
      <c r="F346" s="183" t="str">
        <f t="array" ref="F346">IF(Table133[[#This Row],[Survey?]]="","",IFERROR(INDEX([2]Rubric!$G$3:$G$94,MATCH(1,([2]Rubric!$E$3:$E$94=F$2)*([2]Rubric!$F$3:$F$94='[2]Questionnaire Responses'!F347),0)),"MISSING"))</f>
        <v/>
      </c>
      <c r="G346" s="183" t="str">
        <f t="array" ref="G346">IF(Table133[[#This Row],[Survey?]]="","",IFERROR(INDEX([2]Rubric!$G$3:$G$94,MATCH(1,([2]Rubric!$E$3:$E$94=G$2)*([2]Rubric!$F$3:$F$94='[2]Questionnaire Responses'!G347),0)),"MISSING"))</f>
        <v/>
      </c>
      <c r="H346" s="183" t="str">
        <f t="array" ref="H346">IF(Table133[[#This Row],[Survey?]]="","",IFERROR(INDEX([2]Rubric!$G$3:$G$94,MATCH(1,([2]Rubric!$E$3:$E$94=H$2)*([2]Rubric!$F$3:$F$94='[2]Questionnaire Responses'!H347),0)),"MISSING"))</f>
        <v/>
      </c>
      <c r="I346" s="183" t="str">
        <f t="array" ref="I346">IF(Table133[[#This Row],[Survey?]]="","",IFERROR(INDEX([2]Rubric!$G$3:$G$94,MATCH(1,([2]Rubric!$E$3:$E$94=I$2)*([2]Rubric!$F$3:$F$94='[2]Questionnaire Responses'!I347),0)),"MISSING"))</f>
        <v/>
      </c>
      <c r="J346" s="183" t="str">
        <f t="array" ref="J346">IF(Table133[[#This Row],[Survey?]]="","",IFERROR(INDEX([2]Rubric!$G$3:$G$94,MATCH(1,([2]Rubric!$E$3:$E$94=J$2)*([2]Rubric!$F$3:$F$94='[2]Questionnaire Responses'!J347),0)),"MISSING"))</f>
        <v/>
      </c>
      <c r="K346" s="206"/>
      <c r="L346" s="183" t="str">
        <f t="array" ref="L346">IF(Table133[[#This Row],[Survey?]]="","",IFERROR(INDEX([2]Rubric!$G$3:$G$94,MATCH(1,([2]Rubric!$E$3:$E$94=L$2)*([2]Rubric!$F$3:$F$94='[2]Questionnaire Responses'!L347),0)),"MISSING"))</f>
        <v/>
      </c>
      <c r="M346" s="206"/>
      <c r="N346" s="183" t="str">
        <f t="array" ref="N346">IF(Table133[[#This Row],[Survey?]]="","",IFERROR(INDEX([2]Rubric!$G$3:$G$94,MATCH(1,([2]Rubric!$E$3:$E$94=N$2)*([2]Rubric!$F$3:$F$94='[2]Questionnaire Responses'!N347),0)),"MISSING"))</f>
        <v/>
      </c>
      <c r="O346" s="183" t="str">
        <f t="array" ref="O346">IF(Table133[[#This Row],[Survey?]]="","",IFERROR(INDEX([2]Rubric!$G$3:$G$94,MATCH(1,([2]Rubric!$E$3:$E$94=O$2)*([2]Rubric!$F$3:$F$94='[2]Questionnaire Responses'!O347),0)),"MISSING"))</f>
        <v/>
      </c>
      <c r="P346" s="206"/>
      <c r="Q346" s="183" t="str">
        <f t="array" ref="Q346">IF(Table133[[#This Row],[Survey?]]="","",IFERROR(INDEX([2]Rubric!$G$3:$G$94,MATCH(1,([2]Rubric!$E$3:$E$94=Q$2)*([2]Rubric!$F$3:$F$94='[2]Questionnaire Responses'!Q347),0)),"MISSING"))</f>
        <v/>
      </c>
      <c r="R346" s="183" t="str">
        <f t="array" ref="R346">IF(Table133[[#This Row],[Survey?]]="","",IFERROR(INDEX([2]Rubric!$G$3:$G$94,MATCH(1,([2]Rubric!$E$3:$E$94=R$2)*([2]Rubric!$F$3:$F$94='[2]Questionnaire Responses'!R347),0)),"MISSING"))</f>
        <v/>
      </c>
      <c r="S346" s="183" t="str">
        <f t="array" ref="S346">IF(Table133[[#This Row],[Survey?]]="","",IFERROR(INDEX([2]Rubric!$G$3:$G$94,MATCH(1,([2]Rubric!$E$3:$E$94=S$2)*([2]Rubric!$F$3:$F$94='[2]Questionnaire Responses'!S347),0)),"MISSING"))</f>
        <v/>
      </c>
      <c r="T346" s="183" t="str">
        <f t="array" ref="T346">IF(Table133[[#This Row],[Survey?]]="","",IFERROR(INDEX([2]Rubric!$G$3:$G$94,MATCH(1,([2]Rubric!$E$3:$E$94=T$2)*([2]Rubric!$F$3:$F$94='[2]Questionnaire Responses'!T347),0)),"MISSING"))</f>
        <v/>
      </c>
      <c r="U346" s="206"/>
      <c r="V346" s="183" t="str">
        <f t="array" ref="V346">IF(Table133[[#This Row],[Survey?]]="","",IFERROR(INDEX([2]Rubric!$G$3:$G$94,MATCH(1,([2]Rubric!$E$3:$E$94=V$2)*([2]Rubric!$F$3:$F$94='[2]Questionnaire Responses'!V347),0)),"MISSING"))</f>
        <v/>
      </c>
      <c r="W346" s="206"/>
      <c r="X346" s="183" t="str">
        <f t="array" ref="X346">IF(Table133[[#This Row],[Survey?]]="","",IFERROR(INDEX([2]Rubric!$G$3:$G$94,MATCH(1,([2]Rubric!$E$3:$E$94=X$2)*([2]Rubric!$F$3:$F$94='[2]Questionnaire Responses'!X347),0)),"MISSING"))</f>
        <v/>
      </c>
      <c r="Y346" s="206"/>
      <c r="Z346" s="183" t="str">
        <f t="array" ref="Z346">IF(Table133[[#This Row],[Survey?]]="","",IFERROR(INDEX([2]Rubric!$G$3:$G$94,MATCH(1,([2]Rubric!$E$3:$E$94=Z$2)*([2]Rubric!$F$3:$F$94='[2]Questionnaire Responses'!Z347),0)),"MISSING"))</f>
        <v/>
      </c>
      <c r="AA346" s="183" t="str">
        <f t="array" ref="AA346">IF(Table133[[#This Row],[Survey?]]="","",IFERROR(INDEX([2]Rubric!$G$3:$G$94,MATCH(1,([2]Rubric!$E$3:$E$94=AA$2)*([2]Rubric!$F$3:$F$94='[2]Questionnaire Responses'!AA347),0)),"MISSING"))</f>
        <v/>
      </c>
      <c r="AB346" s="183" t="str">
        <f t="array" ref="AB346">IF(Table133[[#This Row],[Survey?]]="","",IFERROR(INDEX([2]Rubric!$G$3:$G$94,MATCH(1,([2]Rubric!$E$3:$E$94=AB$2)*([2]Rubric!$F$3:$F$94='[2]Questionnaire Responses'!AB347),0)),"MISSING"))</f>
        <v/>
      </c>
      <c r="AC346" s="206"/>
      <c r="AD346" s="183" t="str">
        <f t="array" ref="AD346">IF(Table133[[#This Row],[Survey?]]="","",IFERROR(INDEX([2]Rubric!$G$3:$G$94,MATCH(1,([2]Rubric!$E$3:$E$94=AD$2)*([2]Rubric!$F$3:$F$94='[2]Questionnaire Responses'!AD347),0)),"MISSING"))</f>
        <v/>
      </c>
      <c r="AE346" s="183" t="str">
        <f t="array" ref="AE346">IF(Table133[[#This Row],[Survey?]]="","",IFERROR(INDEX([2]Rubric!$G$3:$G$94,MATCH(1,([2]Rubric!$E$3:$E$94=AE$2)*([2]Rubric!$F$3:$F$94='[2]Questionnaire Responses'!AE347),0)),"MISSING"))</f>
        <v/>
      </c>
      <c r="AF346" s="206"/>
      <c r="AG346" s="183" t="str">
        <f t="array" ref="AG346">IF(Table133[[#This Row],[Survey?]]="","",IFERROR(INDEX([2]Rubric!$G$3:$G$94,MATCH(1,([2]Rubric!$E$3:$E$94=AG$2)*([2]Rubric!$F$3:$F$94='[2]Questionnaire Responses'!AG347),0)),"MISSING"))</f>
        <v/>
      </c>
    </row>
    <row r="347" spans="1:33" ht="12.75" customHeight="1" x14ac:dyDescent="0.25">
      <c r="A347" s="207">
        <f>'[2]Questionnaire Responses'!A348</f>
        <v>0</v>
      </c>
      <c r="B347" s="198">
        <f>'[2]Questionnaire Responses'!B348</f>
        <v>0</v>
      </c>
      <c r="C347" s="153">
        <f>'[2]Questionnaire Responses'!C348</f>
        <v>0</v>
      </c>
      <c r="D347" s="208"/>
      <c r="E347" s="206"/>
      <c r="F347" s="183" t="str">
        <f t="array" ref="F347">IF(Table133[[#This Row],[Survey?]]="","",IFERROR(INDEX([2]Rubric!$G$3:$G$94,MATCH(1,([2]Rubric!$E$3:$E$94=F$2)*([2]Rubric!$F$3:$F$94='[2]Questionnaire Responses'!F348),0)),"MISSING"))</f>
        <v/>
      </c>
      <c r="G347" s="183" t="str">
        <f t="array" ref="G347">IF(Table133[[#This Row],[Survey?]]="","",IFERROR(INDEX([2]Rubric!$G$3:$G$94,MATCH(1,([2]Rubric!$E$3:$E$94=G$2)*([2]Rubric!$F$3:$F$94='[2]Questionnaire Responses'!G348),0)),"MISSING"))</f>
        <v/>
      </c>
      <c r="H347" s="183" t="str">
        <f t="array" ref="H347">IF(Table133[[#This Row],[Survey?]]="","",IFERROR(INDEX([2]Rubric!$G$3:$G$94,MATCH(1,([2]Rubric!$E$3:$E$94=H$2)*([2]Rubric!$F$3:$F$94='[2]Questionnaire Responses'!H348),0)),"MISSING"))</f>
        <v/>
      </c>
      <c r="I347" s="183" t="str">
        <f t="array" ref="I347">IF(Table133[[#This Row],[Survey?]]="","",IFERROR(INDEX([2]Rubric!$G$3:$G$94,MATCH(1,([2]Rubric!$E$3:$E$94=I$2)*([2]Rubric!$F$3:$F$94='[2]Questionnaire Responses'!I348),0)),"MISSING"))</f>
        <v/>
      </c>
      <c r="J347" s="183" t="str">
        <f t="array" ref="J347">IF(Table133[[#This Row],[Survey?]]="","",IFERROR(INDEX([2]Rubric!$G$3:$G$94,MATCH(1,([2]Rubric!$E$3:$E$94=J$2)*([2]Rubric!$F$3:$F$94='[2]Questionnaire Responses'!J348),0)),"MISSING"))</f>
        <v/>
      </c>
      <c r="K347" s="206"/>
      <c r="L347" s="183" t="str">
        <f t="array" ref="L347">IF(Table133[[#This Row],[Survey?]]="","",IFERROR(INDEX([2]Rubric!$G$3:$G$94,MATCH(1,([2]Rubric!$E$3:$E$94=L$2)*([2]Rubric!$F$3:$F$94='[2]Questionnaire Responses'!L348),0)),"MISSING"))</f>
        <v/>
      </c>
      <c r="M347" s="206"/>
      <c r="N347" s="183" t="str">
        <f t="array" ref="N347">IF(Table133[[#This Row],[Survey?]]="","",IFERROR(INDEX([2]Rubric!$G$3:$G$94,MATCH(1,([2]Rubric!$E$3:$E$94=N$2)*([2]Rubric!$F$3:$F$94='[2]Questionnaire Responses'!N348),0)),"MISSING"))</f>
        <v/>
      </c>
      <c r="O347" s="183" t="str">
        <f t="array" ref="O347">IF(Table133[[#This Row],[Survey?]]="","",IFERROR(INDEX([2]Rubric!$G$3:$G$94,MATCH(1,([2]Rubric!$E$3:$E$94=O$2)*([2]Rubric!$F$3:$F$94='[2]Questionnaire Responses'!O348),0)),"MISSING"))</f>
        <v/>
      </c>
      <c r="P347" s="206"/>
      <c r="Q347" s="183" t="str">
        <f t="array" ref="Q347">IF(Table133[[#This Row],[Survey?]]="","",IFERROR(INDEX([2]Rubric!$G$3:$G$94,MATCH(1,([2]Rubric!$E$3:$E$94=Q$2)*([2]Rubric!$F$3:$F$94='[2]Questionnaire Responses'!Q348),0)),"MISSING"))</f>
        <v/>
      </c>
      <c r="R347" s="183" t="str">
        <f t="array" ref="R347">IF(Table133[[#This Row],[Survey?]]="","",IFERROR(INDEX([2]Rubric!$G$3:$G$94,MATCH(1,([2]Rubric!$E$3:$E$94=R$2)*([2]Rubric!$F$3:$F$94='[2]Questionnaire Responses'!R348),0)),"MISSING"))</f>
        <v/>
      </c>
      <c r="S347" s="183" t="str">
        <f t="array" ref="S347">IF(Table133[[#This Row],[Survey?]]="","",IFERROR(INDEX([2]Rubric!$G$3:$G$94,MATCH(1,([2]Rubric!$E$3:$E$94=S$2)*([2]Rubric!$F$3:$F$94='[2]Questionnaire Responses'!S348),0)),"MISSING"))</f>
        <v/>
      </c>
      <c r="T347" s="183" t="str">
        <f t="array" ref="T347">IF(Table133[[#This Row],[Survey?]]="","",IFERROR(INDEX([2]Rubric!$G$3:$G$94,MATCH(1,([2]Rubric!$E$3:$E$94=T$2)*([2]Rubric!$F$3:$F$94='[2]Questionnaire Responses'!T348),0)),"MISSING"))</f>
        <v/>
      </c>
      <c r="U347" s="206"/>
      <c r="V347" s="183" t="str">
        <f t="array" ref="V347">IF(Table133[[#This Row],[Survey?]]="","",IFERROR(INDEX([2]Rubric!$G$3:$G$94,MATCH(1,([2]Rubric!$E$3:$E$94=V$2)*([2]Rubric!$F$3:$F$94='[2]Questionnaire Responses'!V348),0)),"MISSING"))</f>
        <v/>
      </c>
      <c r="W347" s="206"/>
      <c r="X347" s="183" t="str">
        <f t="array" ref="X347">IF(Table133[[#This Row],[Survey?]]="","",IFERROR(INDEX([2]Rubric!$G$3:$G$94,MATCH(1,([2]Rubric!$E$3:$E$94=X$2)*([2]Rubric!$F$3:$F$94='[2]Questionnaire Responses'!X348),0)),"MISSING"))</f>
        <v/>
      </c>
      <c r="Y347" s="206"/>
      <c r="Z347" s="183" t="str">
        <f t="array" ref="Z347">IF(Table133[[#This Row],[Survey?]]="","",IFERROR(INDEX([2]Rubric!$G$3:$G$94,MATCH(1,([2]Rubric!$E$3:$E$94=Z$2)*([2]Rubric!$F$3:$F$94='[2]Questionnaire Responses'!Z348),0)),"MISSING"))</f>
        <v/>
      </c>
      <c r="AA347" s="183" t="str">
        <f t="array" ref="AA347">IF(Table133[[#This Row],[Survey?]]="","",IFERROR(INDEX([2]Rubric!$G$3:$G$94,MATCH(1,([2]Rubric!$E$3:$E$94=AA$2)*([2]Rubric!$F$3:$F$94='[2]Questionnaire Responses'!AA348),0)),"MISSING"))</f>
        <v/>
      </c>
      <c r="AB347" s="183" t="str">
        <f t="array" ref="AB347">IF(Table133[[#This Row],[Survey?]]="","",IFERROR(INDEX([2]Rubric!$G$3:$G$94,MATCH(1,([2]Rubric!$E$3:$E$94=AB$2)*([2]Rubric!$F$3:$F$94='[2]Questionnaire Responses'!AB348),0)),"MISSING"))</f>
        <v/>
      </c>
      <c r="AC347" s="206"/>
      <c r="AD347" s="183" t="str">
        <f t="array" ref="AD347">IF(Table133[[#This Row],[Survey?]]="","",IFERROR(INDEX([2]Rubric!$G$3:$G$94,MATCH(1,([2]Rubric!$E$3:$E$94=AD$2)*([2]Rubric!$F$3:$F$94='[2]Questionnaire Responses'!AD348),0)),"MISSING"))</f>
        <v/>
      </c>
      <c r="AE347" s="183" t="str">
        <f t="array" ref="AE347">IF(Table133[[#This Row],[Survey?]]="","",IFERROR(INDEX([2]Rubric!$G$3:$G$94,MATCH(1,([2]Rubric!$E$3:$E$94=AE$2)*([2]Rubric!$F$3:$F$94='[2]Questionnaire Responses'!AE348),0)),"MISSING"))</f>
        <v/>
      </c>
      <c r="AF347" s="206"/>
      <c r="AG347" s="183" t="str">
        <f t="array" ref="AG347">IF(Table133[[#This Row],[Survey?]]="","",IFERROR(INDEX([2]Rubric!$G$3:$G$94,MATCH(1,([2]Rubric!$E$3:$E$94=AG$2)*([2]Rubric!$F$3:$F$94='[2]Questionnaire Responses'!AG348),0)),"MISSING"))</f>
        <v/>
      </c>
    </row>
    <row r="348" spans="1:33" ht="12.75" customHeight="1" x14ac:dyDescent="0.25">
      <c r="A348" s="207">
        <f>'[2]Questionnaire Responses'!A349</f>
        <v>0</v>
      </c>
      <c r="B348" s="198">
        <f>'[2]Questionnaire Responses'!B349</f>
        <v>0</v>
      </c>
      <c r="C348" s="153">
        <f>'[2]Questionnaire Responses'!C349</f>
        <v>0</v>
      </c>
      <c r="D348" s="208"/>
      <c r="E348" s="206"/>
      <c r="F348" s="183" t="str">
        <f t="array" ref="F348">IF(Table133[[#This Row],[Survey?]]="","",IFERROR(INDEX([2]Rubric!$G$3:$G$94,MATCH(1,([2]Rubric!$E$3:$E$94=F$2)*([2]Rubric!$F$3:$F$94='[2]Questionnaire Responses'!F349),0)),"MISSING"))</f>
        <v/>
      </c>
      <c r="G348" s="183" t="str">
        <f t="array" ref="G348">IF(Table133[[#This Row],[Survey?]]="","",IFERROR(INDEX([2]Rubric!$G$3:$G$94,MATCH(1,([2]Rubric!$E$3:$E$94=G$2)*([2]Rubric!$F$3:$F$94='[2]Questionnaire Responses'!G349),0)),"MISSING"))</f>
        <v/>
      </c>
      <c r="H348" s="183" t="str">
        <f t="array" ref="H348">IF(Table133[[#This Row],[Survey?]]="","",IFERROR(INDEX([2]Rubric!$G$3:$G$94,MATCH(1,([2]Rubric!$E$3:$E$94=H$2)*([2]Rubric!$F$3:$F$94='[2]Questionnaire Responses'!H349),0)),"MISSING"))</f>
        <v/>
      </c>
      <c r="I348" s="183" t="str">
        <f t="array" ref="I348">IF(Table133[[#This Row],[Survey?]]="","",IFERROR(INDEX([2]Rubric!$G$3:$G$94,MATCH(1,([2]Rubric!$E$3:$E$94=I$2)*([2]Rubric!$F$3:$F$94='[2]Questionnaire Responses'!I349),0)),"MISSING"))</f>
        <v/>
      </c>
      <c r="J348" s="183" t="str">
        <f t="array" ref="J348">IF(Table133[[#This Row],[Survey?]]="","",IFERROR(INDEX([2]Rubric!$G$3:$G$94,MATCH(1,([2]Rubric!$E$3:$E$94=J$2)*([2]Rubric!$F$3:$F$94='[2]Questionnaire Responses'!J349),0)),"MISSING"))</f>
        <v/>
      </c>
      <c r="K348" s="206"/>
      <c r="L348" s="183" t="str">
        <f t="array" ref="L348">IF(Table133[[#This Row],[Survey?]]="","",IFERROR(INDEX([2]Rubric!$G$3:$G$94,MATCH(1,([2]Rubric!$E$3:$E$94=L$2)*([2]Rubric!$F$3:$F$94='[2]Questionnaire Responses'!L349),0)),"MISSING"))</f>
        <v/>
      </c>
      <c r="M348" s="206"/>
      <c r="N348" s="183" t="str">
        <f t="array" ref="N348">IF(Table133[[#This Row],[Survey?]]="","",IFERROR(INDEX([2]Rubric!$G$3:$G$94,MATCH(1,([2]Rubric!$E$3:$E$94=N$2)*([2]Rubric!$F$3:$F$94='[2]Questionnaire Responses'!N349),0)),"MISSING"))</f>
        <v/>
      </c>
      <c r="O348" s="183" t="str">
        <f t="array" ref="O348">IF(Table133[[#This Row],[Survey?]]="","",IFERROR(INDEX([2]Rubric!$G$3:$G$94,MATCH(1,([2]Rubric!$E$3:$E$94=O$2)*([2]Rubric!$F$3:$F$94='[2]Questionnaire Responses'!O349),0)),"MISSING"))</f>
        <v/>
      </c>
      <c r="P348" s="206"/>
      <c r="Q348" s="183" t="str">
        <f t="array" ref="Q348">IF(Table133[[#This Row],[Survey?]]="","",IFERROR(INDEX([2]Rubric!$G$3:$G$94,MATCH(1,([2]Rubric!$E$3:$E$94=Q$2)*([2]Rubric!$F$3:$F$94='[2]Questionnaire Responses'!Q349),0)),"MISSING"))</f>
        <v/>
      </c>
      <c r="R348" s="183" t="str">
        <f t="array" ref="R348">IF(Table133[[#This Row],[Survey?]]="","",IFERROR(INDEX([2]Rubric!$G$3:$G$94,MATCH(1,([2]Rubric!$E$3:$E$94=R$2)*([2]Rubric!$F$3:$F$94='[2]Questionnaire Responses'!R349),0)),"MISSING"))</f>
        <v/>
      </c>
      <c r="S348" s="183" t="str">
        <f t="array" ref="S348">IF(Table133[[#This Row],[Survey?]]="","",IFERROR(INDEX([2]Rubric!$G$3:$G$94,MATCH(1,([2]Rubric!$E$3:$E$94=S$2)*([2]Rubric!$F$3:$F$94='[2]Questionnaire Responses'!S349),0)),"MISSING"))</f>
        <v/>
      </c>
      <c r="T348" s="183" t="str">
        <f t="array" ref="T348">IF(Table133[[#This Row],[Survey?]]="","",IFERROR(INDEX([2]Rubric!$G$3:$G$94,MATCH(1,([2]Rubric!$E$3:$E$94=T$2)*([2]Rubric!$F$3:$F$94='[2]Questionnaire Responses'!T349),0)),"MISSING"))</f>
        <v/>
      </c>
      <c r="U348" s="206"/>
      <c r="V348" s="183" t="str">
        <f t="array" ref="V348">IF(Table133[[#This Row],[Survey?]]="","",IFERROR(INDEX([2]Rubric!$G$3:$G$94,MATCH(1,([2]Rubric!$E$3:$E$94=V$2)*([2]Rubric!$F$3:$F$94='[2]Questionnaire Responses'!V349),0)),"MISSING"))</f>
        <v/>
      </c>
      <c r="W348" s="206"/>
      <c r="X348" s="183" t="str">
        <f t="array" ref="X348">IF(Table133[[#This Row],[Survey?]]="","",IFERROR(INDEX([2]Rubric!$G$3:$G$94,MATCH(1,([2]Rubric!$E$3:$E$94=X$2)*([2]Rubric!$F$3:$F$94='[2]Questionnaire Responses'!X349),0)),"MISSING"))</f>
        <v/>
      </c>
      <c r="Y348" s="206"/>
      <c r="Z348" s="183" t="str">
        <f t="array" ref="Z348">IF(Table133[[#This Row],[Survey?]]="","",IFERROR(INDEX([2]Rubric!$G$3:$G$94,MATCH(1,([2]Rubric!$E$3:$E$94=Z$2)*([2]Rubric!$F$3:$F$94='[2]Questionnaire Responses'!Z349),0)),"MISSING"))</f>
        <v/>
      </c>
      <c r="AA348" s="183" t="str">
        <f t="array" ref="AA348">IF(Table133[[#This Row],[Survey?]]="","",IFERROR(INDEX([2]Rubric!$G$3:$G$94,MATCH(1,([2]Rubric!$E$3:$E$94=AA$2)*([2]Rubric!$F$3:$F$94='[2]Questionnaire Responses'!AA349),0)),"MISSING"))</f>
        <v/>
      </c>
      <c r="AB348" s="183" t="str">
        <f t="array" ref="AB348">IF(Table133[[#This Row],[Survey?]]="","",IFERROR(INDEX([2]Rubric!$G$3:$G$94,MATCH(1,([2]Rubric!$E$3:$E$94=AB$2)*([2]Rubric!$F$3:$F$94='[2]Questionnaire Responses'!AB349),0)),"MISSING"))</f>
        <v/>
      </c>
      <c r="AC348" s="206"/>
      <c r="AD348" s="183" t="str">
        <f t="array" ref="AD348">IF(Table133[[#This Row],[Survey?]]="","",IFERROR(INDEX([2]Rubric!$G$3:$G$94,MATCH(1,([2]Rubric!$E$3:$E$94=AD$2)*([2]Rubric!$F$3:$F$94='[2]Questionnaire Responses'!AD349),0)),"MISSING"))</f>
        <v/>
      </c>
      <c r="AE348" s="183" t="str">
        <f t="array" ref="AE348">IF(Table133[[#This Row],[Survey?]]="","",IFERROR(INDEX([2]Rubric!$G$3:$G$94,MATCH(1,([2]Rubric!$E$3:$E$94=AE$2)*([2]Rubric!$F$3:$F$94='[2]Questionnaire Responses'!AE349),0)),"MISSING"))</f>
        <v/>
      </c>
      <c r="AF348" s="206"/>
      <c r="AG348" s="183" t="str">
        <f t="array" ref="AG348">IF(Table133[[#This Row],[Survey?]]="","",IFERROR(INDEX([2]Rubric!$G$3:$G$94,MATCH(1,([2]Rubric!$E$3:$E$94=AG$2)*([2]Rubric!$F$3:$F$94='[2]Questionnaire Responses'!AG349),0)),"MISSING"))</f>
        <v/>
      </c>
    </row>
    <row r="349" spans="1:33" ht="12.75" customHeight="1" x14ac:dyDescent="0.25">
      <c r="A349" s="207">
        <f>'[2]Questionnaire Responses'!A350</f>
        <v>0</v>
      </c>
      <c r="B349" s="198">
        <f>'[2]Questionnaire Responses'!B350</f>
        <v>0</v>
      </c>
      <c r="C349" s="153">
        <f>'[2]Questionnaire Responses'!C350</f>
        <v>0</v>
      </c>
      <c r="D349" s="208"/>
      <c r="E349" s="206"/>
      <c r="F349" s="183" t="str">
        <f t="array" ref="F349">IF(Table133[[#This Row],[Survey?]]="","",IFERROR(INDEX([2]Rubric!$G$3:$G$94,MATCH(1,([2]Rubric!$E$3:$E$94=F$2)*([2]Rubric!$F$3:$F$94='[2]Questionnaire Responses'!F350),0)),"MISSING"))</f>
        <v/>
      </c>
      <c r="G349" s="183" t="str">
        <f t="array" ref="G349">IF(Table133[[#This Row],[Survey?]]="","",IFERROR(INDEX([2]Rubric!$G$3:$G$94,MATCH(1,([2]Rubric!$E$3:$E$94=G$2)*([2]Rubric!$F$3:$F$94='[2]Questionnaire Responses'!G350),0)),"MISSING"))</f>
        <v/>
      </c>
      <c r="H349" s="183" t="str">
        <f t="array" ref="H349">IF(Table133[[#This Row],[Survey?]]="","",IFERROR(INDEX([2]Rubric!$G$3:$G$94,MATCH(1,([2]Rubric!$E$3:$E$94=H$2)*([2]Rubric!$F$3:$F$94='[2]Questionnaire Responses'!H350),0)),"MISSING"))</f>
        <v/>
      </c>
      <c r="I349" s="183" t="str">
        <f t="array" ref="I349">IF(Table133[[#This Row],[Survey?]]="","",IFERROR(INDEX([2]Rubric!$G$3:$G$94,MATCH(1,([2]Rubric!$E$3:$E$94=I$2)*([2]Rubric!$F$3:$F$94='[2]Questionnaire Responses'!I350),0)),"MISSING"))</f>
        <v/>
      </c>
      <c r="J349" s="183" t="str">
        <f t="array" ref="J349">IF(Table133[[#This Row],[Survey?]]="","",IFERROR(INDEX([2]Rubric!$G$3:$G$94,MATCH(1,([2]Rubric!$E$3:$E$94=J$2)*([2]Rubric!$F$3:$F$94='[2]Questionnaire Responses'!J350),0)),"MISSING"))</f>
        <v/>
      </c>
      <c r="K349" s="206"/>
      <c r="L349" s="183" t="str">
        <f t="array" ref="L349">IF(Table133[[#This Row],[Survey?]]="","",IFERROR(INDEX([2]Rubric!$G$3:$G$94,MATCH(1,([2]Rubric!$E$3:$E$94=L$2)*([2]Rubric!$F$3:$F$94='[2]Questionnaire Responses'!L350),0)),"MISSING"))</f>
        <v/>
      </c>
      <c r="M349" s="206"/>
      <c r="N349" s="183" t="str">
        <f t="array" ref="N349">IF(Table133[[#This Row],[Survey?]]="","",IFERROR(INDEX([2]Rubric!$G$3:$G$94,MATCH(1,([2]Rubric!$E$3:$E$94=N$2)*([2]Rubric!$F$3:$F$94='[2]Questionnaire Responses'!N350),0)),"MISSING"))</f>
        <v/>
      </c>
      <c r="O349" s="183" t="str">
        <f t="array" ref="O349">IF(Table133[[#This Row],[Survey?]]="","",IFERROR(INDEX([2]Rubric!$G$3:$G$94,MATCH(1,([2]Rubric!$E$3:$E$94=O$2)*([2]Rubric!$F$3:$F$94='[2]Questionnaire Responses'!O350),0)),"MISSING"))</f>
        <v/>
      </c>
      <c r="P349" s="206"/>
      <c r="Q349" s="183" t="str">
        <f t="array" ref="Q349">IF(Table133[[#This Row],[Survey?]]="","",IFERROR(INDEX([2]Rubric!$G$3:$G$94,MATCH(1,([2]Rubric!$E$3:$E$94=Q$2)*([2]Rubric!$F$3:$F$94='[2]Questionnaire Responses'!Q350),0)),"MISSING"))</f>
        <v/>
      </c>
      <c r="R349" s="183" t="str">
        <f t="array" ref="R349">IF(Table133[[#This Row],[Survey?]]="","",IFERROR(INDEX([2]Rubric!$G$3:$G$94,MATCH(1,([2]Rubric!$E$3:$E$94=R$2)*([2]Rubric!$F$3:$F$94='[2]Questionnaire Responses'!R350),0)),"MISSING"))</f>
        <v/>
      </c>
      <c r="S349" s="183" t="str">
        <f t="array" ref="S349">IF(Table133[[#This Row],[Survey?]]="","",IFERROR(INDEX([2]Rubric!$G$3:$G$94,MATCH(1,([2]Rubric!$E$3:$E$94=S$2)*([2]Rubric!$F$3:$F$94='[2]Questionnaire Responses'!S350),0)),"MISSING"))</f>
        <v/>
      </c>
      <c r="T349" s="183" t="str">
        <f t="array" ref="T349">IF(Table133[[#This Row],[Survey?]]="","",IFERROR(INDEX([2]Rubric!$G$3:$G$94,MATCH(1,([2]Rubric!$E$3:$E$94=T$2)*([2]Rubric!$F$3:$F$94='[2]Questionnaire Responses'!T350),0)),"MISSING"))</f>
        <v/>
      </c>
      <c r="U349" s="206"/>
      <c r="V349" s="183" t="str">
        <f t="array" ref="V349">IF(Table133[[#This Row],[Survey?]]="","",IFERROR(INDEX([2]Rubric!$G$3:$G$94,MATCH(1,([2]Rubric!$E$3:$E$94=V$2)*([2]Rubric!$F$3:$F$94='[2]Questionnaire Responses'!V350),0)),"MISSING"))</f>
        <v/>
      </c>
      <c r="W349" s="206"/>
      <c r="X349" s="183" t="str">
        <f t="array" ref="X349">IF(Table133[[#This Row],[Survey?]]="","",IFERROR(INDEX([2]Rubric!$G$3:$G$94,MATCH(1,([2]Rubric!$E$3:$E$94=X$2)*([2]Rubric!$F$3:$F$94='[2]Questionnaire Responses'!X350),0)),"MISSING"))</f>
        <v/>
      </c>
      <c r="Y349" s="206"/>
      <c r="Z349" s="183" t="str">
        <f t="array" ref="Z349">IF(Table133[[#This Row],[Survey?]]="","",IFERROR(INDEX([2]Rubric!$G$3:$G$94,MATCH(1,([2]Rubric!$E$3:$E$94=Z$2)*([2]Rubric!$F$3:$F$94='[2]Questionnaire Responses'!Z350),0)),"MISSING"))</f>
        <v/>
      </c>
      <c r="AA349" s="183" t="str">
        <f t="array" ref="AA349">IF(Table133[[#This Row],[Survey?]]="","",IFERROR(INDEX([2]Rubric!$G$3:$G$94,MATCH(1,([2]Rubric!$E$3:$E$94=AA$2)*([2]Rubric!$F$3:$F$94='[2]Questionnaire Responses'!AA350),0)),"MISSING"))</f>
        <v/>
      </c>
      <c r="AB349" s="183" t="str">
        <f t="array" ref="AB349">IF(Table133[[#This Row],[Survey?]]="","",IFERROR(INDEX([2]Rubric!$G$3:$G$94,MATCH(1,([2]Rubric!$E$3:$E$94=AB$2)*([2]Rubric!$F$3:$F$94='[2]Questionnaire Responses'!AB350),0)),"MISSING"))</f>
        <v/>
      </c>
      <c r="AC349" s="206"/>
      <c r="AD349" s="183" t="str">
        <f t="array" ref="AD349">IF(Table133[[#This Row],[Survey?]]="","",IFERROR(INDEX([2]Rubric!$G$3:$G$94,MATCH(1,([2]Rubric!$E$3:$E$94=AD$2)*([2]Rubric!$F$3:$F$94='[2]Questionnaire Responses'!AD350),0)),"MISSING"))</f>
        <v/>
      </c>
      <c r="AE349" s="183" t="str">
        <f t="array" ref="AE349">IF(Table133[[#This Row],[Survey?]]="","",IFERROR(INDEX([2]Rubric!$G$3:$G$94,MATCH(1,([2]Rubric!$E$3:$E$94=AE$2)*([2]Rubric!$F$3:$F$94='[2]Questionnaire Responses'!AE350),0)),"MISSING"))</f>
        <v/>
      </c>
      <c r="AF349" s="206"/>
      <c r="AG349" s="183" t="str">
        <f t="array" ref="AG349">IF(Table133[[#This Row],[Survey?]]="","",IFERROR(INDEX([2]Rubric!$G$3:$G$94,MATCH(1,([2]Rubric!$E$3:$E$94=AG$2)*([2]Rubric!$F$3:$F$94='[2]Questionnaire Responses'!AG350),0)),"MISSING"))</f>
        <v/>
      </c>
    </row>
    <row r="350" spans="1:33" ht="12.75" customHeight="1" x14ac:dyDescent="0.25">
      <c r="A350" s="209">
        <f>'[2]Questionnaire Responses'!A351</f>
        <v>0</v>
      </c>
      <c r="B350" s="198">
        <f>'[2]Questionnaire Responses'!B351</f>
        <v>0</v>
      </c>
      <c r="C350" s="153">
        <f>'[2]Questionnaire Responses'!C351</f>
        <v>0</v>
      </c>
      <c r="D350" s="210"/>
      <c r="E350" s="211"/>
      <c r="F350" s="183" t="str">
        <f t="array" ref="F350">IF(Table133[[#This Row],[Survey?]]="","",IFERROR(INDEX([2]Rubric!$G$3:$G$94,MATCH(1,([2]Rubric!$E$3:$E$94=F$2)*([2]Rubric!$F$3:$F$94='[2]Questionnaire Responses'!F351),0)),"MISSING"))</f>
        <v/>
      </c>
      <c r="G350" s="183" t="str">
        <f t="array" ref="G350">IF(Table133[[#This Row],[Survey?]]="","",IFERROR(INDEX([2]Rubric!$G$3:$G$94,MATCH(1,([2]Rubric!$E$3:$E$94=G$2)*([2]Rubric!$F$3:$F$94='[2]Questionnaire Responses'!G351),0)),"MISSING"))</f>
        <v/>
      </c>
      <c r="H350" s="183" t="str">
        <f t="array" ref="H350">IF(Table133[[#This Row],[Survey?]]="","",IFERROR(INDEX([2]Rubric!$G$3:$G$94,MATCH(1,([2]Rubric!$E$3:$E$94=H$2)*([2]Rubric!$F$3:$F$94='[2]Questionnaire Responses'!H351),0)),"MISSING"))</f>
        <v/>
      </c>
      <c r="I350" s="183" t="str">
        <f t="array" ref="I350">IF(Table133[[#This Row],[Survey?]]="","",IFERROR(INDEX([2]Rubric!$G$3:$G$94,MATCH(1,([2]Rubric!$E$3:$E$94=I$2)*([2]Rubric!$F$3:$F$94='[2]Questionnaire Responses'!I351),0)),"MISSING"))</f>
        <v/>
      </c>
      <c r="J350" s="183" t="str">
        <f t="array" ref="J350">IF(Table133[[#This Row],[Survey?]]="","",IFERROR(INDEX([2]Rubric!$G$3:$G$94,MATCH(1,([2]Rubric!$E$3:$E$94=J$2)*([2]Rubric!$F$3:$F$94='[2]Questionnaire Responses'!J351),0)),"MISSING"))</f>
        <v/>
      </c>
      <c r="K350" s="211"/>
      <c r="L350" s="183" t="str">
        <f t="array" ref="L350">IF(Table133[[#This Row],[Survey?]]="","",IFERROR(INDEX([2]Rubric!$G$3:$G$94,MATCH(1,([2]Rubric!$E$3:$E$94=L$2)*([2]Rubric!$F$3:$F$94='[2]Questionnaire Responses'!L351),0)),"MISSING"))</f>
        <v/>
      </c>
      <c r="M350" s="211"/>
      <c r="N350" s="183" t="str">
        <f t="array" ref="N350">IF(Table133[[#This Row],[Survey?]]="","",IFERROR(INDEX([2]Rubric!$G$3:$G$94,MATCH(1,([2]Rubric!$E$3:$E$94=N$2)*([2]Rubric!$F$3:$F$94='[2]Questionnaire Responses'!N351),0)),"MISSING"))</f>
        <v/>
      </c>
      <c r="O350" s="183" t="str">
        <f t="array" ref="O350">IF(Table133[[#This Row],[Survey?]]="","",IFERROR(INDEX([2]Rubric!$G$3:$G$94,MATCH(1,([2]Rubric!$E$3:$E$94=O$2)*([2]Rubric!$F$3:$F$94='[2]Questionnaire Responses'!O351),0)),"MISSING"))</f>
        <v/>
      </c>
      <c r="P350" s="211"/>
      <c r="Q350" s="183" t="str">
        <f t="array" ref="Q350">IF(Table133[[#This Row],[Survey?]]="","",IFERROR(INDEX([2]Rubric!$G$3:$G$94,MATCH(1,([2]Rubric!$E$3:$E$94=Q$2)*([2]Rubric!$F$3:$F$94='[2]Questionnaire Responses'!Q351),0)),"MISSING"))</f>
        <v/>
      </c>
      <c r="R350" s="183" t="str">
        <f t="array" ref="R350">IF(Table133[[#This Row],[Survey?]]="","",IFERROR(INDEX([2]Rubric!$G$3:$G$94,MATCH(1,([2]Rubric!$E$3:$E$94=R$2)*([2]Rubric!$F$3:$F$94='[2]Questionnaire Responses'!R351),0)),"MISSING"))</f>
        <v/>
      </c>
      <c r="S350" s="183" t="str">
        <f t="array" ref="S350">IF(Table133[[#This Row],[Survey?]]="","",IFERROR(INDEX([2]Rubric!$G$3:$G$94,MATCH(1,([2]Rubric!$E$3:$E$94=S$2)*([2]Rubric!$F$3:$F$94='[2]Questionnaire Responses'!S351),0)),"MISSING"))</f>
        <v/>
      </c>
      <c r="T350" s="183" t="str">
        <f t="array" ref="T350">IF(Table133[[#This Row],[Survey?]]="","",IFERROR(INDEX([2]Rubric!$G$3:$G$94,MATCH(1,([2]Rubric!$E$3:$E$94=T$2)*([2]Rubric!$F$3:$F$94='[2]Questionnaire Responses'!T351),0)),"MISSING"))</f>
        <v/>
      </c>
      <c r="U350" s="211"/>
      <c r="V350" s="183" t="str">
        <f t="array" ref="V350">IF(Table133[[#This Row],[Survey?]]="","",IFERROR(INDEX([2]Rubric!$G$3:$G$94,MATCH(1,([2]Rubric!$E$3:$E$94=V$2)*([2]Rubric!$F$3:$F$94='[2]Questionnaire Responses'!V351),0)),"MISSING"))</f>
        <v/>
      </c>
      <c r="W350" s="211"/>
      <c r="X350" s="183" t="str">
        <f t="array" ref="X350">IF(Table133[[#This Row],[Survey?]]="","",IFERROR(INDEX([2]Rubric!$G$3:$G$94,MATCH(1,([2]Rubric!$E$3:$E$94=X$2)*([2]Rubric!$F$3:$F$94='[2]Questionnaire Responses'!X351),0)),"MISSING"))</f>
        <v/>
      </c>
      <c r="Y350" s="211"/>
      <c r="Z350" s="183" t="str">
        <f t="array" ref="Z350">IF(Table133[[#This Row],[Survey?]]="","",IFERROR(INDEX([2]Rubric!$G$3:$G$94,MATCH(1,([2]Rubric!$E$3:$E$94=Z$2)*([2]Rubric!$F$3:$F$94='[2]Questionnaire Responses'!Z351),0)),"MISSING"))</f>
        <v/>
      </c>
      <c r="AA350" s="183" t="str">
        <f t="array" ref="AA350">IF(Table133[[#This Row],[Survey?]]="","",IFERROR(INDEX([2]Rubric!$G$3:$G$94,MATCH(1,([2]Rubric!$E$3:$E$94=AA$2)*([2]Rubric!$F$3:$F$94='[2]Questionnaire Responses'!AA351),0)),"MISSING"))</f>
        <v/>
      </c>
      <c r="AB350" s="183" t="str">
        <f t="array" ref="AB350">IF(Table133[[#This Row],[Survey?]]="","",IFERROR(INDEX([2]Rubric!$G$3:$G$94,MATCH(1,([2]Rubric!$E$3:$E$94=AB$2)*([2]Rubric!$F$3:$F$94='[2]Questionnaire Responses'!AB351),0)),"MISSING"))</f>
        <v/>
      </c>
      <c r="AC350" s="211"/>
      <c r="AD350" s="183" t="str">
        <f t="array" ref="AD350">IF(Table133[[#This Row],[Survey?]]="","",IFERROR(INDEX([2]Rubric!$G$3:$G$94,MATCH(1,([2]Rubric!$E$3:$E$94=AD$2)*([2]Rubric!$F$3:$F$94='[2]Questionnaire Responses'!AD351),0)),"MISSING"))</f>
        <v/>
      </c>
      <c r="AE350" s="183" t="str">
        <f t="array" ref="AE350">IF(Table133[[#This Row],[Survey?]]="","",IFERROR(INDEX([2]Rubric!$G$3:$G$94,MATCH(1,([2]Rubric!$E$3:$E$94=AE$2)*([2]Rubric!$F$3:$F$94='[2]Questionnaire Responses'!AE351),0)),"MISSING"))</f>
        <v/>
      </c>
      <c r="AF350" s="211"/>
      <c r="AG350" s="183" t="str">
        <f t="array" ref="AG350">IF(Table133[[#This Row],[Survey?]]="","",IFERROR(INDEX([2]Rubric!$G$3:$G$94,MATCH(1,([2]Rubric!$E$3:$E$94=AG$2)*([2]Rubric!$F$3:$F$94='[2]Questionnaire Responses'!AG351),0)),"MISSING"))</f>
        <v/>
      </c>
    </row>
    <row r="351" spans="1:33" ht="12.75" customHeight="1" x14ac:dyDescent="0.25">
      <c r="A351" s="207">
        <f>'[2]Questionnaire Responses'!A352</f>
        <v>0</v>
      </c>
      <c r="B351" s="198">
        <f>'[2]Questionnaire Responses'!B352</f>
        <v>0</v>
      </c>
      <c r="C351" s="153">
        <f>'[2]Questionnaire Responses'!C352</f>
        <v>0</v>
      </c>
      <c r="D351" s="208"/>
      <c r="E351" s="206"/>
      <c r="F351" s="183" t="str">
        <f t="array" ref="F351">IF(Table133[[#This Row],[Survey?]]="","",IFERROR(INDEX([2]Rubric!$G$3:$G$94,MATCH(1,([2]Rubric!$E$3:$E$94=F$2)*([2]Rubric!$F$3:$F$94='[2]Questionnaire Responses'!F352),0)),"MISSING"))</f>
        <v/>
      </c>
      <c r="G351" s="212" t="str">
        <f t="array" ref="G351">IF(Table133[[#This Row],[Survey?]]="","",IFERROR(INDEX([2]Rubric!$G$3:$G$94,MATCH(1,([2]Rubric!$E$3:$E$94=G$2)*([2]Rubric!$F$3:$F$94='[2]Questionnaire Responses'!G352),0)),"MISSING"))</f>
        <v/>
      </c>
      <c r="H351" s="212" t="str">
        <f t="array" ref="H351">IF(Table133[[#This Row],[Survey?]]="","",IFERROR(INDEX([2]Rubric!$G$3:$G$94,MATCH(1,([2]Rubric!$E$3:$E$94=H$2)*([2]Rubric!$F$3:$F$94='[2]Questionnaire Responses'!H352),0)),"MISSING"))</f>
        <v/>
      </c>
      <c r="I351" s="213" t="str">
        <f t="array" ref="I351">IF(Table133[[#This Row],[Survey?]]="","",IFERROR(INDEX([2]Rubric!$G$3:$G$94,MATCH(1,([2]Rubric!$E$3:$E$94=I$2)*([2]Rubric!$F$3:$F$94='[2]Questionnaire Responses'!I352),0)),"MISSING"))</f>
        <v/>
      </c>
      <c r="J351" s="213" t="str">
        <f t="array" ref="J351">IF(Table133[[#This Row],[Survey?]]="","",IFERROR(INDEX([2]Rubric!$G$3:$G$94,MATCH(1,([2]Rubric!$E$3:$E$94=J$2)*([2]Rubric!$F$3:$F$94='[2]Questionnaire Responses'!J352),0)),"MISSING"))</f>
        <v/>
      </c>
      <c r="K351" s="206"/>
      <c r="L351" s="212" t="str">
        <f t="array" ref="L351">IF(Table133[[#This Row],[Survey?]]="","",IFERROR(INDEX([2]Rubric!$G$3:$G$94,MATCH(1,([2]Rubric!$E$3:$E$94=L$2)*([2]Rubric!$F$3:$F$94='[2]Questionnaire Responses'!L352),0)),"MISSING"))</f>
        <v/>
      </c>
      <c r="M351" s="206"/>
      <c r="N351" s="213" t="str">
        <f t="array" ref="N351">IF(Table133[[#This Row],[Survey?]]="","",IFERROR(INDEX([2]Rubric!$G$3:$G$94,MATCH(1,([2]Rubric!$E$3:$E$94=N$2)*([2]Rubric!$F$3:$F$94='[2]Questionnaire Responses'!N352),0)),"MISSING"))</f>
        <v/>
      </c>
      <c r="O351" s="213" t="str">
        <f t="array" ref="O351">IF(Table133[[#This Row],[Survey?]]="","",IFERROR(INDEX([2]Rubric!$G$3:$G$94,MATCH(1,([2]Rubric!$E$3:$E$94=O$2)*([2]Rubric!$F$3:$F$94='[2]Questionnaire Responses'!O352),0)),"MISSING"))</f>
        <v/>
      </c>
      <c r="P351" s="206"/>
      <c r="Q351" s="213" t="str">
        <f t="array" ref="Q351">IF(Table133[[#This Row],[Survey?]]="","",IFERROR(INDEX([2]Rubric!$G$3:$G$94,MATCH(1,([2]Rubric!$E$3:$E$94=Q$2)*([2]Rubric!$F$3:$F$94='[2]Questionnaire Responses'!Q352),0)),"MISSING"))</f>
        <v/>
      </c>
      <c r="R351" s="213" t="str">
        <f t="array" ref="R351">IF(Table133[[#This Row],[Survey?]]="","",IFERROR(INDEX([2]Rubric!$G$3:$G$94,MATCH(1,([2]Rubric!$E$3:$E$94=R$2)*([2]Rubric!$F$3:$F$94='[2]Questionnaire Responses'!R352),0)),"MISSING"))</f>
        <v/>
      </c>
      <c r="S351" s="183" t="str">
        <f t="array" ref="S351">IF(Table133[[#This Row],[Survey?]]="","",IFERROR(INDEX([2]Rubric!$G$3:$G$94,MATCH(1,([2]Rubric!$E$3:$E$94=S$2)*([2]Rubric!$F$3:$F$94='[2]Questionnaire Responses'!S352),0)),"MISSING"))</f>
        <v/>
      </c>
      <c r="T351" s="213" t="str">
        <f t="array" ref="T351">IF(Table133[[#This Row],[Survey?]]="","",IFERROR(INDEX([2]Rubric!$G$3:$G$94,MATCH(1,([2]Rubric!$E$3:$E$94=T$2)*([2]Rubric!$F$3:$F$94='[2]Questionnaire Responses'!T352),0)),"MISSING"))</f>
        <v/>
      </c>
      <c r="U351" s="206"/>
      <c r="V351" s="212" t="str">
        <f t="array" ref="V351">IF(Table133[[#This Row],[Survey?]]="","",IFERROR(INDEX([2]Rubric!$G$3:$G$94,MATCH(1,([2]Rubric!$E$3:$E$94=V$2)*([2]Rubric!$F$3:$F$94='[2]Questionnaire Responses'!V352),0)),"MISSING"))</f>
        <v/>
      </c>
      <c r="W351" s="206"/>
      <c r="X351" s="213" t="str">
        <f t="array" ref="X351">IF(Table133[[#This Row],[Survey?]]="","",IFERROR(INDEX([2]Rubric!$G$3:$G$94,MATCH(1,([2]Rubric!$E$3:$E$94=X$2)*([2]Rubric!$F$3:$F$94='[2]Questionnaire Responses'!X352),0)),"MISSING"))</f>
        <v/>
      </c>
      <c r="Y351" s="206"/>
      <c r="Z351" s="213" t="str">
        <f t="array" ref="Z351">IF(Table133[[#This Row],[Survey?]]="","",IFERROR(INDEX([2]Rubric!$G$3:$G$94,MATCH(1,([2]Rubric!$E$3:$E$94=Z$2)*([2]Rubric!$F$3:$F$94='[2]Questionnaire Responses'!Z352),0)),"MISSING"))</f>
        <v/>
      </c>
      <c r="AA351" s="213" t="str">
        <f t="array" ref="AA351">IF(Table133[[#This Row],[Survey?]]="","",IFERROR(INDEX([2]Rubric!$G$3:$G$94,MATCH(1,([2]Rubric!$E$3:$E$94=AA$2)*([2]Rubric!$F$3:$F$94='[2]Questionnaire Responses'!AA352),0)),"MISSING"))</f>
        <v/>
      </c>
      <c r="AB351" s="213" t="str">
        <f t="array" ref="AB351">IF(Table133[[#This Row],[Survey?]]="","",IFERROR(INDEX([2]Rubric!$G$3:$G$94,MATCH(1,([2]Rubric!$E$3:$E$94=AB$2)*([2]Rubric!$F$3:$F$94='[2]Questionnaire Responses'!AB352),0)),"MISSING"))</f>
        <v/>
      </c>
      <c r="AC351" s="206"/>
      <c r="AD351" s="183" t="str">
        <f t="array" ref="AD351">IF(Table133[[#This Row],[Survey?]]="","",IFERROR(INDEX([2]Rubric!$G$3:$G$94,MATCH(1,([2]Rubric!$E$3:$E$94=AD$2)*([2]Rubric!$F$3:$F$94='[2]Questionnaire Responses'!AD352),0)),"MISSING"))</f>
        <v/>
      </c>
      <c r="AE351" s="183" t="str">
        <f t="array" ref="AE351">IF(Table133[[#This Row],[Survey?]]="","",IFERROR(INDEX([2]Rubric!$G$3:$G$94,MATCH(1,([2]Rubric!$E$3:$E$94=AE$2)*([2]Rubric!$F$3:$F$94='[2]Questionnaire Responses'!AE352),0)),"MISSING"))</f>
        <v/>
      </c>
      <c r="AF351" s="206"/>
      <c r="AG351" s="183" t="str">
        <f t="array" ref="AG351">IF(Table133[[#This Row],[Survey?]]="","",IFERROR(INDEX([2]Rubric!$G$3:$G$94,MATCH(1,([2]Rubric!$E$3:$E$94=AG$2)*([2]Rubric!$F$3:$F$94='[2]Questionnaire Responses'!AG352),0)),"MISSING"))</f>
        <v/>
      </c>
    </row>
    <row r="352" spans="1:33" ht="12.75" customHeight="1" x14ac:dyDescent="0.25">
      <c r="A352" s="207">
        <f>'[2]Questionnaire Responses'!A353</f>
        <v>0</v>
      </c>
      <c r="B352" s="198">
        <f>'[2]Questionnaire Responses'!B353</f>
        <v>0</v>
      </c>
      <c r="C352" s="153">
        <f>'[2]Questionnaire Responses'!C353</f>
        <v>0</v>
      </c>
      <c r="D352" s="208"/>
      <c r="E352" s="206"/>
      <c r="F352" s="183" t="str">
        <f t="array" ref="F352">IF(Table133[[#This Row],[Survey?]]="","",IFERROR(INDEX([2]Rubric!$G$3:$G$94,MATCH(1,([2]Rubric!$E$3:$E$94=F$2)*([2]Rubric!$F$3:$F$94='[2]Questionnaire Responses'!F353),0)),"MISSING"))</f>
        <v/>
      </c>
      <c r="G352" s="212" t="str">
        <f t="array" ref="G352">IF(Table133[[#This Row],[Survey?]]="","",IFERROR(INDEX([2]Rubric!$G$3:$G$94,MATCH(1,([2]Rubric!$E$3:$E$94=G$2)*([2]Rubric!$F$3:$F$94='[2]Questionnaire Responses'!G353),0)),"MISSING"))</f>
        <v/>
      </c>
      <c r="H352" s="212" t="str">
        <f t="array" ref="H352">IF(Table133[[#This Row],[Survey?]]="","",IFERROR(INDEX([2]Rubric!$G$3:$G$94,MATCH(1,([2]Rubric!$E$3:$E$94=H$2)*([2]Rubric!$F$3:$F$94='[2]Questionnaire Responses'!H353),0)),"MISSING"))</f>
        <v/>
      </c>
      <c r="I352" s="213" t="str">
        <f t="array" ref="I352">IF(Table133[[#This Row],[Survey?]]="","",IFERROR(INDEX([2]Rubric!$G$3:$G$94,MATCH(1,([2]Rubric!$E$3:$E$94=I$2)*([2]Rubric!$F$3:$F$94='[2]Questionnaire Responses'!I353),0)),"MISSING"))</f>
        <v/>
      </c>
      <c r="J352" s="213" t="str">
        <f t="array" ref="J352">IF(Table133[[#This Row],[Survey?]]="","",IFERROR(INDEX([2]Rubric!$G$3:$G$94,MATCH(1,([2]Rubric!$E$3:$E$94=J$2)*([2]Rubric!$F$3:$F$94='[2]Questionnaire Responses'!J353),0)),"MISSING"))</f>
        <v/>
      </c>
      <c r="K352" s="206"/>
      <c r="L352" s="212" t="str">
        <f t="array" ref="L352">IF(Table133[[#This Row],[Survey?]]="","",IFERROR(INDEX([2]Rubric!$G$3:$G$94,MATCH(1,([2]Rubric!$E$3:$E$94=L$2)*([2]Rubric!$F$3:$F$94='[2]Questionnaire Responses'!L353),0)),"MISSING"))</f>
        <v/>
      </c>
      <c r="M352" s="206"/>
      <c r="N352" s="213" t="str">
        <f t="array" ref="N352">IF(Table133[[#This Row],[Survey?]]="","",IFERROR(INDEX([2]Rubric!$G$3:$G$94,MATCH(1,([2]Rubric!$E$3:$E$94=N$2)*([2]Rubric!$F$3:$F$94='[2]Questionnaire Responses'!N353),0)),"MISSING"))</f>
        <v/>
      </c>
      <c r="O352" s="213" t="str">
        <f t="array" ref="O352">IF(Table133[[#This Row],[Survey?]]="","",IFERROR(INDEX([2]Rubric!$G$3:$G$94,MATCH(1,([2]Rubric!$E$3:$E$94=O$2)*([2]Rubric!$F$3:$F$94='[2]Questionnaire Responses'!O353),0)),"MISSING"))</f>
        <v/>
      </c>
      <c r="P352" s="206"/>
      <c r="Q352" s="213" t="str">
        <f t="array" ref="Q352">IF(Table133[[#This Row],[Survey?]]="","",IFERROR(INDEX([2]Rubric!$G$3:$G$94,MATCH(1,([2]Rubric!$E$3:$E$94=Q$2)*([2]Rubric!$F$3:$F$94='[2]Questionnaire Responses'!Q353),0)),"MISSING"))</f>
        <v/>
      </c>
      <c r="R352" s="213" t="str">
        <f t="array" ref="R352">IF(Table133[[#This Row],[Survey?]]="","",IFERROR(INDEX([2]Rubric!$G$3:$G$94,MATCH(1,([2]Rubric!$E$3:$E$94=R$2)*([2]Rubric!$F$3:$F$94='[2]Questionnaire Responses'!R353),0)),"MISSING"))</f>
        <v/>
      </c>
      <c r="S352" s="183" t="str">
        <f t="array" ref="S352">IF(Table133[[#This Row],[Survey?]]="","",IFERROR(INDEX([2]Rubric!$G$3:$G$94,MATCH(1,([2]Rubric!$E$3:$E$94=S$2)*([2]Rubric!$F$3:$F$94='[2]Questionnaire Responses'!S353),0)),"MISSING"))</f>
        <v/>
      </c>
      <c r="T352" s="213" t="str">
        <f t="array" ref="T352">IF(Table133[[#This Row],[Survey?]]="","",IFERROR(INDEX([2]Rubric!$G$3:$G$94,MATCH(1,([2]Rubric!$E$3:$E$94=T$2)*([2]Rubric!$F$3:$F$94='[2]Questionnaire Responses'!T353),0)),"MISSING"))</f>
        <v/>
      </c>
      <c r="U352" s="206"/>
      <c r="V352" s="212" t="str">
        <f t="array" ref="V352">IF(Table133[[#This Row],[Survey?]]="","",IFERROR(INDEX([2]Rubric!$G$3:$G$94,MATCH(1,([2]Rubric!$E$3:$E$94=V$2)*([2]Rubric!$F$3:$F$94='[2]Questionnaire Responses'!V353),0)),"MISSING"))</f>
        <v/>
      </c>
      <c r="W352" s="206"/>
      <c r="X352" s="213" t="str">
        <f t="array" ref="X352">IF(Table133[[#This Row],[Survey?]]="","",IFERROR(INDEX([2]Rubric!$G$3:$G$94,MATCH(1,([2]Rubric!$E$3:$E$94=X$2)*([2]Rubric!$F$3:$F$94='[2]Questionnaire Responses'!X353),0)),"MISSING"))</f>
        <v/>
      </c>
      <c r="Y352" s="206"/>
      <c r="Z352" s="213" t="str">
        <f t="array" ref="Z352">IF(Table133[[#This Row],[Survey?]]="","",IFERROR(INDEX([2]Rubric!$G$3:$G$94,MATCH(1,([2]Rubric!$E$3:$E$94=Z$2)*([2]Rubric!$F$3:$F$94='[2]Questionnaire Responses'!Z353),0)),"MISSING"))</f>
        <v/>
      </c>
      <c r="AA352" s="213" t="str">
        <f t="array" ref="AA352">IF(Table133[[#This Row],[Survey?]]="","",IFERROR(INDEX([2]Rubric!$G$3:$G$94,MATCH(1,([2]Rubric!$E$3:$E$94=AA$2)*([2]Rubric!$F$3:$F$94='[2]Questionnaire Responses'!AA353),0)),"MISSING"))</f>
        <v/>
      </c>
      <c r="AB352" s="213" t="str">
        <f t="array" ref="AB352">IF(Table133[[#This Row],[Survey?]]="","",IFERROR(INDEX([2]Rubric!$G$3:$G$94,MATCH(1,([2]Rubric!$E$3:$E$94=AB$2)*([2]Rubric!$F$3:$F$94='[2]Questionnaire Responses'!AB353),0)),"MISSING"))</f>
        <v/>
      </c>
      <c r="AC352" s="206"/>
      <c r="AD352" s="183" t="str">
        <f t="array" ref="AD352">IF(Table133[[#This Row],[Survey?]]="","",IFERROR(INDEX([2]Rubric!$G$3:$G$94,MATCH(1,([2]Rubric!$E$3:$E$94=AD$2)*([2]Rubric!$F$3:$F$94='[2]Questionnaire Responses'!AD353),0)),"MISSING"))</f>
        <v/>
      </c>
      <c r="AE352" s="183" t="str">
        <f t="array" ref="AE352">IF(Table133[[#This Row],[Survey?]]="","",IFERROR(INDEX([2]Rubric!$G$3:$G$94,MATCH(1,([2]Rubric!$E$3:$E$94=AE$2)*([2]Rubric!$F$3:$F$94='[2]Questionnaire Responses'!AE353),0)),"MISSING"))</f>
        <v/>
      </c>
      <c r="AF352" s="206"/>
      <c r="AG352" s="183" t="str">
        <f t="array" ref="AG352">IF(Table133[[#This Row],[Survey?]]="","",IFERROR(INDEX([2]Rubric!$G$3:$G$94,MATCH(1,([2]Rubric!$E$3:$E$94=AG$2)*([2]Rubric!$F$3:$F$94='[2]Questionnaire Responses'!AG353),0)),"MISSING"))</f>
        <v/>
      </c>
    </row>
    <row r="353" spans="1:33" ht="12.75" customHeight="1" x14ac:dyDescent="0.25">
      <c r="A353" s="168"/>
      <c r="B353" s="168"/>
      <c r="C353" s="168"/>
      <c r="E353" s="214"/>
      <c r="F353" s="215"/>
      <c r="G353" s="216"/>
      <c r="H353" s="216"/>
      <c r="I353" s="216"/>
      <c r="J353" s="216"/>
      <c r="K353" s="214"/>
      <c r="L353" s="215"/>
      <c r="M353" s="214"/>
      <c r="N353" s="215"/>
      <c r="O353" s="216"/>
      <c r="P353" s="214"/>
      <c r="Q353" s="215"/>
      <c r="R353" s="216"/>
      <c r="S353" s="216"/>
      <c r="T353" s="216"/>
      <c r="U353" s="214"/>
      <c r="V353" s="215"/>
      <c r="W353" s="214"/>
      <c r="X353" s="215"/>
      <c r="Y353" s="214"/>
      <c r="Z353" s="215"/>
      <c r="AA353" s="171"/>
      <c r="AB353" s="171"/>
      <c r="AC353" s="214"/>
      <c r="AD353" s="10"/>
      <c r="AE353" s="10"/>
      <c r="AF353" s="214"/>
      <c r="AG353" s="215"/>
    </row>
    <row r="354" spans="1:33" ht="12.75" customHeight="1" x14ac:dyDescent="0.25">
      <c r="A354" s="168"/>
      <c r="B354" s="168"/>
      <c r="C354" s="168"/>
      <c r="E354" s="214"/>
      <c r="F354" s="215"/>
      <c r="G354" s="216"/>
      <c r="H354" s="216"/>
      <c r="I354" s="216"/>
      <c r="J354" s="216"/>
      <c r="K354" s="214"/>
      <c r="L354" s="215"/>
      <c r="M354" s="214"/>
      <c r="N354" s="215"/>
      <c r="O354" s="216"/>
      <c r="P354" s="214"/>
      <c r="Q354" s="215"/>
      <c r="R354" s="216"/>
      <c r="S354" s="216"/>
      <c r="T354" s="216"/>
      <c r="U354" s="214"/>
      <c r="V354" s="215"/>
      <c r="W354" s="214"/>
      <c r="X354" s="215"/>
      <c r="Y354" s="214"/>
      <c r="Z354" s="215"/>
      <c r="AA354" s="171"/>
      <c r="AB354" s="171"/>
      <c r="AC354" s="214"/>
      <c r="AD354" s="10"/>
      <c r="AE354" s="10"/>
      <c r="AF354" s="214"/>
      <c r="AG354" s="215"/>
    </row>
    <row r="355" spans="1:33" ht="12.75" customHeight="1" x14ac:dyDescent="0.25">
      <c r="A355" s="168"/>
      <c r="B355" s="168"/>
      <c r="C355" s="168"/>
      <c r="E355" s="214"/>
      <c r="F355" s="215"/>
      <c r="G355" s="216"/>
      <c r="H355" s="216"/>
      <c r="I355" s="216"/>
      <c r="J355" s="216"/>
      <c r="K355" s="214"/>
      <c r="L355" s="215"/>
      <c r="M355" s="214"/>
      <c r="N355" s="215"/>
      <c r="O355" s="216"/>
      <c r="P355" s="214"/>
      <c r="Q355" s="215"/>
      <c r="R355" s="216"/>
      <c r="S355" s="216"/>
      <c r="T355" s="216"/>
      <c r="U355" s="214"/>
      <c r="V355" s="215"/>
      <c r="W355" s="214"/>
      <c r="X355" s="215"/>
      <c r="Y355" s="214"/>
      <c r="Z355" s="215"/>
      <c r="AA355" s="171"/>
      <c r="AB355" s="171"/>
      <c r="AC355" s="214"/>
      <c r="AD355" s="10"/>
      <c r="AE355" s="10"/>
      <c r="AF355" s="214"/>
      <c r="AG355" s="215"/>
    </row>
    <row r="356" spans="1:33" ht="12.75" customHeight="1" x14ac:dyDescent="0.25">
      <c r="A356" s="168"/>
      <c r="B356" s="168"/>
      <c r="C356" s="168"/>
      <c r="E356" s="214"/>
      <c r="F356" s="215"/>
      <c r="G356" s="216"/>
      <c r="H356" s="216"/>
      <c r="I356" s="216"/>
      <c r="J356" s="216"/>
      <c r="K356" s="214"/>
      <c r="L356" s="215"/>
      <c r="M356" s="214"/>
      <c r="N356" s="215"/>
      <c r="O356" s="216"/>
      <c r="P356" s="214"/>
      <c r="Q356" s="215"/>
      <c r="R356" s="216"/>
      <c r="S356" s="216"/>
      <c r="T356" s="216"/>
      <c r="U356" s="214"/>
      <c r="V356" s="215"/>
      <c r="W356" s="214"/>
      <c r="X356" s="215"/>
      <c r="Y356" s="214"/>
      <c r="Z356" s="215"/>
      <c r="AA356" s="171"/>
      <c r="AB356" s="171"/>
      <c r="AC356" s="214"/>
      <c r="AD356" s="10"/>
      <c r="AE356" s="10"/>
      <c r="AF356" s="214"/>
      <c r="AG356" s="215"/>
    </row>
    <row r="357" spans="1:33" ht="12.75" customHeight="1" x14ac:dyDescent="0.25">
      <c r="A357" s="168"/>
      <c r="B357" s="168"/>
      <c r="C357" s="168"/>
      <c r="E357" s="214"/>
      <c r="F357" s="215"/>
      <c r="G357" s="216"/>
      <c r="H357" s="216"/>
      <c r="I357" s="216"/>
      <c r="J357" s="216"/>
      <c r="K357" s="214"/>
      <c r="L357" s="215"/>
      <c r="M357" s="214"/>
      <c r="N357" s="215"/>
      <c r="O357" s="216"/>
      <c r="P357" s="214"/>
      <c r="Q357" s="215"/>
      <c r="R357" s="216"/>
      <c r="S357" s="216"/>
      <c r="T357" s="216"/>
      <c r="U357" s="214"/>
      <c r="V357" s="215"/>
      <c r="W357" s="214"/>
      <c r="X357" s="215"/>
      <c r="Y357" s="214"/>
      <c r="Z357" s="215"/>
      <c r="AA357" s="171"/>
      <c r="AB357" s="171"/>
      <c r="AC357" s="214"/>
      <c r="AD357" s="10"/>
      <c r="AE357" s="10"/>
      <c r="AF357" s="214"/>
      <c r="AG357" s="215"/>
    </row>
    <row r="358" spans="1:33" ht="12.75" customHeight="1" x14ac:dyDescent="0.25">
      <c r="A358" s="168"/>
      <c r="B358" s="168"/>
      <c r="C358" s="168"/>
      <c r="E358" s="214"/>
      <c r="F358" s="215"/>
      <c r="G358" s="216"/>
      <c r="H358" s="216"/>
      <c r="I358" s="216"/>
      <c r="J358" s="216"/>
      <c r="K358" s="214"/>
      <c r="L358" s="215"/>
      <c r="M358" s="214"/>
      <c r="N358" s="215"/>
      <c r="O358" s="216"/>
      <c r="P358" s="214"/>
      <c r="Q358" s="215"/>
      <c r="R358" s="216"/>
      <c r="S358" s="216"/>
      <c r="T358" s="216"/>
      <c r="U358" s="214"/>
      <c r="V358" s="215"/>
      <c r="W358" s="214"/>
      <c r="X358" s="215"/>
      <c r="Y358" s="214"/>
      <c r="Z358" s="215"/>
      <c r="AA358" s="171"/>
      <c r="AB358" s="171"/>
      <c r="AC358" s="214"/>
      <c r="AD358" s="10"/>
      <c r="AE358" s="10"/>
      <c r="AF358" s="214"/>
      <c r="AG358" s="215"/>
    </row>
    <row r="359" spans="1:33" ht="12.75" customHeight="1" x14ac:dyDescent="0.25">
      <c r="A359" s="168"/>
      <c r="B359" s="168"/>
      <c r="C359" s="168"/>
      <c r="E359" s="214"/>
      <c r="F359" s="215"/>
      <c r="G359" s="216"/>
      <c r="H359" s="216"/>
      <c r="I359" s="216"/>
      <c r="J359" s="216"/>
      <c r="K359" s="214"/>
      <c r="L359" s="215"/>
      <c r="M359" s="214"/>
      <c r="N359" s="215"/>
      <c r="O359" s="216"/>
      <c r="P359" s="214"/>
      <c r="Q359" s="215"/>
      <c r="R359" s="216"/>
      <c r="S359" s="216"/>
      <c r="T359" s="216"/>
      <c r="U359" s="214"/>
      <c r="V359" s="215"/>
      <c r="W359" s="214"/>
      <c r="X359" s="215"/>
      <c r="Y359" s="214"/>
      <c r="Z359" s="215"/>
      <c r="AA359" s="171"/>
      <c r="AB359" s="171"/>
      <c r="AC359" s="214"/>
      <c r="AD359" s="10"/>
      <c r="AE359" s="10"/>
      <c r="AF359" s="214"/>
      <c r="AG359" s="215"/>
    </row>
    <row r="360" spans="1:33" ht="12.75" customHeight="1" x14ac:dyDescent="0.25">
      <c r="A360" s="168"/>
      <c r="B360" s="168"/>
      <c r="C360" s="168"/>
      <c r="E360" s="214"/>
      <c r="F360" s="215"/>
      <c r="G360" s="216"/>
      <c r="H360" s="216"/>
      <c r="I360" s="216"/>
      <c r="J360" s="216"/>
      <c r="K360" s="214"/>
      <c r="L360" s="215"/>
      <c r="M360" s="214"/>
      <c r="N360" s="215"/>
      <c r="O360" s="216"/>
      <c r="P360" s="214"/>
      <c r="Q360" s="215"/>
      <c r="R360" s="216"/>
      <c r="S360" s="216"/>
      <c r="T360" s="216"/>
      <c r="U360" s="214"/>
      <c r="V360" s="215"/>
      <c r="W360" s="214"/>
      <c r="X360" s="215"/>
      <c r="Y360" s="214"/>
      <c r="Z360" s="215"/>
      <c r="AA360" s="171"/>
      <c r="AB360" s="171"/>
      <c r="AC360" s="214"/>
      <c r="AD360" s="10"/>
      <c r="AE360" s="10"/>
      <c r="AF360" s="214"/>
      <c r="AG360" s="215"/>
    </row>
    <row r="361" spans="1:33" ht="12.75" customHeight="1" x14ac:dyDescent="0.25">
      <c r="A361" s="168"/>
      <c r="B361" s="168"/>
      <c r="C361" s="168"/>
      <c r="E361" s="214"/>
      <c r="F361" s="215"/>
      <c r="G361" s="216"/>
      <c r="H361" s="216"/>
      <c r="I361" s="216"/>
      <c r="J361" s="216"/>
      <c r="K361" s="214"/>
      <c r="L361" s="215"/>
      <c r="M361" s="214"/>
      <c r="N361" s="215"/>
      <c r="O361" s="216"/>
      <c r="P361" s="214"/>
      <c r="Q361" s="215"/>
      <c r="R361" s="216"/>
      <c r="S361" s="216"/>
      <c r="T361" s="216"/>
      <c r="U361" s="214"/>
      <c r="V361" s="215"/>
      <c r="W361" s="214"/>
      <c r="X361" s="215"/>
      <c r="Y361" s="214"/>
      <c r="Z361" s="215"/>
      <c r="AA361" s="171"/>
      <c r="AB361" s="171"/>
      <c r="AC361" s="214"/>
      <c r="AD361" s="10"/>
      <c r="AE361" s="10"/>
      <c r="AF361" s="214"/>
      <c r="AG361" s="215"/>
    </row>
    <row r="362" spans="1:33" ht="12.75" customHeight="1" x14ac:dyDescent="0.25">
      <c r="A362" s="168"/>
      <c r="B362" s="168"/>
      <c r="C362" s="168"/>
      <c r="E362" s="214"/>
      <c r="F362" s="215"/>
      <c r="G362" s="216"/>
      <c r="H362" s="216"/>
      <c r="I362" s="216"/>
      <c r="J362" s="216"/>
      <c r="K362" s="214"/>
      <c r="L362" s="215"/>
      <c r="M362" s="214"/>
      <c r="N362" s="215"/>
      <c r="O362" s="216"/>
      <c r="P362" s="214"/>
      <c r="Q362" s="215"/>
      <c r="R362" s="216"/>
      <c r="S362" s="216"/>
      <c r="T362" s="216"/>
      <c r="U362" s="214"/>
      <c r="V362" s="215"/>
      <c r="W362" s="214"/>
      <c r="X362" s="215"/>
      <c r="Y362" s="214"/>
      <c r="Z362" s="215"/>
      <c r="AA362" s="171"/>
      <c r="AB362" s="171"/>
      <c r="AC362" s="214"/>
      <c r="AD362" s="10"/>
      <c r="AE362" s="10"/>
      <c r="AF362" s="214"/>
      <c r="AG362" s="215"/>
    </row>
    <row r="363" spans="1:33" ht="12.75" customHeight="1" x14ac:dyDescent="0.25">
      <c r="A363" s="168"/>
      <c r="B363" s="168"/>
      <c r="C363" s="168"/>
      <c r="E363" s="214"/>
      <c r="F363" s="215"/>
      <c r="G363" s="216"/>
      <c r="H363" s="216"/>
      <c r="I363" s="216"/>
      <c r="J363" s="216"/>
      <c r="K363" s="214"/>
      <c r="L363" s="215"/>
      <c r="M363" s="214"/>
      <c r="N363" s="215"/>
      <c r="O363" s="216"/>
      <c r="P363" s="214"/>
      <c r="Q363" s="215"/>
      <c r="R363" s="216"/>
      <c r="S363" s="216"/>
      <c r="T363" s="216"/>
      <c r="U363" s="214"/>
      <c r="V363" s="215"/>
      <c r="W363" s="214"/>
      <c r="X363" s="215"/>
      <c r="Y363" s="214"/>
      <c r="Z363" s="215"/>
      <c r="AA363" s="171"/>
      <c r="AB363" s="171"/>
      <c r="AC363" s="214"/>
      <c r="AD363" s="10"/>
      <c r="AE363" s="10"/>
      <c r="AF363" s="214"/>
      <c r="AG363" s="215"/>
    </row>
    <row r="364" spans="1:33" ht="12.75" customHeight="1" x14ac:dyDescent="0.25">
      <c r="A364" s="168"/>
      <c r="B364" s="168"/>
      <c r="C364" s="168"/>
      <c r="E364" s="214"/>
      <c r="F364" s="215"/>
      <c r="G364" s="216"/>
      <c r="H364" s="216"/>
      <c r="I364" s="216"/>
      <c r="J364" s="216"/>
      <c r="K364" s="214"/>
      <c r="L364" s="215"/>
      <c r="M364" s="214"/>
      <c r="N364" s="215"/>
      <c r="O364" s="216"/>
      <c r="P364" s="214"/>
      <c r="Q364" s="215"/>
      <c r="R364" s="216"/>
      <c r="S364" s="216"/>
      <c r="T364" s="216"/>
      <c r="U364" s="214"/>
      <c r="V364" s="215"/>
      <c r="W364" s="214"/>
      <c r="X364" s="215"/>
      <c r="Y364" s="214"/>
      <c r="Z364" s="215"/>
      <c r="AA364" s="171"/>
      <c r="AB364" s="171"/>
      <c r="AC364" s="214"/>
      <c r="AD364" s="10"/>
      <c r="AE364" s="10"/>
      <c r="AF364" s="214"/>
      <c r="AG364" s="215"/>
    </row>
    <row r="365" spans="1:33" ht="12.75" customHeight="1" x14ac:dyDescent="0.25">
      <c r="A365" s="168"/>
      <c r="B365" s="168"/>
      <c r="C365" s="168"/>
      <c r="E365" s="214"/>
      <c r="F365" s="215"/>
      <c r="G365" s="216"/>
      <c r="H365" s="216"/>
      <c r="I365" s="216"/>
      <c r="J365" s="216"/>
      <c r="K365" s="214"/>
      <c r="L365" s="215"/>
      <c r="M365" s="214"/>
      <c r="N365" s="215"/>
      <c r="O365" s="216"/>
      <c r="P365" s="214"/>
      <c r="Q365" s="215"/>
      <c r="R365" s="216"/>
      <c r="S365" s="216"/>
      <c r="T365" s="216"/>
      <c r="U365" s="214"/>
      <c r="V365" s="215"/>
      <c r="W365" s="214"/>
      <c r="X365" s="215"/>
      <c r="Y365" s="214"/>
      <c r="Z365" s="215"/>
      <c r="AA365" s="171"/>
      <c r="AB365" s="171"/>
      <c r="AC365" s="214"/>
      <c r="AD365" s="10"/>
      <c r="AE365" s="10"/>
      <c r="AF365" s="214"/>
      <c r="AG365" s="215"/>
    </row>
    <row r="366" spans="1:33" ht="12.75" customHeight="1" x14ac:dyDescent="0.25">
      <c r="A366" s="168"/>
      <c r="B366" s="168"/>
      <c r="C366" s="168"/>
      <c r="E366" s="214"/>
      <c r="F366" s="215"/>
      <c r="G366" s="216"/>
      <c r="H366" s="216"/>
      <c r="I366" s="216"/>
      <c r="J366" s="216"/>
      <c r="K366" s="214"/>
      <c r="L366" s="215"/>
      <c r="M366" s="214"/>
      <c r="N366" s="215"/>
      <c r="O366" s="216"/>
      <c r="P366" s="214"/>
      <c r="Q366" s="215"/>
      <c r="R366" s="216"/>
      <c r="S366" s="216"/>
      <c r="T366" s="216"/>
      <c r="U366" s="214"/>
      <c r="V366" s="215"/>
      <c r="W366" s="214"/>
      <c r="X366" s="215"/>
      <c r="Y366" s="214"/>
      <c r="Z366" s="215"/>
      <c r="AA366" s="171"/>
      <c r="AB366" s="171"/>
      <c r="AC366" s="214"/>
      <c r="AD366" s="10"/>
      <c r="AE366" s="10"/>
      <c r="AF366" s="214"/>
      <c r="AG366" s="215"/>
    </row>
    <row r="367" spans="1:33" ht="12.75" customHeight="1" x14ac:dyDescent="0.25">
      <c r="A367" s="168"/>
      <c r="B367" s="168"/>
      <c r="C367" s="168"/>
      <c r="E367" s="214"/>
      <c r="F367" s="215"/>
      <c r="G367" s="216"/>
      <c r="H367" s="216"/>
      <c r="I367" s="216"/>
      <c r="J367" s="216"/>
      <c r="K367" s="214"/>
      <c r="L367" s="215"/>
      <c r="M367" s="214"/>
      <c r="N367" s="215"/>
      <c r="O367" s="216"/>
      <c r="P367" s="214"/>
      <c r="Q367" s="215"/>
      <c r="R367" s="216"/>
      <c r="S367" s="216"/>
      <c r="T367" s="216"/>
      <c r="U367" s="214"/>
      <c r="V367" s="215"/>
      <c r="W367" s="214"/>
      <c r="X367" s="215"/>
      <c r="Y367" s="214"/>
      <c r="Z367" s="215"/>
      <c r="AA367" s="171"/>
      <c r="AB367" s="171"/>
      <c r="AC367" s="214"/>
      <c r="AD367" s="10"/>
      <c r="AE367" s="10"/>
      <c r="AF367" s="214"/>
      <c r="AG367" s="215"/>
    </row>
    <row r="368" spans="1:33" ht="12.75" customHeight="1" x14ac:dyDescent="0.25">
      <c r="A368" s="168"/>
      <c r="B368" s="168"/>
      <c r="C368" s="168"/>
      <c r="E368" s="214"/>
      <c r="F368" s="215"/>
      <c r="G368" s="216"/>
      <c r="H368" s="216"/>
      <c r="I368" s="216"/>
      <c r="J368" s="216"/>
      <c r="K368" s="214"/>
      <c r="L368" s="215"/>
      <c r="M368" s="214"/>
      <c r="N368" s="215"/>
      <c r="O368" s="216"/>
      <c r="P368" s="214"/>
      <c r="Q368" s="215"/>
      <c r="R368" s="216"/>
      <c r="S368" s="216"/>
      <c r="T368" s="216"/>
      <c r="U368" s="214"/>
      <c r="V368" s="215"/>
      <c r="W368" s="214"/>
      <c r="X368" s="215"/>
      <c r="Y368" s="214"/>
      <c r="Z368" s="215"/>
      <c r="AA368" s="171"/>
      <c r="AB368" s="171"/>
      <c r="AC368" s="214"/>
      <c r="AD368" s="10"/>
      <c r="AE368" s="10"/>
      <c r="AF368" s="214"/>
      <c r="AG368" s="215"/>
    </row>
    <row r="369" spans="1:33" ht="12.75" customHeight="1" x14ac:dyDescent="0.25">
      <c r="A369" s="168"/>
      <c r="B369" s="168"/>
      <c r="C369" s="168"/>
      <c r="E369" s="214"/>
      <c r="F369" s="215"/>
      <c r="G369" s="216"/>
      <c r="H369" s="216"/>
      <c r="I369" s="216"/>
      <c r="J369" s="216"/>
      <c r="K369" s="214"/>
      <c r="L369" s="215"/>
      <c r="M369" s="214"/>
      <c r="N369" s="215"/>
      <c r="O369" s="216"/>
      <c r="P369" s="214"/>
      <c r="Q369" s="215"/>
      <c r="R369" s="216"/>
      <c r="S369" s="216"/>
      <c r="T369" s="216"/>
      <c r="U369" s="214"/>
      <c r="V369" s="215"/>
      <c r="W369" s="214"/>
      <c r="X369" s="215"/>
      <c r="Y369" s="214"/>
      <c r="Z369" s="215"/>
      <c r="AA369" s="171"/>
      <c r="AB369" s="171"/>
      <c r="AC369" s="214"/>
      <c r="AD369" s="10"/>
      <c r="AE369" s="10"/>
      <c r="AF369" s="214"/>
      <c r="AG369" s="215"/>
    </row>
    <row r="370" spans="1:33" ht="12.75" customHeight="1" x14ac:dyDescent="0.25">
      <c r="A370" s="168"/>
      <c r="B370" s="168"/>
      <c r="C370" s="168"/>
      <c r="E370" s="214"/>
      <c r="F370" s="215"/>
      <c r="G370" s="216"/>
      <c r="H370" s="216"/>
      <c r="I370" s="216"/>
      <c r="J370" s="216"/>
      <c r="K370" s="214"/>
      <c r="L370" s="215"/>
      <c r="M370" s="214"/>
      <c r="N370" s="215"/>
      <c r="O370" s="216"/>
      <c r="P370" s="214"/>
      <c r="Q370" s="215"/>
      <c r="R370" s="216"/>
      <c r="S370" s="216"/>
      <c r="T370" s="216"/>
      <c r="U370" s="214"/>
      <c r="V370" s="215"/>
      <c r="W370" s="214"/>
      <c r="X370" s="215"/>
      <c r="Y370" s="214"/>
      <c r="Z370" s="215"/>
      <c r="AA370" s="171"/>
      <c r="AB370" s="171"/>
      <c r="AC370" s="214"/>
      <c r="AD370" s="10"/>
      <c r="AE370" s="10"/>
      <c r="AF370" s="214"/>
      <c r="AG370" s="215"/>
    </row>
    <row r="371" spans="1:33" ht="12.75" customHeight="1" x14ac:dyDescent="0.25">
      <c r="A371" s="168"/>
      <c r="B371" s="168"/>
      <c r="C371" s="168"/>
      <c r="E371" s="214"/>
      <c r="F371" s="215"/>
      <c r="G371" s="216"/>
      <c r="H371" s="216"/>
      <c r="I371" s="216"/>
      <c r="J371" s="216"/>
      <c r="K371" s="214"/>
      <c r="L371" s="215"/>
      <c r="M371" s="214"/>
      <c r="N371" s="215"/>
      <c r="O371" s="216"/>
      <c r="P371" s="214"/>
      <c r="Q371" s="215"/>
      <c r="R371" s="216"/>
      <c r="S371" s="216"/>
      <c r="T371" s="216"/>
      <c r="U371" s="214"/>
      <c r="V371" s="215"/>
      <c r="W371" s="214"/>
      <c r="X371" s="215"/>
      <c r="Y371" s="214"/>
      <c r="Z371" s="215"/>
      <c r="AA371" s="171"/>
      <c r="AB371" s="171"/>
      <c r="AC371" s="214"/>
      <c r="AD371" s="10"/>
      <c r="AE371" s="10"/>
      <c r="AF371" s="214"/>
      <c r="AG371" s="215"/>
    </row>
    <row r="372" spans="1:33" ht="12.75" customHeight="1" x14ac:dyDescent="0.25">
      <c r="A372" s="168"/>
      <c r="B372" s="168"/>
      <c r="C372" s="168"/>
      <c r="E372" s="214"/>
      <c r="F372" s="215"/>
      <c r="G372" s="216"/>
      <c r="H372" s="216"/>
      <c r="I372" s="216"/>
      <c r="J372" s="216"/>
      <c r="K372" s="214"/>
      <c r="L372" s="215"/>
      <c r="M372" s="214"/>
      <c r="N372" s="215"/>
      <c r="O372" s="216"/>
      <c r="P372" s="214"/>
      <c r="Q372" s="215"/>
      <c r="R372" s="216"/>
      <c r="S372" s="216"/>
      <c r="T372" s="216"/>
      <c r="U372" s="214"/>
      <c r="V372" s="215"/>
      <c r="W372" s="214"/>
      <c r="X372" s="215"/>
      <c r="Y372" s="214"/>
      <c r="Z372" s="215"/>
      <c r="AA372" s="171"/>
      <c r="AB372" s="171"/>
      <c r="AC372" s="214"/>
      <c r="AD372" s="10"/>
      <c r="AE372" s="10"/>
      <c r="AF372" s="214"/>
      <c r="AG372" s="215"/>
    </row>
    <row r="373" spans="1:33" ht="12.75" customHeight="1" x14ac:dyDescent="0.25">
      <c r="A373" s="168"/>
      <c r="B373" s="168"/>
      <c r="C373" s="168"/>
      <c r="E373" s="214"/>
      <c r="F373" s="215"/>
      <c r="G373" s="216"/>
      <c r="H373" s="216"/>
      <c r="I373" s="216"/>
      <c r="J373" s="216"/>
      <c r="K373" s="214"/>
      <c r="L373" s="215"/>
      <c r="M373" s="214"/>
      <c r="N373" s="215"/>
      <c r="O373" s="216"/>
      <c r="P373" s="214"/>
      <c r="Q373" s="215"/>
      <c r="R373" s="216"/>
      <c r="S373" s="216"/>
      <c r="T373" s="216"/>
      <c r="U373" s="214"/>
      <c r="V373" s="215"/>
      <c r="W373" s="214"/>
      <c r="X373" s="215"/>
      <c r="Y373" s="214"/>
      <c r="Z373" s="215"/>
      <c r="AA373" s="171"/>
      <c r="AB373" s="171"/>
      <c r="AC373" s="214"/>
      <c r="AD373" s="10"/>
      <c r="AE373" s="10"/>
      <c r="AF373" s="214"/>
      <c r="AG373" s="215"/>
    </row>
    <row r="374" spans="1:33" ht="12.75" customHeight="1" x14ac:dyDescent="0.25">
      <c r="A374" s="168"/>
      <c r="B374" s="168"/>
      <c r="C374" s="168"/>
      <c r="E374" s="214"/>
      <c r="F374" s="215"/>
      <c r="G374" s="216"/>
      <c r="H374" s="216"/>
      <c r="I374" s="216"/>
      <c r="J374" s="216"/>
      <c r="K374" s="214"/>
      <c r="L374" s="215"/>
      <c r="M374" s="214"/>
      <c r="N374" s="215"/>
      <c r="O374" s="216"/>
      <c r="P374" s="214"/>
      <c r="Q374" s="215"/>
      <c r="R374" s="216"/>
      <c r="S374" s="216"/>
      <c r="T374" s="216"/>
      <c r="U374" s="214"/>
      <c r="V374" s="215"/>
      <c r="W374" s="214"/>
      <c r="X374" s="215"/>
      <c r="Y374" s="214"/>
      <c r="Z374" s="215"/>
      <c r="AA374" s="171"/>
      <c r="AB374" s="171"/>
      <c r="AC374" s="214"/>
      <c r="AD374" s="10"/>
      <c r="AE374" s="10"/>
      <c r="AF374" s="214"/>
      <c r="AG374" s="215"/>
    </row>
    <row r="375" spans="1:33" ht="12.75" customHeight="1" x14ac:dyDescent="0.25">
      <c r="A375" s="168"/>
      <c r="B375" s="168"/>
      <c r="C375" s="168"/>
      <c r="E375" s="214"/>
      <c r="F375" s="215"/>
      <c r="G375" s="216"/>
      <c r="H375" s="216"/>
      <c r="I375" s="216"/>
      <c r="J375" s="216"/>
      <c r="K375" s="214"/>
      <c r="L375" s="215"/>
      <c r="M375" s="214"/>
      <c r="N375" s="215"/>
      <c r="O375" s="216"/>
      <c r="P375" s="214"/>
      <c r="Q375" s="215"/>
      <c r="R375" s="216"/>
      <c r="S375" s="216"/>
      <c r="T375" s="216"/>
      <c r="U375" s="214"/>
      <c r="V375" s="215"/>
      <c r="W375" s="214"/>
      <c r="X375" s="215"/>
      <c r="Y375" s="214"/>
      <c r="Z375" s="215"/>
      <c r="AA375" s="171"/>
      <c r="AB375" s="171"/>
      <c r="AC375" s="214"/>
      <c r="AD375" s="10"/>
      <c r="AE375" s="10"/>
      <c r="AF375" s="214"/>
      <c r="AG375" s="215"/>
    </row>
    <row r="376" spans="1:33" ht="12.75" customHeight="1" x14ac:dyDescent="0.25">
      <c r="A376" s="168"/>
      <c r="B376" s="168"/>
      <c r="C376" s="168"/>
      <c r="E376" s="214"/>
      <c r="F376" s="215"/>
      <c r="G376" s="216"/>
      <c r="H376" s="216"/>
      <c r="I376" s="216"/>
      <c r="J376" s="216"/>
      <c r="K376" s="214"/>
      <c r="L376" s="215"/>
      <c r="M376" s="214"/>
      <c r="N376" s="215"/>
      <c r="O376" s="216"/>
      <c r="P376" s="214"/>
      <c r="Q376" s="215"/>
      <c r="R376" s="216"/>
      <c r="S376" s="216"/>
      <c r="T376" s="216"/>
      <c r="U376" s="214"/>
      <c r="V376" s="215"/>
      <c r="W376" s="214"/>
      <c r="X376" s="215"/>
      <c r="Y376" s="214"/>
      <c r="Z376" s="215"/>
      <c r="AA376" s="171"/>
      <c r="AB376" s="171"/>
      <c r="AC376" s="214"/>
      <c r="AD376" s="10"/>
      <c r="AE376" s="10"/>
      <c r="AF376" s="214"/>
      <c r="AG376" s="215"/>
    </row>
    <row r="377" spans="1:33" ht="12.75" customHeight="1" x14ac:dyDescent="0.25">
      <c r="A377" s="168"/>
      <c r="B377" s="168"/>
      <c r="C377" s="168"/>
      <c r="E377" s="214"/>
      <c r="F377" s="215"/>
      <c r="G377" s="216"/>
      <c r="H377" s="216"/>
      <c r="I377" s="216"/>
      <c r="J377" s="216"/>
      <c r="K377" s="214"/>
      <c r="L377" s="215"/>
      <c r="M377" s="214"/>
      <c r="N377" s="215"/>
      <c r="O377" s="216"/>
      <c r="P377" s="214"/>
      <c r="Q377" s="215"/>
      <c r="R377" s="216"/>
      <c r="S377" s="216"/>
      <c r="T377" s="216"/>
      <c r="U377" s="214"/>
      <c r="V377" s="215"/>
      <c r="W377" s="214"/>
      <c r="X377" s="215"/>
      <c r="Y377" s="214"/>
      <c r="Z377" s="215"/>
      <c r="AA377" s="171"/>
      <c r="AB377" s="171"/>
      <c r="AC377" s="214"/>
      <c r="AD377" s="10"/>
      <c r="AE377" s="10"/>
      <c r="AF377" s="214"/>
      <c r="AG377" s="215"/>
    </row>
    <row r="378" spans="1:33" ht="12.75" customHeight="1" x14ac:dyDescent="0.25">
      <c r="A378" s="168"/>
      <c r="B378" s="168"/>
      <c r="C378" s="168"/>
      <c r="E378" s="214"/>
      <c r="F378" s="215"/>
      <c r="G378" s="216"/>
      <c r="H378" s="216"/>
      <c r="I378" s="216"/>
      <c r="J378" s="216"/>
      <c r="K378" s="214"/>
      <c r="L378" s="215"/>
      <c r="M378" s="214"/>
      <c r="N378" s="215"/>
      <c r="O378" s="216"/>
      <c r="P378" s="214"/>
      <c r="Q378" s="215"/>
      <c r="R378" s="216"/>
      <c r="S378" s="216"/>
      <c r="T378" s="216"/>
      <c r="U378" s="214"/>
      <c r="V378" s="215"/>
      <c r="W378" s="214"/>
      <c r="X378" s="215"/>
      <c r="Y378" s="214"/>
      <c r="Z378" s="215"/>
      <c r="AA378" s="171"/>
      <c r="AB378" s="171"/>
      <c r="AC378" s="214"/>
      <c r="AD378" s="10"/>
      <c r="AE378" s="10"/>
      <c r="AF378" s="214"/>
      <c r="AG378" s="215"/>
    </row>
    <row r="379" spans="1:33" ht="12.75" customHeight="1" x14ac:dyDescent="0.25">
      <c r="A379" s="168"/>
      <c r="B379" s="168"/>
      <c r="C379" s="168"/>
      <c r="E379" s="214"/>
      <c r="F379" s="215"/>
      <c r="G379" s="216"/>
      <c r="H379" s="216"/>
      <c r="I379" s="216"/>
      <c r="J379" s="216"/>
      <c r="K379" s="214"/>
      <c r="L379" s="215"/>
      <c r="M379" s="214"/>
      <c r="N379" s="215"/>
      <c r="O379" s="216"/>
      <c r="P379" s="214"/>
      <c r="Q379" s="215"/>
      <c r="R379" s="216"/>
      <c r="S379" s="216"/>
      <c r="T379" s="216"/>
      <c r="U379" s="214"/>
      <c r="V379" s="215"/>
      <c r="W379" s="214"/>
      <c r="X379" s="215"/>
      <c r="Y379" s="214"/>
      <c r="Z379" s="215"/>
      <c r="AA379" s="171"/>
      <c r="AB379" s="171"/>
      <c r="AC379" s="214"/>
      <c r="AD379" s="10"/>
      <c r="AE379" s="10"/>
      <c r="AF379" s="214"/>
      <c r="AG379" s="215"/>
    </row>
    <row r="380" spans="1:33" ht="12.75" customHeight="1" x14ac:dyDescent="0.25">
      <c r="A380" s="168"/>
      <c r="B380" s="168"/>
      <c r="C380" s="168"/>
      <c r="E380" s="214"/>
      <c r="F380" s="215"/>
      <c r="G380" s="216"/>
      <c r="H380" s="216"/>
      <c r="I380" s="216"/>
      <c r="J380" s="216"/>
      <c r="K380" s="214"/>
      <c r="L380" s="215"/>
      <c r="M380" s="214"/>
      <c r="N380" s="215"/>
      <c r="O380" s="216"/>
      <c r="P380" s="214"/>
      <c r="Q380" s="215"/>
      <c r="R380" s="216"/>
      <c r="S380" s="216"/>
      <c r="T380" s="216"/>
      <c r="U380" s="214"/>
      <c r="V380" s="215"/>
      <c r="W380" s="214"/>
      <c r="X380" s="215"/>
      <c r="Y380" s="214"/>
      <c r="Z380" s="215"/>
      <c r="AA380" s="171"/>
      <c r="AB380" s="171"/>
      <c r="AC380" s="214"/>
      <c r="AD380" s="10"/>
      <c r="AE380" s="10"/>
      <c r="AF380" s="214"/>
      <c r="AG380" s="215"/>
    </row>
    <row r="381" spans="1:33" ht="12.75" customHeight="1" x14ac:dyDescent="0.25">
      <c r="A381" s="168"/>
      <c r="B381" s="168"/>
      <c r="C381" s="168"/>
      <c r="E381" s="214"/>
      <c r="F381" s="215"/>
      <c r="G381" s="216"/>
      <c r="H381" s="216"/>
      <c r="I381" s="216"/>
      <c r="J381" s="216"/>
      <c r="K381" s="214"/>
      <c r="L381" s="215"/>
      <c r="M381" s="214"/>
      <c r="N381" s="215"/>
      <c r="O381" s="216"/>
      <c r="P381" s="214"/>
      <c r="Q381" s="215"/>
      <c r="R381" s="216"/>
      <c r="S381" s="216"/>
      <c r="T381" s="216"/>
      <c r="U381" s="214"/>
      <c r="V381" s="215"/>
      <c r="W381" s="214"/>
      <c r="X381" s="215"/>
      <c r="Y381" s="214"/>
      <c r="Z381" s="215"/>
      <c r="AA381" s="171"/>
      <c r="AB381" s="171"/>
      <c r="AC381" s="214"/>
      <c r="AD381" s="10"/>
      <c r="AE381" s="10"/>
      <c r="AF381" s="214"/>
      <c r="AG381" s="215"/>
    </row>
    <row r="382" spans="1:33" ht="12.75" customHeight="1" x14ac:dyDescent="0.25">
      <c r="A382" s="168"/>
      <c r="B382" s="168"/>
      <c r="C382" s="168"/>
      <c r="E382" s="214"/>
      <c r="F382" s="215"/>
      <c r="G382" s="216"/>
      <c r="H382" s="216"/>
      <c r="I382" s="216"/>
      <c r="J382" s="216"/>
      <c r="K382" s="214"/>
      <c r="L382" s="215"/>
      <c r="M382" s="214"/>
      <c r="N382" s="215"/>
      <c r="O382" s="216"/>
      <c r="P382" s="214"/>
      <c r="Q382" s="215"/>
      <c r="R382" s="216"/>
      <c r="S382" s="216"/>
      <c r="T382" s="216"/>
      <c r="U382" s="214"/>
      <c r="V382" s="215"/>
      <c r="W382" s="214"/>
      <c r="X382" s="215"/>
      <c r="Y382" s="214"/>
      <c r="Z382" s="215"/>
      <c r="AA382" s="171"/>
      <c r="AB382" s="171"/>
      <c r="AC382" s="214"/>
      <c r="AD382" s="10"/>
      <c r="AE382" s="10"/>
      <c r="AF382" s="214"/>
      <c r="AG382" s="215"/>
    </row>
    <row r="383" spans="1:33" ht="12.75" customHeight="1" x14ac:dyDescent="0.25">
      <c r="A383" s="168"/>
      <c r="B383" s="168"/>
      <c r="C383" s="168"/>
      <c r="E383" s="214"/>
      <c r="F383" s="215"/>
      <c r="G383" s="216"/>
      <c r="H383" s="216"/>
      <c r="I383" s="216"/>
      <c r="J383" s="216"/>
      <c r="K383" s="214"/>
      <c r="L383" s="215"/>
      <c r="M383" s="214"/>
      <c r="N383" s="215"/>
      <c r="O383" s="216"/>
      <c r="P383" s="214"/>
      <c r="Q383" s="215"/>
      <c r="R383" s="216"/>
      <c r="S383" s="216"/>
      <c r="T383" s="216"/>
      <c r="U383" s="214"/>
      <c r="V383" s="215"/>
      <c r="W383" s="214"/>
      <c r="X383" s="215"/>
      <c r="Y383" s="214"/>
      <c r="Z383" s="215"/>
      <c r="AA383" s="171"/>
      <c r="AB383" s="171"/>
      <c r="AC383" s="214"/>
      <c r="AD383" s="10"/>
      <c r="AE383" s="10"/>
      <c r="AF383" s="214"/>
      <c r="AG383" s="215"/>
    </row>
    <row r="384" spans="1:33" ht="12.75" customHeight="1" x14ac:dyDescent="0.25">
      <c r="A384" s="168"/>
      <c r="B384" s="168"/>
      <c r="C384" s="168"/>
      <c r="E384" s="214"/>
      <c r="F384" s="215"/>
      <c r="G384" s="216"/>
      <c r="H384" s="216"/>
      <c r="I384" s="216"/>
      <c r="J384" s="216"/>
      <c r="K384" s="214"/>
      <c r="L384" s="215"/>
      <c r="M384" s="214"/>
      <c r="N384" s="215"/>
      <c r="O384" s="216"/>
      <c r="P384" s="214"/>
      <c r="Q384" s="215"/>
      <c r="R384" s="216"/>
      <c r="S384" s="216"/>
      <c r="T384" s="216"/>
      <c r="U384" s="214"/>
      <c r="V384" s="215"/>
      <c r="W384" s="214"/>
      <c r="X384" s="215"/>
      <c r="Y384" s="214"/>
      <c r="Z384" s="215"/>
      <c r="AA384" s="171"/>
      <c r="AB384" s="171"/>
      <c r="AC384" s="214"/>
      <c r="AD384" s="10"/>
      <c r="AE384" s="10"/>
      <c r="AF384" s="214"/>
      <c r="AG384" s="215"/>
    </row>
    <row r="385" spans="1:33" ht="12.75" customHeight="1" x14ac:dyDescent="0.25">
      <c r="A385" s="168"/>
      <c r="B385" s="168"/>
      <c r="C385" s="168"/>
      <c r="E385" s="214"/>
      <c r="F385" s="215"/>
      <c r="G385" s="216"/>
      <c r="H385" s="216"/>
      <c r="I385" s="216"/>
      <c r="J385" s="216"/>
      <c r="K385" s="214"/>
      <c r="L385" s="215"/>
      <c r="M385" s="214"/>
      <c r="N385" s="215"/>
      <c r="O385" s="216"/>
      <c r="P385" s="214"/>
      <c r="Q385" s="215"/>
      <c r="R385" s="216"/>
      <c r="S385" s="216"/>
      <c r="T385" s="216"/>
      <c r="U385" s="214"/>
      <c r="V385" s="215"/>
      <c r="W385" s="214"/>
      <c r="X385" s="215"/>
      <c r="Y385" s="214"/>
      <c r="Z385" s="215"/>
      <c r="AA385" s="171"/>
      <c r="AB385" s="171"/>
      <c r="AC385" s="214"/>
      <c r="AD385" s="10"/>
      <c r="AE385" s="10"/>
      <c r="AF385" s="214"/>
      <c r="AG385" s="215"/>
    </row>
    <row r="386" spans="1:33" ht="12.75" customHeight="1" x14ac:dyDescent="0.25">
      <c r="A386" s="168"/>
      <c r="B386" s="168"/>
      <c r="C386" s="168"/>
      <c r="E386" s="214"/>
      <c r="F386" s="215"/>
      <c r="G386" s="216"/>
      <c r="H386" s="216"/>
      <c r="I386" s="216"/>
      <c r="J386" s="216"/>
      <c r="K386" s="214"/>
      <c r="L386" s="215"/>
      <c r="M386" s="214"/>
      <c r="N386" s="215"/>
      <c r="O386" s="216"/>
      <c r="P386" s="214"/>
      <c r="Q386" s="215"/>
      <c r="R386" s="216"/>
      <c r="S386" s="216"/>
      <c r="T386" s="216"/>
      <c r="U386" s="214"/>
      <c r="V386" s="215"/>
      <c r="W386" s="214"/>
      <c r="X386" s="215"/>
      <c r="Y386" s="214"/>
      <c r="Z386" s="215"/>
      <c r="AA386" s="171"/>
      <c r="AB386" s="171"/>
      <c r="AC386" s="214"/>
      <c r="AD386" s="10"/>
      <c r="AE386" s="10"/>
      <c r="AF386" s="214"/>
      <c r="AG386" s="215"/>
    </row>
    <row r="387" spans="1:33" ht="12.75" customHeight="1" x14ac:dyDescent="0.25">
      <c r="A387" s="168"/>
      <c r="B387" s="168"/>
      <c r="C387" s="168"/>
      <c r="E387" s="214"/>
      <c r="F387" s="215"/>
      <c r="G387" s="216"/>
      <c r="H387" s="216"/>
      <c r="I387" s="216"/>
      <c r="J387" s="216"/>
      <c r="K387" s="214"/>
      <c r="L387" s="215"/>
      <c r="M387" s="214"/>
      <c r="N387" s="215"/>
      <c r="O387" s="216"/>
      <c r="P387" s="214"/>
      <c r="Q387" s="215"/>
      <c r="R387" s="216"/>
      <c r="S387" s="216"/>
      <c r="T387" s="216"/>
      <c r="U387" s="214"/>
      <c r="V387" s="215"/>
      <c r="W387" s="214"/>
      <c r="X387" s="215"/>
      <c r="Y387" s="214"/>
      <c r="Z387" s="215"/>
      <c r="AA387" s="171"/>
      <c r="AB387" s="171"/>
      <c r="AC387" s="214"/>
      <c r="AD387" s="10"/>
      <c r="AE387" s="10"/>
      <c r="AF387" s="214"/>
      <c r="AG387" s="215"/>
    </row>
    <row r="388" spans="1:33" ht="12.75" customHeight="1" x14ac:dyDescent="0.25">
      <c r="A388" s="168"/>
      <c r="B388" s="168"/>
      <c r="C388" s="168"/>
      <c r="E388" s="214"/>
      <c r="F388" s="215"/>
      <c r="G388" s="216"/>
      <c r="H388" s="216"/>
      <c r="I388" s="216"/>
      <c r="J388" s="216"/>
      <c r="K388" s="214"/>
      <c r="L388" s="215"/>
      <c r="M388" s="214"/>
      <c r="N388" s="215"/>
      <c r="O388" s="216"/>
      <c r="P388" s="214"/>
      <c r="Q388" s="215"/>
      <c r="R388" s="216"/>
      <c r="S388" s="216"/>
      <c r="T388" s="216"/>
      <c r="U388" s="214"/>
      <c r="V388" s="215"/>
      <c r="W388" s="214"/>
      <c r="X388" s="215"/>
      <c r="Y388" s="214"/>
      <c r="Z388" s="215"/>
      <c r="AA388" s="171"/>
      <c r="AB388" s="171"/>
      <c r="AC388" s="214"/>
      <c r="AD388" s="10"/>
      <c r="AE388" s="10"/>
      <c r="AF388" s="214"/>
      <c r="AG388" s="215"/>
    </row>
    <row r="389" spans="1:33" ht="12.75" customHeight="1" x14ac:dyDescent="0.25">
      <c r="A389" s="168"/>
      <c r="B389" s="168"/>
      <c r="C389" s="168"/>
      <c r="E389" s="214"/>
      <c r="F389" s="215"/>
      <c r="G389" s="216"/>
      <c r="H389" s="216"/>
      <c r="I389" s="216"/>
      <c r="J389" s="216"/>
      <c r="K389" s="214"/>
      <c r="L389" s="215"/>
      <c r="M389" s="214"/>
      <c r="N389" s="215"/>
      <c r="O389" s="216"/>
      <c r="P389" s="214"/>
      <c r="Q389" s="215"/>
      <c r="R389" s="216"/>
      <c r="S389" s="216"/>
      <c r="T389" s="216"/>
      <c r="U389" s="214"/>
      <c r="V389" s="215"/>
      <c r="W389" s="214"/>
      <c r="X389" s="215"/>
      <c r="Y389" s="214"/>
      <c r="Z389" s="215"/>
      <c r="AA389" s="171"/>
      <c r="AB389" s="171"/>
      <c r="AC389" s="214"/>
      <c r="AD389" s="10"/>
      <c r="AE389" s="10"/>
      <c r="AF389" s="214"/>
      <c r="AG389" s="215"/>
    </row>
    <row r="390" spans="1:33" ht="12.75" customHeight="1" x14ac:dyDescent="0.25">
      <c r="A390" s="168"/>
      <c r="B390" s="168"/>
      <c r="C390" s="168"/>
      <c r="E390" s="214"/>
      <c r="F390" s="215"/>
      <c r="G390" s="216"/>
      <c r="H390" s="216"/>
      <c r="I390" s="216"/>
      <c r="J390" s="216"/>
      <c r="K390" s="214"/>
      <c r="L390" s="215"/>
      <c r="M390" s="214"/>
      <c r="N390" s="215"/>
      <c r="O390" s="216"/>
      <c r="P390" s="214"/>
      <c r="Q390" s="215"/>
      <c r="R390" s="216"/>
      <c r="S390" s="216"/>
      <c r="T390" s="216"/>
      <c r="U390" s="214"/>
      <c r="V390" s="215"/>
      <c r="W390" s="214"/>
      <c r="X390" s="215"/>
      <c r="Y390" s="214"/>
      <c r="Z390" s="215"/>
      <c r="AA390" s="171"/>
      <c r="AB390" s="171"/>
      <c r="AC390" s="214"/>
      <c r="AD390" s="10"/>
      <c r="AE390" s="10"/>
      <c r="AF390" s="214"/>
      <c r="AG390" s="215"/>
    </row>
    <row r="391" spans="1:33" ht="12.75" customHeight="1" x14ac:dyDescent="0.25">
      <c r="A391" s="168"/>
      <c r="B391" s="168"/>
      <c r="C391" s="168"/>
      <c r="E391" s="214"/>
      <c r="F391" s="215"/>
      <c r="G391" s="216"/>
      <c r="H391" s="216"/>
      <c r="I391" s="216"/>
      <c r="J391" s="216"/>
      <c r="K391" s="214"/>
      <c r="L391" s="215"/>
      <c r="M391" s="214"/>
      <c r="N391" s="215"/>
      <c r="O391" s="216"/>
      <c r="P391" s="214"/>
      <c r="Q391" s="215"/>
      <c r="R391" s="216"/>
      <c r="S391" s="216"/>
      <c r="T391" s="216"/>
      <c r="U391" s="214"/>
      <c r="V391" s="215"/>
      <c r="W391" s="214"/>
      <c r="X391" s="215"/>
      <c r="Y391" s="214"/>
      <c r="Z391" s="215"/>
      <c r="AA391" s="171"/>
      <c r="AB391" s="171"/>
      <c r="AC391" s="214"/>
      <c r="AD391" s="10"/>
      <c r="AE391" s="10"/>
      <c r="AF391" s="214"/>
      <c r="AG391" s="215"/>
    </row>
    <row r="392" spans="1:33" ht="12.75" customHeight="1" x14ac:dyDescent="0.25">
      <c r="A392" s="168"/>
      <c r="B392" s="168"/>
      <c r="C392" s="168"/>
      <c r="E392" s="214"/>
      <c r="F392" s="215"/>
      <c r="G392" s="216"/>
      <c r="H392" s="216"/>
      <c r="I392" s="216"/>
      <c r="J392" s="216"/>
      <c r="K392" s="214"/>
      <c r="L392" s="215"/>
      <c r="M392" s="214"/>
      <c r="N392" s="215"/>
      <c r="O392" s="216"/>
      <c r="P392" s="214"/>
      <c r="Q392" s="215"/>
      <c r="R392" s="216"/>
      <c r="S392" s="216"/>
      <c r="T392" s="216"/>
      <c r="U392" s="214"/>
      <c r="V392" s="215"/>
      <c r="W392" s="214"/>
      <c r="X392" s="215"/>
      <c r="Y392" s="214"/>
      <c r="Z392" s="215"/>
      <c r="AA392" s="171"/>
      <c r="AB392" s="171"/>
      <c r="AC392" s="214"/>
      <c r="AD392" s="10"/>
      <c r="AE392" s="10"/>
      <c r="AF392" s="214"/>
      <c r="AG392" s="215"/>
    </row>
    <row r="393" spans="1:33" ht="12.75" customHeight="1" x14ac:dyDescent="0.25">
      <c r="A393" s="168"/>
      <c r="B393" s="168"/>
      <c r="C393" s="168"/>
      <c r="E393" s="214"/>
      <c r="F393" s="215"/>
      <c r="G393" s="216"/>
      <c r="H393" s="216"/>
      <c r="I393" s="216"/>
      <c r="J393" s="216"/>
      <c r="K393" s="214"/>
      <c r="L393" s="215"/>
      <c r="M393" s="214"/>
      <c r="N393" s="215"/>
      <c r="O393" s="216"/>
      <c r="P393" s="214"/>
      <c r="Q393" s="215"/>
      <c r="R393" s="216"/>
      <c r="S393" s="216"/>
      <c r="T393" s="216"/>
      <c r="U393" s="214"/>
      <c r="V393" s="215"/>
      <c r="W393" s="214"/>
      <c r="X393" s="215"/>
      <c r="Y393" s="214"/>
      <c r="Z393" s="215"/>
      <c r="AA393" s="171"/>
      <c r="AB393" s="171"/>
      <c r="AC393" s="214"/>
      <c r="AD393" s="10"/>
      <c r="AE393" s="10"/>
      <c r="AF393" s="214"/>
      <c r="AG393" s="215"/>
    </row>
    <row r="394" spans="1:33" ht="12.75" customHeight="1" x14ac:dyDescent="0.25">
      <c r="A394" s="168"/>
      <c r="B394" s="168"/>
      <c r="C394" s="168"/>
      <c r="E394" s="214"/>
      <c r="F394" s="215"/>
      <c r="G394" s="216"/>
      <c r="H394" s="216"/>
      <c r="I394" s="216"/>
      <c r="J394" s="216"/>
      <c r="K394" s="214"/>
      <c r="L394" s="215"/>
      <c r="M394" s="214"/>
      <c r="N394" s="215"/>
      <c r="O394" s="216"/>
      <c r="P394" s="214"/>
      <c r="Q394" s="215"/>
      <c r="R394" s="216"/>
      <c r="S394" s="216"/>
      <c r="T394" s="216"/>
      <c r="U394" s="214"/>
      <c r="V394" s="215"/>
      <c r="W394" s="214"/>
      <c r="X394" s="215"/>
      <c r="Y394" s="214"/>
      <c r="Z394" s="215"/>
      <c r="AA394" s="171"/>
      <c r="AB394" s="171"/>
      <c r="AC394" s="214"/>
      <c r="AD394" s="10"/>
      <c r="AE394" s="10"/>
      <c r="AF394" s="214"/>
      <c r="AG394" s="215"/>
    </row>
    <row r="395" spans="1:33" ht="12.75" customHeight="1" x14ac:dyDescent="0.25">
      <c r="A395" s="168"/>
      <c r="B395" s="168"/>
      <c r="C395" s="168"/>
      <c r="E395" s="214"/>
      <c r="F395" s="215"/>
      <c r="G395" s="216"/>
      <c r="H395" s="216"/>
      <c r="I395" s="216"/>
      <c r="J395" s="216"/>
      <c r="K395" s="214"/>
      <c r="L395" s="215"/>
      <c r="M395" s="214"/>
      <c r="N395" s="215"/>
      <c r="O395" s="216"/>
      <c r="P395" s="214"/>
      <c r="Q395" s="215"/>
      <c r="R395" s="216"/>
      <c r="S395" s="216"/>
      <c r="T395" s="216"/>
      <c r="U395" s="214"/>
      <c r="V395" s="215"/>
      <c r="W395" s="214"/>
      <c r="X395" s="215"/>
      <c r="Y395" s="214"/>
      <c r="Z395" s="215"/>
      <c r="AA395" s="171"/>
      <c r="AB395" s="171"/>
      <c r="AC395" s="214"/>
      <c r="AD395" s="10"/>
      <c r="AE395" s="10"/>
      <c r="AF395" s="214"/>
      <c r="AG395" s="215"/>
    </row>
    <row r="396" spans="1:33" ht="12.75" customHeight="1" x14ac:dyDescent="0.25">
      <c r="A396" s="168"/>
      <c r="B396" s="168"/>
      <c r="C396" s="168"/>
      <c r="E396" s="214"/>
      <c r="F396" s="215"/>
      <c r="G396" s="216"/>
      <c r="H396" s="216"/>
      <c r="I396" s="216"/>
      <c r="J396" s="216"/>
      <c r="K396" s="214"/>
      <c r="L396" s="215"/>
      <c r="M396" s="214"/>
      <c r="N396" s="215"/>
      <c r="O396" s="216"/>
      <c r="P396" s="214"/>
      <c r="Q396" s="215"/>
      <c r="R396" s="216"/>
      <c r="S396" s="216"/>
      <c r="T396" s="216"/>
      <c r="U396" s="214"/>
      <c r="V396" s="215"/>
      <c r="W396" s="214"/>
      <c r="X396" s="215"/>
      <c r="Y396" s="214"/>
      <c r="Z396" s="215"/>
      <c r="AA396" s="171"/>
      <c r="AB396" s="171"/>
      <c r="AC396" s="214"/>
      <c r="AD396" s="10"/>
      <c r="AE396" s="10"/>
      <c r="AF396" s="214"/>
      <c r="AG396" s="215"/>
    </row>
    <row r="397" spans="1:33" ht="12.75" customHeight="1" x14ac:dyDescent="0.25">
      <c r="A397" s="168"/>
      <c r="B397" s="168"/>
      <c r="C397" s="168"/>
      <c r="E397" s="214"/>
      <c r="F397" s="215"/>
      <c r="G397" s="216"/>
      <c r="H397" s="216"/>
      <c r="I397" s="216"/>
      <c r="J397" s="216"/>
      <c r="K397" s="214"/>
      <c r="L397" s="215"/>
      <c r="M397" s="214"/>
      <c r="N397" s="215"/>
      <c r="O397" s="216"/>
      <c r="P397" s="214"/>
      <c r="Q397" s="215"/>
      <c r="R397" s="216"/>
      <c r="S397" s="216"/>
      <c r="T397" s="216"/>
      <c r="U397" s="214"/>
      <c r="V397" s="215"/>
      <c r="W397" s="214"/>
      <c r="X397" s="215"/>
      <c r="Y397" s="214"/>
      <c r="Z397" s="215"/>
      <c r="AA397" s="171"/>
      <c r="AB397" s="171"/>
      <c r="AC397" s="214"/>
      <c r="AD397" s="10"/>
      <c r="AE397" s="10"/>
      <c r="AF397" s="214"/>
      <c r="AG397" s="215"/>
    </row>
    <row r="398" spans="1:33" ht="12.75" customHeight="1" x14ac:dyDescent="0.25">
      <c r="A398" s="168"/>
      <c r="B398" s="168"/>
      <c r="C398" s="168"/>
      <c r="E398" s="214"/>
      <c r="F398" s="215"/>
      <c r="G398" s="216"/>
      <c r="H398" s="216"/>
      <c r="I398" s="216"/>
      <c r="J398" s="216"/>
      <c r="K398" s="214"/>
      <c r="L398" s="215"/>
      <c r="M398" s="214"/>
      <c r="N398" s="215"/>
      <c r="O398" s="216"/>
      <c r="P398" s="214"/>
      <c r="Q398" s="215"/>
      <c r="R398" s="216"/>
      <c r="S398" s="216"/>
      <c r="T398" s="216"/>
      <c r="U398" s="214"/>
      <c r="V398" s="215"/>
      <c r="W398" s="214"/>
      <c r="X398" s="215"/>
      <c r="Y398" s="214"/>
      <c r="Z398" s="215"/>
      <c r="AA398" s="171"/>
      <c r="AB398" s="171"/>
      <c r="AC398" s="214"/>
      <c r="AD398" s="10"/>
      <c r="AE398" s="10"/>
      <c r="AF398" s="214"/>
      <c r="AG398" s="215"/>
    </row>
    <row r="399" spans="1:33" ht="12.75" customHeight="1" x14ac:dyDescent="0.25">
      <c r="A399" s="168"/>
      <c r="B399" s="168"/>
      <c r="C399" s="168"/>
      <c r="E399" s="214"/>
      <c r="F399" s="215"/>
      <c r="G399" s="216"/>
      <c r="H399" s="216"/>
      <c r="I399" s="216"/>
      <c r="J399" s="216"/>
      <c r="K399" s="214"/>
      <c r="L399" s="215"/>
      <c r="M399" s="214"/>
      <c r="N399" s="215"/>
      <c r="O399" s="216"/>
      <c r="P399" s="214"/>
      <c r="Q399" s="215"/>
      <c r="R399" s="216"/>
      <c r="S399" s="216"/>
      <c r="T399" s="216"/>
      <c r="U399" s="214"/>
      <c r="V399" s="215"/>
      <c r="W399" s="214"/>
      <c r="X399" s="215"/>
      <c r="Y399" s="214"/>
      <c r="Z399" s="215"/>
      <c r="AA399" s="171"/>
      <c r="AB399" s="171"/>
      <c r="AC399" s="214"/>
      <c r="AD399" s="10"/>
      <c r="AE399" s="10"/>
      <c r="AF399" s="214"/>
      <c r="AG399" s="215"/>
    </row>
    <row r="400" spans="1:33" ht="12.75" customHeight="1" x14ac:dyDescent="0.25">
      <c r="A400" s="168"/>
      <c r="B400" s="168"/>
      <c r="C400" s="168"/>
      <c r="E400" s="214"/>
      <c r="F400" s="215"/>
      <c r="G400" s="216"/>
      <c r="H400" s="216"/>
      <c r="I400" s="216"/>
      <c r="J400" s="216"/>
      <c r="K400" s="214"/>
      <c r="L400" s="215"/>
      <c r="M400" s="214"/>
      <c r="N400" s="215"/>
      <c r="O400" s="216"/>
      <c r="P400" s="214"/>
      <c r="Q400" s="215"/>
      <c r="R400" s="216"/>
      <c r="S400" s="216"/>
      <c r="T400" s="216"/>
      <c r="U400" s="214"/>
      <c r="V400" s="215"/>
      <c r="W400" s="214"/>
      <c r="X400" s="215"/>
      <c r="Y400" s="214"/>
      <c r="Z400" s="215"/>
      <c r="AA400" s="171"/>
      <c r="AB400" s="171"/>
      <c r="AC400" s="214"/>
      <c r="AD400" s="10"/>
      <c r="AE400" s="10"/>
      <c r="AF400" s="214"/>
      <c r="AG400" s="215"/>
    </row>
    <row r="401" spans="1:33" ht="12.75" customHeight="1" x14ac:dyDescent="0.25">
      <c r="A401" s="168"/>
      <c r="B401" s="168"/>
      <c r="C401" s="168"/>
      <c r="E401" s="214"/>
      <c r="F401" s="215"/>
      <c r="G401" s="216"/>
      <c r="H401" s="216"/>
      <c r="I401" s="216"/>
      <c r="J401" s="216"/>
      <c r="K401" s="214"/>
      <c r="L401" s="215"/>
      <c r="M401" s="214"/>
      <c r="N401" s="215"/>
      <c r="O401" s="216"/>
      <c r="P401" s="214"/>
      <c r="Q401" s="215"/>
      <c r="R401" s="216"/>
      <c r="S401" s="216"/>
      <c r="T401" s="216"/>
      <c r="U401" s="214"/>
      <c r="V401" s="215"/>
      <c r="W401" s="214"/>
      <c r="X401" s="215"/>
      <c r="Y401" s="214"/>
      <c r="Z401" s="215"/>
      <c r="AA401" s="171"/>
      <c r="AB401" s="171"/>
      <c r="AC401" s="214"/>
      <c r="AD401" s="10"/>
      <c r="AE401" s="10"/>
      <c r="AF401" s="214"/>
      <c r="AG401" s="215"/>
    </row>
    <row r="402" spans="1:33" ht="12.75" customHeight="1" x14ac:dyDescent="0.25">
      <c r="A402" s="168"/>
      <c r="B402" s="168"/>
      <c r="C402" s="168"/>
      <c r="E402" s="214"/>
      <c r="F402" s="215"/>
      <c r="G402" s="216"/>
      <c r="H402" s="216"/>
      <c r="I402" s="216"/>
      <c r="J402" s="216"/>
      <c r="K402" s="214"/>
      <c r="L402" s="215"/>
      <c r="M402" s="214"/>
      <c r="N402" s="215"/>
      <c r="O402" s="216"/>
      <c r="P402" s="214"/>
      <c r="Q402" s="215"/>
      <c r="R402" s="216"/>
      <c r="S402" s="216"/>
      <c r="T402" s="216"/>
      <c r="U402" s="214"/>
      <c r="V402" s="215"/>
      <c r="W402" s="214"/>
      <c r="X402" s="215"/>
      <c r="Y402" s="214"/>
      <c r="Z402" s="215"/>
      <c r="AA402" s="171"/>
      <c r="AB402" s="171"/>
      <c r="AC402" s="214"/>
      <c r="AD402" s="10"/>
      <c r="AE402" s="10"/>
      <c r="AF402" s="214"/>
      <c r="AG402" s="215"/>
    </row>
    <row r="403" spans="1:33" ht="12.75" customHeight="1" x14ac:dyDescent="0.25">
      <c r="A403" s="168"/>
      <c r="B403" s="168"/>
      <c r="C403" s="168"/>
      <c r="E403" s="214"/>
      <c r="F403" s="215"/>
      <c r="G403" s="216"/>
      <c r="H403" s="216"/>
      <c r="I403" s="216"/>
      <c r="J403" s="216"/>
      <c r="K403" s="214"/>
      <c r="L403" s="215"/>
      <c r="M403" s="214"/>
      <c r="N403" s="215"/>
      <c r="O403" s="216"/>
      <c r="P403" s="214"/>
      <c r="Q403" s="215"/>
      <c r="R403" s="216"/>
      <c r="S403" s="216"/>
      <c r="T403" s="216"/>
      <c r="U403" s="214"/>
      <c r="V403" s="215"/>
      <c r="W403" s="214"/>
      <c r="X403" s="215"/>
      <c r="Y403" s="214"/>
      <c r="Z403" s="215"/>
      <c r="AA403" s="171"/>
      <c r="AB403" s="171"/>
      <c r="AC403" s="214"/>
      <c r="AD403" s="10"/>
      <c r="AE403" s="10"/>
      <c r="AF403" s="214"/>
      <c r="AG403" s="215"/>
    </row>
    <row r="404" spans="1:33" ht="12.75" customHeight="1" x14ac:dyDescent="0.25">
      <c r="A404" s="168"/>
      <c r="B404" s="168"/>
      <c r="C404" s="168"/>
      <c r="E404" s="214"/>
      <c r="F404" s="215"/>
      <c r="G404" s="216"/>
      <c r="H404" s="216"/>
      <c r="I404" s="216"/>
      <c r="J404" s="216"/>
      <c r="K404" s="214"/>
      <c r="L404" s="215"/>
      <c r="M404" s="214"/>
      <c r="N404" s="215"/>
      <c r="O404" s="216"/>
      <c r="P404" s="214"/>
      <c r="Q404" s="215"/>
      <c r="R404" s="216"/>
      <c r="S404" s="216"/>
      <c r="T404" s="216"/>
      <c r="U404" s="214"/>
      <c r="V404" s="215"/>
      <c r="W404" s="214"/>
      <c r="X404" s="215"/>
      <c r="Y404" s="214"/>
      <c r="Z404" s="215"/>
      <c r="AA404" s="171"/>
      <c r="AB404" s="171"/>
      <c r="AC404" s="214"/>
      <c r="AD404" s="10"/>
      <c r="AE404" s="10"/>
      <c r="AF404" s="214"/>
      <c r="AG404" s="215"/>
    </row>
    <row r="405" spans="1:33" ht="12.75" customHeight="1" x14ac:dyDescent="0.25">
      <c r="A405" s="168"/>
      <c r="B405" s="168"/>
      <c r="C405" s="168"/>
      <c r="E405" s="214"/>
      <c r="F405" s="215"/>
      <c r="G405" s="216"/>
      <c r="H405" s="216"/>
      <c r="I405" s="216"/>
      <c r="J405" s="216"/>
      <c r="K405" s="214"/>
      <c r="L405" s="215"/>
      <c r="M405" s="214"/>
      <c r="N405" s="215"/>
      <c r="O405" s="216"/>
      <c r="P405" s="214"/>
      <c r="Q405" s="215"/>
      <c r="R405" s="216"/>
      <c r="S405" s="216"/>
      <c r="T405" s="216"/>
      <c r="U405" s="214"/>
      <c r="V405" s="215"/>
      <c r="W405" s="214"/>
      <c r="X405" s="215"/>
      <c r="Y405" s="214"/>
      <c r="Z405" s="215"/>
      <c r="AA405" s="171"/>
      <c r="AB405" s="171"/>
      <c r="AC405" s="214"/>
      <c r="AD405" s="10"/>
      <c r="AE405" s="10"/>
      <c r="AF405" s="214"/>
      <c r="AG405" s="215"/>
    </row>
    <row r="406" spans="1:33" ht="12.75" customHeight="1" x14ac:dyDescent="0.25">
      <c r="A406" s="168"/>
      <c r="B406" s="168"/>
      <c r="C406" s="168"/>
      <c r="E406" s="214"/>
      <c r="F406" s="215"/>
      <c r="G406" s="216"/>
      <c r="H406" s="216"/>
      <c r="I406" s="216"/>
      <c r="J406" s="216"/>
      <c r="K406" s="214"/>
      <c r="L406" s="215"/>
      <c r="M406" s="214"/>
      <c r="N406" s="215"/>
      <c r="O406" s="216"/>
      <c r="P406" s="214"/>
      <c r="Q406" s="215"/>
      <c r="R406" s="216"/>
      <c r="S406" s="216"/>
      <c r="T406" s="216"/>
      <c r="U406" s="214"/>
      <c r="V406" s="215"/>
      <c r="W406" s="214"/>
      <c r="X406" s="215"/>
      <c r="Y406" s="214"/>
      <c r="Z406" s="215"/>
      <c r="AA406" s="171"/>
      <c r="AB406" s="171"/>
      <c r="AC406" s="214"/>
      <c r="AD406" s="10"/>
      <c r="AE406" s="10"/>
      <c r="AF406" s="214"/>
      <c r="AG406" s="215"/>
    </row>
    <row r="407" spans="1:33" ht="12.75" customHeight="1" x14ac:dyDescent="0.25">
      <c r="A407" s="168"/>
      <c r="B407" s="168"/>
      <c r="C407" s="168"/>
      <c r="E407" s="214"/>
      <c r="F407" s="215"/>
      <c r="G407" s="216"/>
      <c r="H407" s="216"/>
      <c r="I407" s="216"/>
      <c r="J407" s="216"/>
      <c r="K407" s="214"/>
      <c r="L407" s="215"/>
      <c r="M407" s="214"/>
      <c r="N407" s="215"/>
      <c r="O407" s="216"/>
      <c r="P407" s="214"/>
      <c r="Q407" s="215"/>
      <c r="R407" s="216"/>
      <c r="S407" s="216"/>
      <c r="T407" s="216"/>
      <c r="U407" s="214"/>
      <c r="V407" s="215"/>
      <c r="W407" s="214"/>
      <c r="X407" s="215"/>
      <c r="Y407" s="214"/>
      <c r="Z407" s="215"/>
      <c r="AA407" s="171"/>
      <c r="AB407" s="171"/>
      <c r="AC407" s="214"/>
      <c r="AD407" s="10"/>
      <c r="AE407" s="10"/>
      <c r="AF407" s="214"/>
      <c r="AG407" s="215"/>
    </row>
    <row r="408" spans="1:33" ht="12.75" customHeight="1" x14ac:dyDescent="0.25">
      <c r="A408" s="168"/>
      <c r="B408" s="168"/>
      <c r="C408" s="168"/>
      <c r="E408" s="214"/>
      <c r="F408" s="215"/>
      <c r="G408" s="216"/>
      <c r="H408" s="216"/>
      <c r="I408" s="216"/>
      <c r="J408" s="216"/>
      <c r="K408" s="214"/>
      <c r="L408" s="215"/>
      <c r="M408" s="214"/>
      <c r="N408" s="215"/>
      <c r="O408" s="216"/>
      <c r="P408" s="214"/>
      <c r="Q408" s="215"/>
      <c r="R408" s="216"/>
      <c r="S408" s="216"/>
      <c r="T408" s="216"/>
      <c r="U408" s="214"/>
      <c r="V408" s="215"/>
      <c r="W408" s="214"/>
      <c r="X408" s="215"/>
      <c r="Y408" s="214"/>
      <c r="Z408" s="215"/>
      <c r="AA408" s="171"/>
      <c r="AB408" s="171"/>
      <c r="AC408" s="214"/>
      <c r="AD408" s="10"/>
      <c r="AE408" s="10"/>
      <c r="AF408" s="214"/>
      <c r="AG408" s="215"/>
    </row>
    <row r="409" spans="1:33" ht="12.75" customHeight="1" x14ac:dyDescent="0.25">
      <c r="A409" s="168"/>
      <c r="B409" s="168"/>
      <c r="C409" s="168"/>
      <c r="E409" s="214"/>
      <c r="F409" s="215"/>
      <c r="G409" s="216"/>
      <c r="H409" s="216"/>
      <c r="I409" s="216"/>
      <c r="J409" s="216"/>
      <c r="K409" s="214"/>
      <c r="L409" s="215"/>
      <c r="M409" s="214"/>
      <c r="N409" s="215"/>
      <c r="O409" s="216"/>
      <c r="P409" s="214"/>
      <c r="Q409" s="215"/>
      <c r="R409" s="216"/>
      <c r="S409" s="216"/>
      <c r="T409" s="216"/>
      <c r="U409" s="214"/>
      <c r="V409" s="215"/>
      <c r="W409" s="214"/>
      <c r="X409" s="215"/>
      <c r="Y409" s="214"/>
      <c r="Z409" s="215"/>
      <c r="AA409" s="171"/>
      <c r="AB409" s="171"/>
      <c r="AC409" s="214"/>
      <c r="AD409" s="10"/>
      <c r="AE409" s="10"/>
      <c r="AF409" s="214"/>
      <c r="AG409" s="215"/>
    </row>
    <row r="410" spans="1:33" ht="12.75" customHeight="1" x14ac:dyDescent="0.25">
      <c r="A410" s="168"/>
      <c r="B410" s="168"/>
      <c r="C410" s="168"/>
      <c r="E410" s="214"/>
      <c r="F410" s="215"/>
      <c r="G410" s="216"/>
      <c r="H410" s="216"/>
      <c r="I410" s="216"/>
      <c r="J410" s="216"/>
      <c r="K410" s="214"/>
      <c r="L410" s="215"/>
      <c r="M410" s="214"/>
      <c r="N410" s="215"/>
      <c r="O410" s="216"/>
      <c r="P410" s="214"/>
      <c r="Q410" s="215"/>
      <c r="R410" s="216"/>
      <c r="S410" s="216"/>
      <c r="T410" s="216"/>
      <c r="U410" s="214"/>
      <c r="V410" s="215"/>
      <c r="W410" s="214"/>
      <c r="X410" s="215"/>
      <c r="Y410" s="214"/>
      <c r="Z410" s="215"/>
      <c r="AA410" s="171"/>
      <c r="AB410" s="171"/>
      <c r="AC410" s="214"/>
      <c r="AD410" s="10"/>
      <c r="AE410" s="10"/>
      <c r="AF410" s="214"/>
      <c r="AG410" s="215"/>
    </row>
    <row r="411" spans="1:33" ht="12.75" customHeight="1" x14ac:dyDescent="0.25">
      <c r="A411" s="168"/>
      <c r="B411" s="168"/>
      <c r="C411" s="168"/>
      <c r="E411" s="214"/>
      <c r="F411" s="215"/>
      <c r="G411" s="216"/>
      <c r="H411" s="216"/>
      <c r="I411" s="216"/>
      <c r="J411" s="216"/>
      <c r="K411" s="214"/>
      <c r="L411" s="215"/>
      <c r="M411" s="214"/>
      <c r="N411" s="215"/>
      <c r="O411" s="216"/>
      <c r="P411" s="214"/>
      <c r="Q411" s="215"/>
      <c r="R411" s="216"/>
      <c r="S411" s="216"/>
      <c r="T411" s="216"/>
      <c r="U411" s="214"/>
      <c r="V411" s="215"/>
      <c r="W411" s="214"/>
      <c r="X411" s="215"/>
      <c r="Y411" s="214"/>
      <c r="Z411" s="215"/>
      <c r="AA411" s="171"/>
      <c r="AB411" s="171"/>
      <c r="AC411" s="214"/>
      <c r="AD411" s="10"/>
      <c r="AE411" s="10"/>
      <c r="AF411" s="214"/>
      <c r="AG411" s="215"/>
    </row>
    <row r="412" spans="1:33" ht="12.75" customHeight="1" x14ac:dyDescent="0.25">
      <c r="A412" s="168"/>
      <c r="B412" s="168"/>
      <c r="C412" s="168"/>
      <c r="E412" s="214"/>
      <c r="F412" s="215"/>
      <c r="G412" s="216"/>
      <c r="H412" s="216"/>
      <c r="I412" s="216"/>
      <c r="J412" s="216"/>
      <c r="K412" s="214"/>
      <c r="L412" s="215"/>
      <c r="M412" s="214"/>
      <c r="N412" s="215"/>
      <c r="O412" s="216"/>
      <c r="P412" s="214"/>
      <c r="Q412" s="215"/>
      <c r="R412" s="216"/>
      <c r="S412" s="216"/>
      <c r="T412" s="216"/>
      <c r="U412" s="214"/>
      <c r="V412" s="215"/>
      <c r="W412" s="214"/>
      <c r="X412" s="215"/>
      <c r="Y412" s="214"/>
      <c r="Z412" s="215"/>
      <c r="AA412" s="171"/>
      <c r="AB412" s="171"/>
      <c r="AC412" s="214"/>
      <c r="AD412" s="10"/>
      <c r="AE412" s="10"/>
      <c r="AF412" s="214"/>
      <c r="AG412" s="215"/>
    </row>
    <row r="413" spans="1:33" ht="12.75" customHeight="1" x14ac:dyDescent="0.25">
      <c r="A413" s="168"/>
      <c r="B413" s="168"/>
      <c r="C413" s="168"/>
      <c r="E413" s="214"/>
      <c r="F413" s="215"/>
      <c r="G413" s="216"/>
      <c r="H413" s="216"/>
      <c r="I413" s="216"/>
      <c r="J413" s="216"/>
      <c r="K413" s="214"/>
      <c r="L413" s="215"/>
      <c r="M413" s="214"/>
      <c r="N413" s="215"/>
      <c r="O413" s="216"/>
      <c r="P413" s="214"/>
      <c r="Q413" s="215"/>
      <c r="R413" s="216"/>
      <c r="S413" s="216"/>
      <c r="T413" s="216"/>
      <c r="U413" s="214"/>
      <c r="V413" s="215"/>
      <c r="W413" s="214"/>
      <c r="X413" s="215"/>
      <c r="Y413" s="214"/>
      <c r="Z413" s="215"/>
      <c r="AA413" s="171"/>
      <c r="AB413" s="171"/>
      <c r="AC413" s="214"/>
      <c r="AD413" s="10"/>
      <c r="AE413" s="10"/>
      <c r="AF413" s="214"/>
      <c r="AG413" s="215"/>
    </row>
    <row r="414" spans="1:33" ht="12.75" customHeight="1" x14ac:dyDescent="0.25">
      <c r="A414" s="168"/>
      <c r="B414" s="168"/>
      <c r="C414" s="168"/>
      <c r="E414" s="214"/>
      <c r="F414" s="215"/>
      <c r="G414" s="216"/>
      <c r="H414" s="216"/>
      <c r="I414" s="216"/>
      <c r="J414" s="216"/>
      <c r="K414" s="214"/>
      <c r="L414" s="215"/>
      <c r="M414" s="214"/>
      <c r="N414" s="215"/>
      <c r="O414" s="216"/>
      <c r="P414" s="214"/>
      <c r="Q414" s="215"/>
      <c r="R414" s="216"/>
      <c r="S414" s="216"/>
      <c r="T414" s="216"/>
      <c r="U414" s="214"/>
      <c r="V414" s="215"/>
      <c r="W414" s="214"/>
      <c r="X414" s="215"/>
      <c r="Y414" s="214"/>
      <c r="Z414" s="215"/>
      <c r="AA414" s="171"/>
      <c r="AB414" s="171"/>
      <c r="AC414" s="214"/>
      <c r="AD414" s="10"/>
      <c r="AE414" s="10"/>
      <c r="AF414" s="214"/>
      <c r="AG414" s="215"/>
    </row>
    <row r="415" spans="1:33" ht="12.75" customHeight="1" x14ac:dyDescent="0.25">
      <c r="A415" s="168"/>
      <c r="B415" s="168"/>
      <c r="C415" s="168"/>
      <c r="E415" s="214"/>
      <c r="F415" s="215"/>
      <c r="G415" s="216"/>
      <c r="H415" s="216"/>
      <c r="I415" s="216"/>
      <c r="J415" s="216"/>
      <c r="K415" s="214"/>
      <c r="L415" s="215"/>
      <c r="M415" s="214"/>
      <c r="N415" s="215"/>
      <c r="O415" s="216"/>
      <c r="P415" s="214"/>
      <c r="Q415" s="215"/>
      <c r="R415" s="216"/>
      <c r="S415" s="216"/>
      <c r="T415" s="216"/>
      <c r="U415" s="214"/>
      <c r="V415" s="215"/>
      <c r="W415" s="214"/>
      <c r="X415" s="215"/>
      <c r="Y415" s="214"/>
      <c r="Z415" s="215"/>
      <c r="AA415" s="171"/>
      <c r="AB415" s="171"/>
      <c r="AC415" s="214"/>
      <c r="AD415" s="10"/>
      <c r="AE415" s="10"/>
      <c r="AF415" s="214"/>
      <c r="AG415" s="215"/>
    </row>
    <row r="416" spans="1:33" ht="12.75" customHeight="1" x14ac:dyDescent="0.25">
      <c r="A416" s="168"/>
      <c r="B416" s="168"/>
      <c r="C416" s="168"/>
      <c r="E416" s="214"/>
      <c r="F416" s="215"/>
      <c r="G416" s="216"/>
      <c r="H416" s="216"/>
      <c r="I416" s="216"/>
      <c r="J416" s="216"/>
      <c r="K416" s="214"/>
      <c r="L416" s="215"/>
      <c r="M416" s="214"/>
      <c r="N416" s="215"/>
      <c r="O416" s="216"/>
      <c r="P416" s="214"/>
      <c r="Q416" s="215"/>
      <c r="R416" s="216"/>
      <c r="S416" s="216"/>
      <c r="T416" s="216"/>
      <c r="U416" s="214"/>
      <c r="V416" s="215"/>
      <c r="W416" s="214"/>
      <c r="X416" s="215"/>
      <c r="Y416" s="214"/>
      <c r="Z416" s="215"/>
      <c r="AA416" s="171"/>
      <c r="AB416" s="171"/>
      <c r="AC416" s="214"/>
      <c r="AD416" s="10"/>
      <c r="AE416" s="10"/>
      <c r="AF416" s="214"/>
      <c r="AG416" s="215"/>
    </row>
    <row r="417" spans="1:33" ht="12.75" customHeight="1" x14ac:dyDescent="0.25">
      <c r="A417" s="168"/>
      <c r="B417" s="168"/>
      <c r="C417" s="168"/>
      <c r="E417" s="214"/>
      <c r="F417" s="215"/>
      <c r="G417" s="216"/>
      <c r="H417" s="216"/>
      <c r="I417" s="216"/>
      <c r="J417" s="216"/>
      <c r="K417" s="214"/>
      <c r="L417" s="215"/>
      <c r="M417" s="214"/>
      <c r="N417" s="215"/>
      <c r="O417" s="216"/>
      <c r="P417" s="214"/>
      <c r="Q417" s="215"/>
      <c r="R417" s="216"/>
      <c r="S417" s="216"/>
      <c r="T417" s="216"/>
      <c r="U417" s="214"/>
      <c r="V417" s="215"/>
      <c r="W417" s="214"/>
      <c r="X417" s="215"/>
      <c r="Y417" s="214"/>
      <c r="Z417" s="215"/>
      <c r="AA417" s="171"/>
      <c r="AB417" s="171"/>
      <c r="AC417" s="214"/>
      <c r="AD417" s="10"/>
      <c r="AE417" s="10"/>
      <c r="AF417" s="214"/>
      <c r="AG417" s="215"/>
    </row>
    <row r="418" spans="1:33" ht="12.75" customHeight="1" x14ac:dyDescent="0.25">
      <c r="A418" s="168"/>
      <c r="B418" s="168"/>
      <c r="C418" s="168"/>
      <c r="E418" s="214"/>
      <c r="F418" s="215"/>
      <c r="G418" s="216"/>
      <c r="H418" s="216"/>
      <c r="I418" s="216"/>
      <c r="J418" s="216"/>
      <c r="K418" s="214"/>
      <c r="L418" s="215"/>
      <c r="M418" s="214"/>
      <c r="N418" s="215"/>
      <c r="O418" s="216"/>
      <c r="P418" s="214"/>
      <c r="Q418" s="215"/>
      <c r="R418" s="216"/>
      <c r="S418" s="216"/>
      <c r="T418" s="216"/>
      <c r="U418" s="214"/>
      <c r="V418" s="215"/>
      <c r="W418" s="214"/>
      <c r="X418" s="215"/>
      <c r="Y418" s="214"/>
      <c r="Z418" s="215"/>
      <c r="AA418" s="171"/>
      <c r="AB418" s="171"/>
      <c r="AC418" s="214"/>
      <c r="AD418" s="10"/>
      <c r="AE418" s="10"/>
      <c r="AF418" s="214"/>
      <c r="AG418" s="215"/>
    </row>
    <row r="419" spans="1:33" ht="12.75" customHeight="1" x14ac:dyDescent="0.25">
      <c r="A419" s="168"/>
      <c r="B419" s="168"/>
      <c r="C419" s="168"/>
      <c r="E419" s="214"/>
      <c r="F419" s="215"/>
      <c r="G419" s="216"/>
      <c r="H419" s="216"/>
      <c r="I419" s="216"/>
      <c r="J419" s="216"/>
      <c r="K419" s="214"/>
      <c r="L419" s="215"/>
      <c r="M419" s="214"/>
      <c r="N419" s="215"/>
      <c r="O419" s="216"/>
      <c r="P419" s="214"/>
      <c r="Q419" s="215"/>
      <c r="R419" s="216"/>
      <c r="S419" s="216"/>
      <c r="T419" s="216"/>
      <c r="U419" s="214"/>
      <c r="V419" s="215"/>
      <c r="W419" s="214"/>
      <c r="X419" s="215"/>
      <c r="Y419" s="214"/>
      <c r="Z419" s="215"/>
      <c r="AA419" s="171"/>
      <c r="AB419" s="171"/>
      <c r="AC419" s="214"/>
      <c r="AD419" s="10"/>
      <c r="AE419" s="10"/>
      <c r="AF419" s="214"/>
      <c r="AG419" s="215"/>
    </row>
    <row r="420" spans="1:33" ht="12.75" customHeight="1" x14ac:dyDescent="0.25">
      <c r="A420" s="168"/>
      <c r="B420" s="168"/>
      <c r="C420" s="168"/>
      <c r="E420" s="214"/>
      <c r="F420" s="215"/>
      <c r="G420" s="216"/>
      <c r="H420" s="216"/>
      <c r="I420" s="216"/>
      <c r="J420" s="216"/>
      <c r="K420" s="214"/>
      <c r="L420" s="215"/>
      <c r="M420" s="214"/>
      <c r="N420" s="215"/>
      <c r="O420" s="216"/>
      <c r="P420" s="214"/>
      <c r="Q420" s="215"/>
      <c r="R420" s="216"/>
      <c r="S420" s="216"/>
      <c r="T420" s="216"/>
      <c r="U420" s="214"/>
      <c r="V420" s="215"/>
      <c r="W420" s="214"/>
      <c r="X420" s="215"/>
      <c r="Y420" s="214"/>
      <c r="Z420" s="215"/>
      <c r="AA420" s="171"/>
      <c r="AB420" s="171"/>
      <c r="AC420" s="214"/>
      <c r="AD420" s="10"/>
      <c r="AE420" s="10"/>
      <c r="AF420" s="214"/>
      <c r="AG420" s="215"/>
    </row>
    <row r="421" spans="1:33" ht="12.75" customHeight="1" x14ac:dyDescent="0.25">
      <c r="A421" s="168"/>
      <c r="B421" s="168"/>
      <c r="C421" s="168"/>
      <c r="E421" s="214"/>
      <c r="F421" s="215"/>
      <c r="G421" s="216"/>
      <c r="H421" s="216"/>
      <c r="I421" s="216"/>
      <c r="J421" s="216"/>
      <c r="K421" s="214"/>
      <c r="L421" s="215"/>
      <c r="M421" s="214"/>
      <c r="N421" s="215"/>
      <c r="O421" s="216"/>
      <c r="P421" s="214"/>
      <c r="Q421" s="215"/>
      <c r="R421" s="216"/>
      <c r="S421" s="216"/>
      <c r="T421" s="216"/>
      <c r="U421" s="214"/>
      <c r="V421" s="215"/>
      <c r="W421" s="214"/>
      <c r="X421" s="215"/>
      <c r="Y421" s="214"/>
      <c r="Z421" s="215"/>
      <c r="AA421" s="171"/>
      <c r="AB421" s="171"/>
      <c r="AC421" s="214"/>
      <c r="AD421" s="10"/>
      <c r="AE421" s="10"/>
      <c r="AF421" s="214"/>
      <c r="AG421" s="215"/>
    </row>
    <row r="422" spans="1:33" ht="12.75" customHeight="1" x14ac:dyDescent="0.25">
      <c r="A422" s="168"/>
      <c r="B422" s="168"/>
      <c r="C422" s="168"/>
      <c r="E422" s="214"/>
      <c r="F422" s="215"/>
      <c r="G422" s="216"/>
      <c r="H422" s="216"/>
      <c r="I422" s="216"/>
      <c r="J422" s="216"/>
      <c r="K422" s="214"/>
      <c r="L422" s="215"/>
      <c r="M422" s="214"/>
      <c r="N422" s="215"/>
      <c r="O422" s="216"/>
      <c r="P422" s="214"/>
      <c r="Q422" s="215"/>
      <c r="R422" s="216"/>
      <c r="S422" s="216"/>
      <c r="T422" s="216"/>
      <c r="U422" s="214"/>
      <c r="V422" s="215"/>
      <c r="W422" s="214"/>
      <c r="X422" s="215"/>
      <c r="Y422" s="214"/>
      <c r="Z422" s="215"/>
      <c r="AA422" s="171"/>
      <c r="AB422" s="171"/>
      <c r="AC422" s="214"/>
      <c r="AD422" s="10"/>
      <c r="AE422" s="10"/>
      <c r="AF422" s="214"/>
      <c r="AG422" s="215"/>
    </row>
    <row r="423" spans="1:33" ht="12.75" customHeight="1" x14ac:dyDescent="0.25">
      <c r="A423" s="168"/>
      <c r="B423" s="168"/>
      <c r="C423" s="168"/>
      <c r="E423" s="214"/>
      <c r="F423" s="215"/>
      <c r="G423" s="216"/>
      <c r="H423" s="216"/>
      <c r="I423" s="216"/>
      <c r="J423" s="216"/>
      <c r="K423" s="214"/>
      <c r="L423" s="215"/>
      <c r="M423" s="214"/>
      <c r="N423" s="215"/>
      <c r="O423" s="216"/>
      <c r="P423" s="214"/>
      <c r="Q423" s="215"/>
      <c r="R423" s="216"/>
      <c r="S423" s="216"/>
      <c r="T423" s="216"/>
      <c r="U423" s="214"/>
      <c r="V423" s="215"/>
      <c r="W423" s="214"/>
      <c r="X423" s="215"/>
      <c r="Y423" s="214"/>
      <c r="Z423" s="215"/>
      <c r="AA423" s="171"/>
      <c r="AB423" s="171"/>
      <c r="AC423" s="214"/>
      <c r="AD423" s="10"/>
      <c r="AE423" s="10"/>
      <c r="AF423" s="214"/>
      <c r="AG423" s="215"/>
    </row>
    <row r="424" spans="1:33" ht="12.75" customHeight="1" x14ac:dyDescent="0.25">
      <c r="A424" s="168"/>
      <c r="B424" s="168"/>
      <c r="C424" s="168"/>
      <c r="E424" s="214"/>
      <c r="F424" s="215"/>
      <c r="G424" s="216"/>
      <c r="H424" s="216"/>
      <c r="I424" s="216"/>
      <c r="J424" s="216"/>
      <c r="K424" s="214"/>
      <c r="L424" s="215"/>
      <c r="M424" s="214"/>
      <c r="N424" s="215"/>
      <c r="O424" s="216"/>
      <c r="P424" s="214"/>
      <c r="Q424" s="215"/>
      <c r="R424" s="216"/>
      <c r="S424" s="216"/>
      <c r="T424" s="216"/>
      <c r="U424" s="214"/>
      <c r="V424" s="215"/>
      <c r="W424" s="214"/>
      <c r="X424" s="215"/>
      <c r="Y424" s="214"/>
      <c r="Z424" s="215"/>
      <c r="AA424" s="171"/>
      <c r="AB424" s="171"/>
      <c r="AC424" s="214"/>
      <c r="AD424" s="10"/>
      <c r="AE424" s="10"/>
      <c r="AF424" s="214"/>
      <c r="AG424" s="215"/>
    </row>
    <row r="425" spans="1:33" ht="12.75" customHeight="1" x14ac:dyDescent="0.25">
      <c r="A425" s="168"/>
      <c r="B425" s="168"/>
      <c r="C425" s="168"/>
      <c r="E425" s="214"/>
      <c r="F425" s="215"/>
      <c r="G425" s="216"/>
      <c r="H425" s="216"/>
      <c r="I425" s="216"/>
      <c r="J425" s="216"/>
      <c r="K425" s="214"/>
      <c r="L425" s="215"/>
      <c r="M425" s="214"/>
      <c r="N425" s="215"/>
      <c r="O425" s="216"/>
      <c r="P425" s="214"/>
      <c r="Q425" s="215"/>
      <c r="R425" s="216"/>
      <c r="S425" s="216"/>
      <c r="T425" s="216"/>
      <c r="U425" s="214"/>
      <c r="V425" s="215"/>
      <c r="W425" s="214"/>
      <c r="X425" s="215"/>
      <c r="Y425" s="214"/>
      <c r="Z425" s="215"/>
      <c r="AA425" s="171"/>
      <c r="AB425" s="171"/>
      <c r="AC425" s="214"/>
      <c r="AD425" s="10"/>
      <c r="AE425" s="10"/>
      <c r="AF425" s="214"/>
      <c r="AG425" s="215"/>
    </row>
    <row r="426" spans="1:33" ht="12.75" customHeight="1" x14ac:dyDescent="0.25">
      <c r="A426" s="168"/>
      <c r="B426" s="168"/>
      <c r="C426" s="168"/>
      <c r="E426" s="214"/>
      <c r="F426" s="215"/>
      <c r="G426" s="216"/>
      <c r="H426" s="216"/>
      <c r="I426" s="216"/>
      <c r="J426" s="216"/>
      <c r="K426" s="214"/>
      <c r="L426" s="215"/>
      <c r="M426" s="214"/>
      <c r="N426" s="215"/>
      <c r="O426" s="216"/>
      <c r="P426" s="214"/>
      <c r="Q426" s="215"/>
      <c r="R426" s="216"/>
      <c r="S426" s="216"/>
      <c r="T426" s="216"/>
      <c r="U426" s="214"/>
      <c r="V426" s="215"/>
      <c r="W426" s="214"/>
      <c r="X426" s="215"/>
      <c r="Y426" s="214"/>
      <c r="Z426" s="215"/>
      <c r="AA426" s="171"/>
      <c r="AB426" s="171"/>
      <c r="AC426" s="214"/>
      <c r="AD426" s="10"/>
      <c r="AE426" s="10"/>
      <c r="AF426" s="214"/>
      <c r="AG426" s="215"/>
    </row>
    <row r="427" spans="1:33" ht="12.75" customHeight="1" x14ac:dyDescent="0.25">
      <c r="A427" s="168"/>
      <c r="B427" s="168"/>
      <c r="C427" s="168"/>
      <c r="E427" s="214"/>
      <c r="F427" s="215"/>
      <c r="G427" s="216"/>
      <c r="H427" s="216"/>
      <c r="I427" s="216"/>
      <c r="J427" s="216"/>
      <c r="K427" s="214"/>
      <c r="L427" s="215"/>
      <c r="M427" s="214"/>
      <c r="N427" s="215"/>
      <c r="O427" s="216"/>
      <c r="P427" s="214"/>
      <c r="Q427" s="215"/>
      <c r="R427" s="216"/>
      <c r="S427" s="216"/>
      <c r="T427" s="216"/>
      <c r="U427" s="214"/>
      <c r="V427" s="215"/>
      <c r="W427" s="214"/>
      <c r="X427" s="215"/>
      <c r="Y427" s="214"/>
      <c r="Z427" s="215"/>
      <c r="AA427" s="171"/>
      <c r="AB427" s="171"/>
      <c r="AC427" s="214"/>
      <c r="AD427" s="10"/>
      <c r="AE427" s="10"/>
      <c r="AF427" s="214"/>
      <c r="AG427" s="215"/>
    </row>
    <row r="428" spans="1:33" ht="12.75" customHeight="1" x14ac:dyDescent="0.25">
      <c r="A428" s="168"/>
      <c r="B428" s="168"/>
      <c r="C428" s="168"/>
      <c r="E428" s="214"/>
      <c r="F428" s="215"/>
      <c r="G428" s="216"/>
      <c r="H428" s="216"/>
      <c r="I428" s="216"/>
      <c r="J428" s="216"/>
      <c r="K428" s="214"/>
      <c r="L428" s="215"/>
      <c r="M428" s="214"/>
      <c r="N428" s="215"/>
      <c r="O428" s="216"/>
      <c r="P428" s="214"/>
      <c r="Q428" s="215"/>
      <c r="R428" s="216"/>
      <c r="S428" s="216"/>
      <c r="T428" s="216"/>
      <c r="U428" s="214"/>
      <c r="V428" s="215"/>
      <c r="W428" s="214"/>
      <c r="X428" s="215"/>
      <c r="Y428" s="214"/>
      <c r="Z428" s="215"/>
      <c r="AA428" s="171"/>
      <c r="AB428" s="171"/>
      <c r="AC428" s="214"/>
      <c r="AD428" s="10"/>
      <c r="AE428" s="10"/>
      <c r="AF428" s="214"/>
      <c r="AG428" s="215"/>
    </row>
    <row r="429" spans="1:33" ht="12.75" customHeight="1" x14ac:dyDescent="0.25">
      <c r="A429" s="168"/>
      <c r="B429" s="168"/>
      <c r="C429" s="168"/>
      <c r="E429" s="214"/>
      <c r="F429" s="215"/>
      <c r="G429" s="216"/>
      <c r="H429" s="216"/>
      <c r="I429" s="216"/>
      <c r="J429" s="216"/>
      <c r="K429" s="214"/>
      <c r="L429" s="215"/>
      <c r="M429" s="214"/>
      <c r="N429" s="215"/>
      <c r="O429" s="216"/>
      <c r="P429" s="214"/>
      <c r="Q429" s="215"/>
      <c r="R429" s="216"/>
      <c r="S429" s="216"/>
      <c r="T429" s="216"/>
      <c r="U429" s="214"/>
      <c r="V429" s="215"/>
      <c r="W429" s="214"/>
      <c r="X429" s="215"/>
      <c r="Y429" s="214"/>
      <c r="Z429" s="215"/>
      <c r="AA429" s="171"/>
      <c r="AB429" s="171"/>
      <c r="AC429" s="214"/>
      <c r="AD429" s="10"/>
      <c r="AE429" s="10"/>
      <c r="AF429" s="214"/>
      <c r="AG429" s="215"/>
    </row>
    <row r="430" spans="1:33" ht="12.75" customHeight="1" x14ac:dyDescent="0.25">
      <c r="A430" s="168"/>
      <c r="B430" s="168"/>
      <c r="C430" s="168"/>
      <c r="E430" s="214"/>
      <c r="F430" s="215"/>
      <c r="G430" s="216"/>
      <c r="H430" s="216"/>
      <c r="I430" s="216"/>
      <c r="J430" s="216"/>
      <c r="K430" s="214"/>
      <c r="L430" s="215"/>
      <c r="M430" s="214"/>
      <c r="N430" s="215"/>
      <c r="O430" s="216"/>
      <c r="P430" s="214"/>
      <c r="Q430" s="215"/>
      <c r="R430" s="216"/>
      <c r="S430" s="216"/>
      <c r="T430" s="216"/>
      <c r="U430" s="214"/>
      <c r="V430" s="215"/>
      <c r="W430" s="214"/>
      <c r="X430" s="215"/>
      <c r="Y430" s="214"/>
      <c r="Z430" s="215"/>
      <c r="AA430" s="171"/>
      <c r="AB430" s="171"/>
      <c r="AC430" s="214"/>
      <c r="AD430" s="10"/>
      <c r="AE430" s="10"/>
      <c r="AF430" s="214"/>
      <c r="AG430" s="215"/>
    </row>
    <row r="431" spans="1:33" ht="12.75" customHeight="1" x14ac:dyDescent="0.25">
      <c r="A431" s="168"/>
      <c r="B431" s="168"/>
      <c r="C431" s="168"/>
      <c r="E431" s="214"/>
      <c r="F431" s="215"/>
      <c r="G431" s="216"/>
      <c r="H431" s="216"/>
      <c r="I431" s="216"/>
      <c r="J431" s="216"/>
      <c r="K431" s="214"/>
      <c r="L431" s="215"/>
      <c r="M431" s="214"/>
      <c r="N431" s="215"/>
      <c r="O431" s="216"/>
      <c r="P431" s="214"/>
      <c r="Q431" s="215"/>
      <c r="R431" s="216"/>
      <c r="S431" s="216"/>
      <c r="T431" s="216"/>
      <c r="U431" s="214"/>
      <c r="V431" s="215"/>
      <c r="W431" s="214"/>
      <c r="X431" s="215"/>
      <c r="Y431" s="214"/>
      <c r="Z431" s="215"/>
      <c r="AA431" s="171"/>
      <c r="AB431" s="171"/>
      <c r="AC431" s="214"/>
      <c r="AD431" s="10"/>
      <c r="AE431" s="10"/>
      <c r="AF431" s="214"/>
      <c r="AG431" s="215"/>
    </row>
    <row r="432" spans="1:33" ht="12.75" customHeight="1" x14ac:dyDescent="0.25">
      <c r="A432" s="168"/>
      <c r="B432" s="168"/>
      <c r="C432" s="168"/>
      <c r="E432" s="214"/>
      <c r="F432" s="215"/>
      <c r="G432" s="216"/>
      <c r="H432" s="216"/>
      <c r="I432" s="216"/>
      <c r="J432" s="216"/>
      <c r="K432" s="214"/>
      <c r="L432" s="215"/>
      <c r="M432" s="214"/>
      <c r="N432" s="215"/>
      <c r="O432" s="216"/>
      <c r="P432" s="214"/>
      <c r="Q432" s="215"/>
      <c r="R432" s="216"/>
      <c r="S432" s="216"/>
      <c r="T432" s="216"/>
      <c r="U432" s="214"/>
      <c r="V432" s="215"/>
      <c r="W432" s="214"/>
      <c r="X432" s="215"/>
      <c r="Y432" s="214"/>
      <c r="Z432" s="215"/>
      <c r="AA432" s="171"/>
      <c r="AB432" s="171"/>
      <c r="AC432" s="214"/>
      <c r="AD432" s="10"/>
      <c r="AE432" s="10"/>
      <c r="AF432" s="214"/>
      <c r="AG432" s="215"/>
    </row>
    <row r="433" spans="1:33" ht="12.75" customHeight="1" x14ac:dyDescent="0.25">
      <c r="A433" s="168"/>
      <c r="B433" s="168"/>
      <c r="C433" s="168"/>
      <c r="E433" s="214"/>
      <c r="F433" s="215"/>
      <c r="G433" s="216"/>
      <c r="H433" s="216"/>
      <c r="I433" s="216"/>
      <c r="J433" s="216"/>
      <c r="K433" s="214"/>
      <c r="L433" s="215"/>
      <c r="M433" s="214"/>
      <c r="N433" s="215"/>
      <c r="O433" s="216"/>
      <c r="P433" s="214"/>
      <c r="Q433" s="215"/>
      <c r="R433" s="216"/>
      <c r="S433" s="216"/>
      <c r="T433" s="216"/>
      <c r="U433" s="214"/>
      <c r="V433" s="215"/>
      <c r="W433" s="214"/>
      <c r="X433" s="215"/>
      <c r="Y433" s="214"/>
      <c r="Z433" s="215"/>
      <c r="AA433" s="171"/>
      <c r="AB433" s="171"/>
      <c r="AC433" s="214"/>
      <c r="AD433" s="10"/>
      <c r="AE433" s="10"/>
      <c r="AF433" s="214"/>
      <c r="AG433" s="215"/>
    </row>
    <row r="434" spans="1:33" ht="12.75" customHeight="1" x14ac:dyDescent="0.25">
      <c r="A434" s="168"/>
      <c r="B434" s="168"/>
      <c r="C434" s="168"/>
      <c r="E434" s="214"/>
      <c r="F434" s="215"/>
      <c r="G434" s="216"/>
      <c r="H434" s="216"/>
      <c r="I434" s="216"/>
      <c r="J434" s="216"/>
      <c r="K434" s="214"/>
      <c r="L434" s="215"/>
      <c r="M434" s="214"/>
      <c r="N434" s="215"/>
      <c r="O434" s="216"/>
      <c r="P434" s="214"/>
      <c r="Q434" s="215"/>
      <c r="R434" s="216"/>
      <c r="S434" s="216"/>
      <c r="T434" s="216"/>
      <c r="U434" s="214"/>
      <c r="V434" s="215"/>
      <c r="W434" s="214"/>
      <c r="X434" s="215"/>
      <c r="Y434" s="214"/>
      <c r="Z434" s="215"/>
      <c r="AA434" s="171"/>
      <c r="AB434" s="171"/>
      <c r="AC434" s="214"/>
      <c r="AD434" s="10"/>
      <c r="AE434" s="10"/>
      <c r="AF434" s="214"/>
      <c r="AG434" s="215"/>
    </row>
    <row r="435" spans="1:33" ht="12.75" customHeight="1" x14ac:dyDescent="0.25">
      <c r="A435" s="168"/>
      <c r="B435" s="168"/>
      <c r="C435" s="168"/>
      <c r="E435" s="214"/>
      <c r="F435" s="215"/>
      <c r="G435" s="216"/>
      <c r="H435" s="216"/>
      <c r="I435" s="216"/>
      <c r="J435" s="216"/>
      <c r="K435" s="214"/>
      <c r="L435" s="215"/>
      <c r="M435" s="214"/>
      <c r="N435" s="215"/>
      <c r="O435" s="216"/>
      <c r="P435" s="214"/>
      <c r="Q435" s="215"/>
      <c r="R435" s="216"/>
      <c r="S435" s="216"/>
      <c r="T435" s="216"/>
      <c r="U435" s="214"/>
      <c r="V435" s="215"/>
      <c r="W435" s="214"/>
      <c r="X435" s="215"/>
      <c r="Y435" s="214"/>
      <c r="Z435" s="215"/>
      <c r="AA435" s="171"/>
      <c r="AB435" s="171"/>
      <c r="AC435" s="214"/>
      <c r="AD435" s="10"/>
      <c r="AE435" s="10"/>
      <c r="AF435" s="214"/>
      <c r="AG435" s="215"/>
    </row>
    <row r="436" spans="1:33" ht="12.75" customHeight="1" x14ac:dyDescent="0.25">
      <c r="A436" s="168"/>
      <c r="B436" s="168"/>
      <c r="C436" s="168"/>
      <c r="E436" s="214"/>
      <c r="F436" s="215"/>
      <c r="G436" s="216"/>
      <c r="H436" s="216"/>
      <c r="I436" s="216"/>
      <c r="J436" s="216"/>
      <c r="K436" s="214"/>
      <c r="L436" s="215"/>
      <c r="M436" s="214"/>
      <c r="N436" s="215"/>
      <c r="O436" s="216"/>
      <c r="P436" s="214"/>
      <c r="Q436" s="215"/>
      <c r="R436" s="216"/>
      <c r="S436" s="216"/>
      <c r="T436" s="216"/>
      <c r="U436" s="214"/>
      <c r="V436" s="215"/>
      <c r="W436" s="214"/>
      <c r="X436" s="215"/>
      <c r="Y436" s="214"/>
      <c r="Z436" s="215"/>
      <c r="AA436" s="171"/>
      <c r="AB436" s="171"/>
      <c r="AC436" s="214"/>
      <c r="AD436" s="10"/>
      <c r="AE436" s="10"/>
      <c r="AF436" s="214"/>
      <c r="AG436" s="215"/>
    </row>
    <row r="437" spans="1:33" ht="12.75" customHeight="1" x14ac:dyDescent="0.25">
      <c r="A437" s="168"/>
      <c r="B437" s="168"/>
      <c r="C437" s="168"/>
      <c r="E437" s="214"/>
      <c r="F437" s="215"/>
      <c r="G437" s="216"/>
      <c r="H437" s="216"/>
      <c r="I437" s="216"/>
      <c r="J437" s="216"/>
      <c r="K437" s="214"/>
      <c r="L437" s="215"/>
      <c r="M437" s="214"/>
      <c r="N437" s="215"/>
      <c r="O437" s="216"/>
      <c r="P437" s="214"/>
      <c r="Q437" s="215"/>
      <c r="R437" s="216"/>
      <c r="S437" s="216"/>
      <c r="T437" s="216"/>
      <c r="U437" s="214"/>
      <c r="V437" s="215"/>
      <c r="W437" s="214"/>
      <c r="X437" s="215"/>
      <c r="Y437" s="214"/>
      <c r="Z437" s="215"/>
      <c r="AA437" s="171"/>
      <c r="AB437" s="171"/>
      <c r="AC437" s="214"/>
      <c r="AD437" s="10"/>
      <c r="AE437" s="10"/>
      <c r="AF437" s="214"/>
      <c r="AG437" s="215"/>
    </row>
    <row r="438" spans="1:33" ht="12.75" customHeight="1" x14ac:dyDescent="0.25">
      <c r="A438" s="168"/>
      <c r="B438" s="168"/>
      <c r="C438" s="168"/>
      <c r="E438" s="214"/>
      <c r="F438" s="215"/>
      <c r="G438" s="216"/>
      <c r="H438" s="216"/>
      <c r="I438" s="216"/>
      <c r="J438" s="216"/>
      <c r="K438" s="214"/>
      <c r="L438" s="215"/>
      <c r="M438" s="214"/>
      <c r="N438" s="215"/>
      <c r="O438" s="216"/>
      <c r="P438" s="214"/>
      <c r="Q438" s="215"/>
      <c r="R438" s="216"/>
      <c r="S438" s="216"/>
      <c r="T438" s="216"/>
      <c r="U438" s="214"/>
      <c r="V438" s="215"/>
      <c r="W438" s="214"/>
      <c r="X438" s="215"/>
      <c r="Y438" s="214"/>
      <c r="Z438" s="215"/>
      <c r="AA438" s="171"/>
      <c r="AB438" s="171"/>
      <c r="AC438" s="214"/>
      <c r="AD438" s="10"/>
      <c r="AE438" s="10"/>
      <c r="AF438" s="214"/>
      <c r="AG438" s="215"/>
    </row>
    <row r="439" spans="1:33" ht="12.75" customHeight="1" x14ac:dyDescent="0.25">
      <c r="A439" s="168"/>
      <c r="B439" s="168"/>
      <c r="C439" s="168"/>
      <c r="E439" s="214"/>
      <c r="F439" s="215"/>
      <c r="G439" s="216"/>
      <c r="H439" s="216"/>
      <c r="I439" s="216"/>
      <c r="J439" s="216"/>
      <c r="K439" s="214"/>
      <c r="L439" s="215"/>
      <c r="M439" s="214"/>
      <c r="N439" s="215"/>
      <c r="O439" s="216"/>
      <c r="P439" s="214"/>
      <c r="Q439" s="215"/>
      <c r="R439" s="216"/>
      <c r="S439" s="216"/>
      <c r="T439" s="216"/>
      <c r="U439" s="214"/>
      <c r="V439" s="215"/>
      <c r="W439" s="214"/>
      <c r="X439" s="215"/>
      <c r="Y439" s="214"/>
      <c r="Z439" s="215"/>
      <c r="AA439" s="171"/>
      <c r="AB439" s="171"/>
      <c r="AC439" s="214"/>
      <c r="AD439" s="10"/>
      <c r="AE439" s="10"/>
      <c r="AF439" s="214"/>
      <c r="AG439" s="215"/>
    </row>
    <row r="440" spans="1:33" ht="12.75" customHeight="1" x14ac:dyDescent="0.25">
      <c r="A440" s="168"/>
      <c r="B440" s="168"/>
      <c r="C440" s="168"/>
      <c r="E440" s="214"/>
      <c r="F440" s="215"/>
      <c r="G440" s="216"/>
      <c r="H440" s="216"/>
      <c r="I440" s="216"/>
      <c r="J440" s="216"/>
      <c r="K440" s="214"/>
      <c r="L440" s="215"/>
      <c r="M440" s="214"/>
      <c r="N440" s="215"/>
      <c r="O440" s="216"/>
      <c r="P440" s="214"/>
      <c r="Q440" s="215"/>
      <c r="R440" s="216"/>
      <c r="S440" s="216"/>
      <c r="T440" s="216"/>
      <c r="U440" s="214"/>
      <c r="V440" s="215"/>
      <c r="W440" s="214"/>
      <c r="X440" s="215"/>
      <c r="Y440" s="214"/>
      <c r="Z440" s="215"/>
      <c r="AA440" s="171"/>
      <c r="AB440" s="171"/>
      <c r="AC440" s="214"/>
      <c r="AD440" s="10"/>
      <c r="AE440" s="10"/>
      <c r="AF440" s="214"/>
      <c r="AG440" s="215"/>
    </row>
    <row r="441" spans="1:33" ht="12.75" customHeight="1" x14ac:dyDescent="0.25">
      <c r="A441" s="168"/>
      <c r="B441" s="168"/>
      <c r="C441" s="168"/>
      <c r="E441" s="214"/>
      <c r="F441" s="215"/>
      <c r="G441" s="216"/>
      <c r="H441" s="216"/>
      <c r="I441" s="216"/>
      <c r="J441" s="216"/>
      <c r="K441" s="214"/>
      <c r="L441" s="215"/>
      <c r="M441" s="214"/>
      <c r="N441" s="215"/>
      <c r="O441" s="216"/>
      <c r="P441" s="214"/>
      <c r="Q441" s="215"/>
      <c r="R441" s="216"/>
      <c r="S441" s="216"/>
      <c r="T441" s="216"/>
      <c r="U441" s="214"/>
      <c r="V441" s="215"/>
      <c r="W441" s="214"/>
      <c r="X441" s="215"/>
      <c r="Y441" s="214"/>
      <c r="Z441" s="215"/>
      <c r="AA441" s="171"/>
      <c r="AB441" s="171"/>
      <c r="AC441" s="214"/>
      <c r="AD441" s="10"/>
      <c r="AE441" s="10"/>
      <c r="AF441" s="214"/>
      <c r="AG441" s="215"/>
    </row>
    <row r="442" spans="1:33" ht="12.75" customHeight="1" x14ac:dyDescent="0.25">
      <c r="A442" s="168"/>
      <c r="B442" s="168"/>
      <c r="C442" s="168"/>
      <c r="E442" s="214"/>
      <c r="F442" s="215"/>
      <c r="G442" s="216"/>
      <c r="H442" s="216"/>
      <c r="I442" s="216"/>
      <c r="J442" s="216"/>
      <c r="K442" s="214"/>
      <c r="L442" s="215"/>
      <c r="M442" s="214"/>
      <c r="N442" s="215"/>
      <c r="O442" s="216"/>
      <c r="P442" s="214"/>
      <c r="Q442" s="215"/>
      <c r="R442" s="216"/>
      <c r="S442" s="216"/>
      <c r="T442" s="216"/>
      <c r="U442" s="214"/>
      <c r="V442" s="215"/>
      <c r="W442" s="214"/>
      <c r="X442" s="215"/>
      <c r="Y442" s="214"/>
      <c r="Z442" s="215"/>
      <c r="AA442" s="171"/>
      <c r="AB442" s="171"/>
      <c r="AC442" s="214"/>
      <c r="AD442" s="10"/>
      <c r="AE442" s="10"/>
      <c r="AF442" s="214"/>
      <c r="AG442" s="215"/>
    </row>
    <row r="443" spans="1:33" ht="12.75" customHeight="1" x14ac:dyDescent="0.25">
      <c r="A443" s="168"/>
      <c r="B443" s="168"/>
      <c r="C443" s="168"/>
      <c r="E443" s="214"/>
      <c r="F443" s="215"/>
      <c r="G443" s="216"/>
      <c r="H443" s="216"/>
      <c r="I443" s="216"/>
      <c r="J443" s="216"/>
      <c r="K443" s="214"/>
      <c r="L443" s="215"/>
      <c r="M443" s="214"/>
      <c r="N443" s="215"/>
      <c r="O443" s="216"/>
      <c r="P443" s="214"/>
      <c r="Q443" s="215"/>
      <c r="R443" s="216"/>
      <c r="S443" s="216"/>
      <c r="T443" s="216"/>
      <c r="U443" s="214"/>
      <c r="V443" s="215"/>
      <c r="W443" s="214"/>
      <c r="X443" s="215"/>
      <c r="Y443" s="214"/>
      <c r="Z443" s="215"/>
      <c r="AA443" s="171"/>
      <c r="AB443" s="171"/>
      <c r="AC443" s="214"/>
      <c r="AD443" s="10"/>
      <c r="AE443" s="10"/>
      <c r="AF443" s="214"/>
      <c r="AG443" s="215"/>
    </row>
    <row r="444" spans="1:33" ht="12.75" customHeight="1" x14ac:dyDescent="0.25">
      <c r="A444" s="168"/>
      <c r="B444" s="168"/>
      <c r="C444" s="168"/>
      <c r="E444" s="214"/>
      <c r="F444" s="215"/>
      <c r="G444" s="216"/>
      <c r="H444" s="216"/>
      <c r="I444" s="216"/>
      <c r="J444" s="216"/>
      <c r="K444" s="214"/>
      <c r="L444" s="215"/>
      <c r="M444" s="214"/>
      <c r="N444" s="215"/>
      <c r="O444" s="216"/>
      <c r="P444" s="214"/>
      <c r="Q444" s="215"/>
      <c r="R444" s="216"/>
      <c r="S444" s="216"/>
      <c r="T444" s="216"/>
      <c r="U444" s="214"/>
      <c r="V444" s="215"/>
      <c r="W444" s="214"/>
      <c r="X444" s="215"/>
      <c r="Y444" s="214"/>
      <c r="Z444" s="215"/>
      <c r="AA444" s="171"/>
      <c r="AB444" s="171"/>
      <c r="AC444" s="214"/>
      <c r="AD444" s="10"/>
      <c r="AE444" s="10"/>
      <c r="AF444" s="214"/>
      <c r="AG444" s="215"/>
    </row>
    <row r="445" spans="1:33" ht="12.75" customHeight="1" x14ac:dyDescent="0.25">
      <c r="A445" s="168"/>
      <c r="B445" s="168"/>
      <c r="C445" s="168"/>
      <c r="E445" s="214"/>
      <c r="F445" s="215"/>
      <c r="G445" s="216"/>
      <c r="H445" s="216"/>
      <c r="I445" s="216"/>
      <c r="J445" s="216"/>
      <c r="K445" s="214"/>
      <c r="L445" s="215"/>
      <c r="M445" s="214"/>
      <c r="N445" s="215"/>
      <c r="O445" s="216"/>
      <c r="P445" s="214"/>
      <c r="Q445" s="215"/>
      <c r="R445" s="216"/>
      <c r="S445" s="216"/>
      <c r="T445" s="216"/>
      <c r="U445" s="214"/>
      <c r="V445" s="215"/>
      <c r="W445" s="214"/>
      <c r="X445" s="215"/>
      <c r="Y445" s="214"/>
      <c r="Z445" s="215"/>
      <c r="AA445" s="171"/>
      <c r="AB445" s="171"/>
      <c r="AC445" s="214"/>
      <c r="AD445" s="10"/>
      <c r="AE445" s="10"/>
      <c r="AF445" s="214"/>
      <c r="AG445" s="215"/>
    </row>
    <row r="446" spans="1:33" ht="12.75" customHeight="1" x14ac:dyDescent="0.25">
      <c r="A446" s="168"/>
      <c r="B446" s="168"/>
      <c r="C446" s="168"/>
      <c r="E446" s="214"/>
      <c r="F446" s="215"/>
      <c r="G446" s="216"/>
      <c r="H446" s="216"/>
      <c r="I446" s="216"/>
      <c r="J446" s="216"/>
      <c r="K446" s="214"/>
      <c r="L446" s="215"/>
      <c r="M446" s="214"/>
      <c r="N446" s="215"/>
      <c r="O446" s="216"/>
      <c r="P446" s="214"/>
      <c r="Q446" s="215"/>
      <c r="R446" s="216"/>
      <c r="S446" s="216"/>
      <c r="T446" s="216"/>
      <c r="U446" s="214"/>
      <c r="V446" s="215"/>
      <c r="W446" s="214"/>
      <c r="X446" s="215"/>
      <c r="Y446" s="214"/>
      <c r="Z446" s="215"/>
      <c r="AA446" s="171"/>
      <c r="AB446" s="171"/>
      <c r="AC446" s="214"/>
      <c r="AD446" s="10"/>
      <c r="AE446" s="10"/>
      <c r="AF446" s="214"/>
      <c r="AG446" s="215"/>
    </row>
    <row r="447" spans="1:33" ht="12.75" customHeight="1" x14ac:dyDescent="0.25">
      <c r="A447" s="168"/>
      <c r="B447" s="168"/>
      <c r="C447" s="168"/>
      <c r="E447" s="214"/>
      <c r="F447" s="215"/>
      <c r="G447" s="216"/>
      <c r="H447" s="216"/>
      <c r="I447" s="216"/>
      <c r="J447" s="216"/>
      <c r="K447" s="214"/>
      <c r="L447" s="215"/>
      <c r="M447" s="214"/>
      <c r="N447" s="215"/>
      <c r="O447" s="216"/>
      <c r="P447" s="214"/>
      <c r="Q447" s="215"/>
      <c r="R447" s="216"/>
      <c r="S447" s="216"/>
      <c r="T447" s="216"/>
      <c r="U447" s="214"/>
      <c r="V447" s="215"/>
      <c r="W447" s="214"/>
      <c r="X447" s="215"/>
      <c r="Y447" s="214"/>
      <c r="Z447" s="215"/>
      <c r="AA447" s="171"/>
      <c r="AB447" s="171"/>
      <c r="AC447" s="214"/>
      <c r="AD447" s="10"/>
      <c r="AE447" s="10"/>
      <c r="AF447" s="214"/>
      <c r="AG447" s="215"/>
    </row>
    <row r="448" spans="1:33" ht="12.75" customHeight="1" x14ac:dyDescent="0.25">
      <c r="A448" s="168"/>
      <c r="B448" s="168"/>
      <c r="C448" s="168"/>
      <c r="E448" s="214"/>
      <c r="F448" s="215"/>
      <c r="G448" s="216"/>
      <c r="H448" s="216"/>
      <c r="I448" s="216"/>
      <c r="J448" s="216"/>
      <c r="K448" s="214"/>
      <c r="L448" s="215"/>
      <c r="M448" s="214"/>
      <c r="N448" s="215"/>
      <c r="O448" s="216"/>
      <c r="P448" s="214"/>
      <c r="Q448" s="215"/>
      <c r="R448" s="216"/>
      <c r="S448" s="216"/>
      <c r="T448" s="216"/>
      <c r="U448" s="214"/>
      <c r="V448" s="215"/>
      <c r="W448" s="214"/>
      <c r="X448" s="215"/>
      <c r="Y448" s="214"/>
      <c r="Z448" s="215"/>
      <c r="AA448" s="171"/>
      <c r="AB448" s="171"/>
      <c r="AC448" s="214"/>
      <c r="AD448" s="10"/>
      <c r="AE448" s="10"/>
      <c r="AF448" s="214"/>
      <c r="AG448" s="215"/>
    </row>
    <row r="449" spans="1:33" ht="12.75" customHeight="1" x14ac:dyDescent="0.25">
      <c r="A449" s="168"/>
      <c r="B449" s="168"/>
      <c r="C449" s="168"/>
      <c r="E449" s="214"/>
      <c r="F449" s="215"/>
      <c r="G449" s="216"/>
      <c r="H449" s="216"/>
      <c r="I449" s="216"/>
      <c r="J449" s="216"/>
      <c r="K449" s="214"/>
      <c r="L449" s="215"/>
      <c r="M449" s="214"/>
      <c r="N449" s="215"/>
      <c r="O449" s="216"/>
      <c r="P449" s="214"/>
      <c r="Q449" s="215"/>
      <c r="R449" s="216"/>
      <c r="S449" s="216"/>
      <c r="T449" s="216"/>
      <c r="U449" s="214"/>
      <c r="V449" s="215"/>
      <c r="W449" s="214"/>
      <c r="X449" s="215"/>
      <c r="Y449" s="214"/>
      <c r="Z449" s="215"/>
      <c r="AA449" s="171"/>
      <c r="AB449" s="171"/>
      <c r="AC449" s="214"/>
      <c r="AD449" s="10"/>
      <c r="AE449" s="10"/>
      <c r="AF449" s="214"/>
      <c r="AG449" s="215"/>
    </row>
    <row r="450" spans="1:33" ht="12.75" customHeight="1" x14ac:dyDescent="0.25">
      <c r="A450" s="168"/>
      <c r="B450" s="168"/>
      <c r="C450" s="168"/>
      <c r="E450" s="214"/>
      <c r="F450" s="215"/>
      <c r="G450" s="216"/>
      <c r="H450" s="216"/>
      <c r="I450" s="216"/>
      <c r="J450" s="216"/>
      <c r="K450" s="214"/>
      <c r="L450" s="215"/>
      <c r="M450" s="214"/>
      <c r="N450" s="215"/>
      <c r="O450" s="216"/>
      <c r="P450" s="214"/>
      <c r="Q450" s="215"/>
      <c r="R450" s="216"/>
      <c r="S450" s="216"/>
      <c r="T450" s="216"/>
      <c r="U450" s="214"/>
      <c r="V450" s="215"/>
      <c r="W450" s="214"/>
      <c r="X450" s="215"/>
      <c r="Y450" s="214"/>
      <c r="Z450" s="215"/>
      <c r="AA450" s="171"/>
      <c r="AB450" s="171"/>
      <c r="AC450" s="214"/>
      <c r="AD450" s="10"/>
      <c r="AE450" s="10"/>
      <c r="AF450" s="214"/>
      <c r="AG450" s="215"/>
    </row>
    <row r="451" spans="1:33" ht="12.75" customHeight="1" x14ac:dyDescent="0.25">
      <c r="A451" s="168"/>
      <c r="B451" s="168"/>
      <c r="C451" s="168"/>
      <c r="E451" s="214"/>
      <c r="F451" s="215"/>
      <c r="G451" s="216"/>
      <c r="H451" s="216"/>
      <c r="I451" s="216"/>
      <c r="J451" s="216"/>
      <c r="K451" s="214"/>
      <c r="L451" s="215"/>
      <c r="M451" s="214"/>
      <c r="N451" s="215"/>
      <c r="O451" s="216"/>
      <c r="P451" s="214"/>
      <c r="Q451" s="215"/>
      <c r="R451" s="216"/>
      <c r="S451" s="216"/>
      <c r="T451" s="216"/>
      <c r="U451" s="214"/>
      <c r="V451" s="215"/>
      <c r="W451" s="214"/>
      <c r="X451" s="215"/>
      <c r="Y451" s="214"/>
      <c r="Z451" s="215"/>
      <c r="AA451" s="171"/>
      <c r="AB451" s="171"/>
      <c r="AC451" s="214"/>
      <c r="AD451" s="10"/>
      <c r="AE451" s="10"/>
      <c r="AF451" s="214"/>
      <c r="AG451" s="215"/>
    </row>
    <row r="452" spans="1:33" ht="12.75" customHeight="1" x14ac:dyDescent="0.25">
      <c r="A452" s="168"/>
      <c r="B452" s="168"/>
      <c r="C452" s="168"/>
      <c r="E452" s="214"/>
      <c r="F452" s="215"/>
      <c r="G452" s="216"/>
      <c r="H452" s="216"/>
      <c r="I452" s="216"/>
      <c r="J452" s="216"/>
      <c r="K452" s="214"/>
      <c r="L452" s="215"/>
      <c r="M452" s="214"/>
      <c r="N452" s="215"/>
      <c r="O452" s="216"/>
      <c r="P452" s="214"/>
      <c r="Q452" s="215"/>
      <c r="R452" s="216"/>
      <c r="S452" s="216"/>
      <c r="T452" s="216"/>
      <c r="U452" s="214"/>
      <c r="V452" s="215"/>
      <c r="W452" s="214"/>
      <c r="X452" s="215"/>
      <c r="Y452" s="214"/>
      <c r="Z452" s="215"/>
      <c r="AA452" s="171"/>
      <c r="AB452" s="171"/>
      <c r="AC452" s="214"/>
      <c r="AD452" s="10"/>
      <c r="AE452" s="10"/>
      <c r="AF452" s="214"/>
      <c r="AG452" s="215"/>
    </row>
    <row r="453" spans="1:33" ht="12.75" customHeight="1" x14ac:dyDescent="0.25">
      <c r="A453" s="168"/>
      <c r="B453" s="168"/>
      <c r="C453" s="168"/>
      <c r="E453" s="214"/>
      <c r="F453" s="215"/>
      <c r="G453" s="216"/>
      <c r="H453" s="216"/>
      <c r="I453" s="216"/>
      <c r="J453" s="216"/>
      <c r="K453" s="214"/>
      <c r="L453" s="215"/>
      <c r="M453" s="214"/>
      <c r="N453" s="215"/>
      <c r="O453" s="216"/>
      <c r="P453" s="214"/>
      <c r="Q453" s="215"/>
      <c r="R453" s="216"/>
      <c r="S453" s="216"/>
      <c r="T453" s="216"/>
      <c r="U453" s="214"/>
      <c r="V453" s="215"/>
      <c r="W453" s="214"/>
      <c r="X453" s="215"/>
      <c r="Y453" s="214"/>
      <c r="Z453" s="215"/>
      <c r="AA453" s="171"/>
      <c r="AB453" s="171"/>
      <c r="AC453" s="214"/>
      <c r="AD453" s="10"/>
      <c r="AE453" s="10"/>
      <c r="AF453" s="214"/>
      <c r="AG453" s="215"/>
    </row>
    <row r="454" spans="1:33" ht="12.75" customHeight="1" x14ac:dyDescent="0.25">
      <c r="A454" s="168"/>
      <c r="B454" s="168"/>
      <c r="C454" s="168"/>
      <c r="E454" s="214"/>
      <c r="F454" s="215"/>
      <c r="G454" s="216"/>
      <c r="H454" s="216"/>
      <c r="I454" s="216"/>
      <c r="J454" s="216"/>
      <c r="K454" s="214"/>
      <c r="L454" s="215"/>
      <c r="M454" s="214"/>
      <c r="N454" s="215"/>
      <c r="O454" s="216"/>
      <c r="P454" s="214"/>
      <c r="Q454" s="215"/>
      <c r="R454" s="216"/>
      <c r="S454" s="216"/>
      <c r="T454" s="216"/>
      <c r="U454" s="214"/>
      <c r="V454" s="215"/>
      <c r="W454" s="214"/>
      <c r="X454" s="215"/>
      <c r="Y454" s="214"/>
      <c r="Z454" s="215"/>
      <c r="AA454" s="171"/>
      <c r="AB454" s="171"/>
      <c r="AC454" s="214"/>
      <c r="AD454" s="10"/>
      <c r="AE454" s="10"/>
      <c r="AF454" s="214"/>
      <c r="AG454" s="215"/>
    </row>
    <row r="455" spans="1:33" ht="12.75" customHeight="1" x14ac:dyDescent="0.25">
      <c r="A455" s="168"/>
      <c r="B455" s="168"/>
      <c r="C455" s="168"/>
      <c r="E455" s="214"/>
      <c r="F455" s="215"/>
      <c r="G455" s="216"/>
      <c r="H455" s="216"/>
      <c r="I455" s="216"/>
      <c r="J455" s="216"/>
      <c r="K455" s="214"/>
      <c r="L455" s="215"/>
      <c r="M455" s="214"/>
      <c r="N455" s="215"/>
      <c r="O455" s="216"/>
      <c r="P455" s="214"/>
      <c r="Q455" s="215"/>
      <c r="R455" s="216"/>
      <c r="S455" s="216"/>
      <c r="T455" s="216"/>
      <c r="U455" s="214"/>
      <c r="V455" s="215"/>
      <c r="W455" s="214"/>
      <c r="X455" s="215"/>
      <c r="Y455" s="214"/>
      <c r="Z455" s="215"/>
      <c r="AA455" s="171"/>
      <c r="AB455" s="171"/>
      <c r="AC455" s="214"/>
      <c r="AD455" s="10"/>
      <c r="AE455" s="10"/>
      <c r="AF455" s="214"/>
      <c r="AG455" s="215"/>
    </row>
    <row r="456" spans="1:33" ht="12.75" customHeight="1" x14ac:dyDescent="0.25">
      <c r="A456" s="168"/>
      <c r="B456" s="168"/>
      <c r="C456" s="168"/>
      <c r="E456" s="214"/>
      <c r="F456" s="215"/>
      <c r="G456" s="216"/>
      <c r="H456" s="216"/>
      <c r="I456" s="216"/>
      <c r="J456" s="216"/>
      <c r="K456" s="214"/>
      <c r="L456" s="215"/>
      <c r="M456" s="214"/>
      <c r="N456" s="215"/>
      <c r="O456" s="216"/>
      <c r="P456" s="214"/>
      <c r="Q456" s="215"/>
      <c r="R456" s="216"/>
      <c r="S456" s="216"/>
      <c r="T456" s="216"/>
      <c r="U456" s="214"/>
      <c r="V456" s="215"/>
      <c r="W456" s="214"/>
      <c r="X456" s="215"/>
      <c r="Y456" s="214"/>
      <c r="Z456" s="215"/>
      <c r="AA456" s="171"/>
      <c r="AB456" s="171"/>
      <c r="AC456" s="214"/>
      <c r="AD456" s="10"/>
      <c r="AE456" s="10"/>
      <c r="AF456" s="214"/>
      <c r="AG456" s="215"/>
    </row>
    <row r="457" spans="1:33" ht="12.75" customHeight="1" x14ac:dyDescent="0.25">
      <c r="A457" s="168"/>
      <c r="B457" s="168"/>
      <c r="C457" s="168"/>
      <c r="E457" s="214"/>
      <c r="F457" s="215"/>
      <c r="G457" s="216"/>
      <c r="H457" s="216"/>
      <c r="I457" s="216"/>
      <c r="J457" s="216"/>
      <c r="K457" s="214"/>
      <c r="L457" s="215"/>
      <c r="M457" s="214"/>
      <c r="N457" s="215"/>
      <c r="O457" s="216"/>
      <c r="P457" s="214"/>
      <c r="Q457" s="215"/>
      <c r="R457" s="216"/>
      <c r="S457" s="216"/>
      <c r="T457" s="216"/>
      <c r="U457" s="214"/>
      <c r="V457" s="215"/>
      <c r="W457" s="214"/>
      <c r="X457" s="215"/>
      <c r="Y457" s="214"/>
      <c r="Z457" s="215"/>
      <c r="AA457" s="171"/>
      <c r="AB457" s="171"/>
      <c r="AC457" s="214"/>
      <c r="AD457" s="10"/>
      <c r="AE457" s="10"/>
      <c r="AF457" s="214"/>
      <c r="AG457" s="215"/>
    </row>
    <row r="458" spans="1:33" ht="12.75" customHeight="1" x14ac:dyDescent="0.25">
      <c r="A458" s="168"/>
      <c r="B458" s="168"/>
      <c r="C458" s="168"/>
      <c r="E458" s="214"/>
      <c r="F458" s="215"/>
      <c r="G458" s="216"/>
      <c r="H458" s="216"/>
      <c r="I458" s="216"/>
      <c r="J458" s="216"/>
      <c r="K458" s="214"/>
      <c r="L458" s="215"/>
      <c r="M458" s="214"/>
      <c r="N458" s="215"/>
      <c r="O458" s="216"/>
      <c r="P458" s="214"/>
      <c r="Q458" s="215"/>
      <c r="R458" s="216"/>
      <c r="S458" s="216"/>
      <c r="T458" s="216"/>
      <c r="U458" s="214"/>
      <c r="V458" s="215"/>
      <c r="W458" s="214"/>
      <c r="X458" s="215"/>
      <c r="Y458" s="214"/>
      <c r="Z458" s="215"/>
      <c r="AA458" s="171"/>
      <c r="AB458" s="171"/>
      <c r="AC458" s="214"/>
      <c r="AD458" s="10"/>
      <c r="AE458" s="10"/>
      <c r="AF458" s="214"/>
      <c r="AG458" s="215"/>
    </row>
    <row r="459" spans="1:33" ht="12.75" customHeight="1" x14ac:dyDescent="0.25">
      <c r="A459" s="168"/>
      <c r="B459" s="168"/>
      <c r="C459" s="168"/>
      <c r="E459" s="214"/>
      <c r="F459" s="215"/>
      <c r="G459" s="216"/>
      <c r="H459" s="216"/>
      <c r="I459" s="216"/>
      <c r="J459" s="216"/>
      <c r="K459" s="214"/>
      <c r="L459" s="215"/>
      <c r="M459" s="214"/>
      <c r="N459" s="215"/>
      <c r="O459" s="216"/>
      <c r="P459" s="214"/>
      <c r="Q459" s="215"/>
      <c r="R459" s="216"/>
      <c r="S459" s="216"/>
      <c r="T459" s="216"/>
      <c r="U459" s="214"/>
      <c r="V459" s="215"/>
      <c r="W459" s="214"/>
      <c r="X459" s="215"/>
      <c r="Y459" s="214"/>
      <c r="Z459" s="215"/>
      <c r="AA459" s="171"/>
      <c r="AB459" s="171"/>
      <c r="AC459" s="214"/>
      <c r="AD459" s="10"/>
      <c r="AE459" s="10"/>
      <c r="AF459" s="214"/>
      <c r="AG459" s="215"/>
    </row>
    <row r="460" spans="1:33" ht="12.75" customHeight="1" x14ac:dyDescent="0.25">
      <c r="A460" s="168"/>
      <c r="B460" s="168"/>
      <c r="C460" s="168"/>
      <c r="E460" s="214"/>
      <c r="F460" s="215"/>
      <c r="G460" s="216"/>
      <c r="H460" s="216"/>
      <c r="I460" s="216"/>
      <c r="J460" s="216"/>
      <c r="K460" s="214"/>
      <c r="L460" s="215"/>
      <c r="M460" s="214"/>
      <c r="N460" s="215"/>
      <c r="O460" s="216"/>
      <c r="P460" s="214"/>
      <c r="Q460" s="215"/>
      <c r="R460" s="216"/>
      <c r="S460" s="216"/>
      <c r="T460" s="216"/>
      <c r="U460" s="214"/>
      <c r="V460" s="215"/>
      <c r="W460" s="214"/>
      <c r="X460" s="215"/>
      <c r="Y460" s="214"/>
      <c r="Z460" s="215"/>
      <c r="AA460" s="171"/>
      <c r="AB460" s="171"/>
      <c r="AC460" s="214"/>
      <c r="AD460" s="10"/>
      <c r="AE460" s="10"/>
      <c r="AF460" s="214"/>
      <c r="AG460" s="215"/>
    </row>
    <row r="461" spans="1:33" ht="12.75" customHeight="1" x14ac:dyDescent="0.25">
      <c r="A461" s="168"/>
      <c r="B461" s="168"/>
      <c r="C461" s="168"/>
      <c r="E461" s="214"/>
      <c r="F461" s="215"/>
      <c r="G461" s="216"/>
      <c r="H461" s="216"/>
      <c r="I461" s="216"/>
      <c r="J461" s="216"/>
      <c r="K461" s="214"/>
      <c r="L461" s="215"/>
      <c r="M461" s="214"/>
      <c r="N461" s="215"/>
      <c r="O461" s="216"/>
      <c r="P461" s="214"/>
      <c r="Q461" s="215"/>
      <c r="R461" s="216"/>
      <c r="S461" s="216"/>
      <c r="T461" s="216"/>
      <c r="U461" s="214"/>
      <c r="V461" s="215"/>
      <c r="W461" s="214"/>
      <c r="X461" s="215"/>
      <c r="Y461" s="214"/>
      <c r="Z461" s="215"/>
      <c r="AA461" s="171"/>
      <c r="AB461" s="171"/>
      <c r="AC461" s="214"/>
      <c r="AD461" s="10"/>
      <c r="AE461" s="10"/>
      <c r="AF461" s="214"/>
      <c r="AG461" s="215"/>
    </row>
    <row r="462" spans="1:33" ht="12.75" customHeight="1" x14ac:dyDescent="0.25">
      <c r="A462" s="168"/>
      <c r="B462" s="168"/>
      <c r="C462" s="168"/>
      <c r="E462" s="214"/>
      <c r="F462" s="215"/>
      <c r="G462" s="216"/>
      <c r="H462" s="216"/>
      <c r="I462" s="216"/>
      <c r="J462" s="216"/>
      <c r="K462" s="214"/>
      <c r="L462" s="215"/>
      <c r="M462" s="214"/>
      <c r="N462" s="215"/>
      <c r="O462" s="216"/>
      <c r="P462" s="214"/>
      <c r="Q462" s="215"/>
      <c r="R462" s="216"/>
      <c r="S462" s="216"/>
      <c r="T462" s="216"/>
      <c r="U462" s="214"/>
      <c r="V462" s="215"/>
      <c r="W462" s="214"/>
      <c r="X462" s="215"/>
      <c r="Y462" s="214"/>
      <c r="Z462" s="215"/>
      <c r="AA462" s="171"/>
      <c r="AB462" s="171"/>
      <c r="AC462" s="214"/>
      <c r="AD462" s="10"/>
      <c r="AE462" s="10"/>
      <c r="AF462" s="214"/>
      <c r="AG462" s="215"/>
    </row>
    <row r="463" spans="1:33" ht="12.75" customHeight="1" x14ac:dyDescent="0.25">
      <c r="A463" s="168"/>
      <c r="B463" s="168"/>
      <c r="C463" s="168"/>
      <c r="E463" s="214"/>
      <c r="F463" s="215"/>
      <c r="G463" s="216"/>
      <c r="H463" s="216"/>
      <c r="I463" s="216"/>
      <c r="J463" s="216"/>
      <c r="K463" s="214"/>
      <c r="L463" s="215"/>
      <c r="M463" s="214"/>
      <c r="N463" s="215"/>
      <c r="O463" s="216"/>
      <c r="P463" s="214"/>
      <c r="Q463" s="215"/>
      <c r="R463" s="216"/>
      <c r="S463" s="216"/>
      <c r="T463" s="216"/>
      <c r="U463" s="214"/>
      <c r="V463" s="215"/>
      <c r="W463" s="214"/>
      <c r="X463" s="215"/>
      <c r="Y463" s="214"/>
      <c r="Z463" s="215"/>
      <c r="AA463" s="171"/>
      <c r="AB463" s="171"/>
      <c r="AC463" s="214"/>
      <c r="AD463" s="10"/>
      <c r="AE463" s="10"/>
      <c r="AF463" s="214"/>
      <c r="AG463" s="215"/>
    </row>
    <row r="464" spans="1:33" ht="12.75" customHeight="1" x14ac:dyDescent="0.25">
      <c r="A464" s="168"/>
      <c r="B464" s="168"/>
      <c r="C464" s="168"/>
      <c r="E464" s="214"/>
      <c r="F464" s="215"/>
      <c r="G464" s="216"/>
      <c r="H464" s="216"/>
      <c r="I464" s="216"/>
      <c r="J464" s="216"/>
      <c r="K464" s="214"/>
      <c r="L464" s="215"/>
      <c r="M464" s="214"/>
      <c r="N464" s="215"/>
      <c r="O464" s="216"/>
      <c r="P464" s="214"/>
      <c r="Q464" s="215"/>
      <c r="R464" s="216"/>
      <c r="S464" s="216"/>
      <c r="T464" s="216"/>
      <c r="U464" s="214"/>
      <c r="V464" s="215"/>
      <c r="W464" s="214"/>
      <c r="X464" s="215"/>
      <c r="Y464" s="214"/>
      <c r="Z464" s="215"/>
      <c r="AA464" s="171"/>
      <c r="AB464" s="171"/>
      <c r="AC464" s="214"/>
      <c r="AD464" s="10"/>
      <c r="AE464" s="10"/>
      <c r="AF464" s="214"/>
      <c r="AG464" s="215"/>
    </row>
    <row r="465" spans="1:33" ht="12.75" customHeight="1" x14ac:dyDescent="0.25">
      <c r="A465" s="168"/>
      <c r="B465" s="168"/>
      <c r="C465" s="168"/>
      <c r="E465" s="214"/>
      <c r="F465" s="215"/>
      <c r="G465" s="216"/>
      <c r="H465" s="216"/>
      <c r="I465" s="216"/>
      <c r="J465" s="216"/>
      <c r="K465" s="214"/>
      <c r="L465" s="215"/>
      <c r="M465" s="214"/>
      <c r="N465" s="215"/>
      <c r="O465" s="216"/>
      <c r="P465" s="214"/>
      <c r="Q465" s="215"/>
      <c r="R465" s="216"/>
      <c r="S465" s="216"/>
      <c r="T465" s="216"/>
      <c r="U465" s="214"/>
      <c r="V465" s="215"/>
      <c r="W465" s="214"/>
      <c r="X465" s="215"/>
      <c r="Y465" s="214"/>
      <c r="Z465" s="215"/>
      <c r="AA465" s="171"/>
      <c r="AB465" s="171"/>
      <c r="AC465" s="214"/>
      <c r="AD465" s="10"/>
      <c r="AE465" s="10"/>
      <c r="AF465" s="214"/>
      <c r="AG465" s="215"/>
    </row>
    <row r="466" spans="1:33" ht="12.75" customHeight="1" x14ac:dyDescent="0.25">
      <c r="A466" s="168"/>
      <c r="B466" s="168"/>
      <c r="C466" s="168"/>
      <c r="E466" s="214"/>
      <c r="F466" s="215"/>
      <c r="G466" s="216"/>
      <c r="H466" s="216"/>
      <c r="I466" s="216"/>
      <c r="J466" s="216"/>
      <c r="K466" s="214"/>
      <c r="L466" s="215"/>
      <c r="M466" s="214"/>
      <c r="N466" s="215"/>
      <c r="O466" s="216"/>
      <c r="P466" s="214"/>
      <c r="Q466" s="215"/>
      <c r="R466" s="216"/>
      <c r="S466" s="216"/>
      <c r="T466" s="216"/>
      <c r="U466" s="214"/>
      <c r="V466" s="215"/>
      <c r="W466" s="214"/>
      <c r="X466" s="215"/>
      <c r="Y466" s="214"/>
      <c r="Z466" s="215"/>
      <c r="AA466" s="171"/>
      <c r="AB466" s="171"/>
      <c r="AC466" s="214"/>
      <c r="AD466" s="10"/>
      <c r="AE466" s="10"/>
      <c r="AF466" s="214"/>
      <c r="AG466" s="215"/>
    </row>
    <row r="467" spans="1:33" ht="12.75" customHeight="1" x14ac:dyDescent="0.25">
      <c r="A467" s="168"/>
      <c r="B467" s="168"/>
      <c r="C467" s="168"/>
      <c r="E467" s="214"/>
      <c r="F467" s="215"/>
      <c r="G467" s="216"/>
      <c r="H467" s="216"/>
      <c r="I467" s="216"/>
      <c r="J467" s="216"/>
      <c r="K467" s="214"/>
      <c r="L467" s="215"/>
      <c r="M467" s="214"/>
      <c r="N467" s="215"/>
      <c r="O467" s="216"/>
      <c r="P467" s="214"/>
      <c r="Q467" s="215"/>
      <c r="R467" s="216"/>
      <c r="S467" s="216"/>
      <c r="T467" s="216"/>
      <c r="U467" s="214"/>
      <c r="V467" s="215"/>
      <c r="W467" s="214"/>
      <c r="X467" s="215"/>
      <c r="Y467" s="214"/>
      <c r="Z467" s="215"/>
      <c r="AA467" s="171"/>
      <c r="AB467" s="171"/>
      <c r="AC467" s="214"/>
      <c r="AD467" s="10"/>
      <c r="AE467" s="10"/>
      <c r="AF467" s="214"/>
      <c r="AG467" s="215"/>
    </row>
    <row r="468" spans="1:33" ht="12.75" customHeight="1" x14ac:dyDescent="0.25">
      <c r="A468" s="168"/>
      <c r="B468" s="168"/>
      <c r="C468" s="168"/>
      <c r="E468" s="214"/>
      <c r="F468" s="215"/>
      <c r="G468" s="216"/>
      <c r="H468" s="216"/>
      <c r="I468" s="216"/>
      <c r="J468" s="216"/>
      <c r="K468" s="214"/>
      <c r="L468" s="215"/>
      <c r="M468" s="214"/>
      <c r="N468" s="215"/>
      <c r="O468" s="216"/>
      <c r="P468" s="214"/>
      <c r="Q468" s="215"/>
      <c r="R468" s="216"/>
      <c r="S468" s="216"/>
      <c r="T468" s="216"/>
      <c r="U468" s="214"/>
      <c r="V468" s="215"/>
      <c r="W468" s="214"/>
      <c r="X468" s="215"/>
      <c r="Y468" s="214"/>
      <c r="Z468" s="215"/>
      <c r="AA468" s="171"/>
      <c r="AB468" s="171"/>
      <c r="AC468" s="214"/>
      <c r="AD468" s="10"/>
      <c r="AE468" s="10"/>
      <c r="AF468" s="214"/>
      <c r="AG468" s="215"/>
    </row>
    <row r="469" spans="1:33" ht="12.75" customHeight="1" x14ac:dyDescent="0.25">
      <c r="A469" s="168"/>
      <c r="B469" s="168"/>
      <c r="C469" s="168"/>
      <c r="E469" s="214"/>
      <c r="F469" s="215"/>
      <c r="G469" s="216"/>
      <c r="H469" s="216"/>
      <c r="I469" s="216"/>
      <c r="J469" s="216"/>
      <c r="K469" s="214"/>
      <c r="L469" s="215"/>
      <c r="M469" s="214"/>
      <c r="N469" s="215"/>
      <c r="O469" s="216"/>
      <c r="P469" s="214"/>
      <c r="Q469" s="215"/>
      <c r="R469" s="216"/>
      <c r="S469" s="216"/>
      <c r="T469" s="216"/>
      <c r="U469" s="214"/>
      <c r="V469" s="215"/>
      <c r="W469" s="214"/>
      <c r="X469" s="215"/>
      <c r="Y469" s="214"/>
      <c r="Z469" s="215"/>
      <c r="AA469" s="171"/>
      <c r="AB469" s="171"/>
      <c r="AC469" s="214"/>
      <c r="AD469" s="10"/>
      <c r="AE469" s="10"/>
      <c r="AF469" s="214"/>
      <c r="AG469" s="215"/>
    </row>
    <row r="470" spans="1:33" ht="12.75" customHeight="1" x14ac:dyDescent="0.25">
      <c r="A470" s="168"/>
      <c r="B470" s="168"/>
      <c r="C470" s="168"/>
      <c r="E470" s="214"/>
      <c r="F470" s="215"/>
      <c r="G470" s="216"/>
      <c r="H470" s="216"/>
      <c r="I470" s="216"/>
      <c r="J470" s="216"/>
      <c r="K470" s="214"/>
      <c r="L470" s="215"/>
      <c r="M470" s="214"/>
      <c r="N470" s="215"/>
      <c r="O470" s="216"/>
      <c r="P470" s="214"/>
      <c r="Q470" s="215"/>
      <c r="R470" s="216"/>
      <c r="S470" s="216"/>
      <c r="T470" s="216"/>
      <c r="U470" s="214"/>
      <c r="V470" s="215"/>
      <c r="W470" s="214"/>
      <c r="X470" s="215"/>
      <c r="Y470" s="214"/>
      <c r="Z470" s="215"/>
      <c r="AA470" s="171"/>
      <c r="AB470" s="171"/>
      <c r="AC470" s="214"/>
      <c r="AD470" s="10"/>
      <c r="AE470" s="10"/>
      <c r="AF470" s="214"/>
      <c r="AG470" s="215"/>
    </row>
    <row r="471" spans="1:33" ht="12.75" customHeight="1" x14ac:dyDescent="0.25">
      <c r="A471" s="168"/>
      <c r="B471" s="168"/>
      <c r="C471" s="168"/>
      <c r="E471" s="214"/>
      <c r="F471" s="215"/>
      <c r="G471" s="216"/>
      <c r="H471" s="216"/>
      <c r="I471" s="216"/>
      <c r="J471" s="216"/>
      <c r="K471" s="214"/>
      <c r="L471" s="215"/>
      <c r="M471" s="214"/>
      <c r="N471" s="215"/>
      <c r="O471" s="216"/>
      <c r="P471" s="214"/>
      <c r="Q471" s="215"/>
      <c r="R471" s="216"/>
      <c r="S471" s="216"/>
      <c r="T471" s="216"/>
      <c r="U471" s="214"/>
      <c r="V471" s="215"/>
      <c r="W471" s="214"/>
      <c r="X471" s="215"/>
      <c r="Y471" s="214"/>
      <c r="Z471" s="215"/>
      <c r="AA471" s="171"/>
      <c r="AB471" s="171"/>
      <c r="AC471" s="214"/>
      <c r="AD471" s="10"/>
      <c r="AE471" s="10"/>
      <c r="AF471" s="214"/>
      <c r="AG471" s="215"/>
    </row>
    <row r="472" spans="1:33" ht="12.75" customHeight="1" x14ac:dyDescent="0.25">
      <c r="A472" s="168"/>
      <c r="B472" s="168"/>
      <c r="C472" s="168"/>
      <c r="E472" s="214"/>
      <c r="F472" s="215"/>
      <c r="G472" s="216"/>
      <c r="H472" s="216"/>
      <c r="I472" s="216"/>
      <c r="J472" s="216"/>
      <c r="K472" s="214"/>
      <c r="L472" s="215"/>
      <c r="M472" s="214"/>
      <c r="N472" s="215"/>
      <c r="O472" s="216"/>
      <c r="P472" s="214"/>
      <c r="Q472" s="215"/>
      <c r="R472" s="216"/>
      <c r="S472" s="216"/>
      <c r="T472" s="216"/>
      <c r="U472" s="214"/>
      <c r="V472" s="215"/>
      <c r="W472" s="214"/>
      <c r="X472" s="215"/>
      <c r="Y472" s="214"/>
      <c r="Z472" s="215"/>
      <c r="AA472" s="171"/>
      <c r="AB472" s="171"/>
      <c r="AC472" s="214"/>
      <c r="AD472" s="10"/>
      <c r="AE472" s="10"/>
      <c r="AF472" s="214"/>
      <c r="AG472" s="215"/>
    </row>
    <row r="473" spans="1:33" ht="12.75" customHeight="1" x14ac:dyDescent="0.25">
      <c r="A473" s="168"/>
      <c r="B473" s="168"/>
      <c r="C473" s="168"/>
      <c r="E473" s="214"/>
      <c r="F473" s="215"/>
      <c r="G473" s="216"/>
      <c r="H473" s="216"/>
      <c r="I473" s="216"/>
      <c r="J473" s="216"/>
      <c r="K473" s="214"/>
      <c r="L473" s="215"/>
      <c r="M473" s="214"/>
      <c r="N473" s="215"/>
      <c r="O473" s="216"/>
      <c r="P473" s="214"/>
      <c r="Q473" s="215"/>
      <c r="R473" s="216"/>
      <c r="S473" s="216"/>
      <c r="T473" s="216"/>
      <c r="U473" s="214"/>
      <c r="V473" s="215"/>
      <c r="W473" s="214"/>
      <c r="X473" s="215"/>
      <c r="Y473" s="214"/>
      <c r="Z473" s="215"/>
      <c r="AA473" s="171"/>
      <c r="AB473" s="171"/>
      <c r="AC473" s="214"/>
      <c r="AD473" s="10"/>
      <c r="AE473" s="10"/>
      <c r="AF473" s="214"/>
      <c r="AG473" s="215"/>
    </row>
    <row r="474" spans="1:33" ht="12.75" customHeight="1" x14ac:dyDescent="0.25">
      <c r="A474" s="168"/>
      <c r="B474" s="168"/>
      <c r="C474" s="168"/>
      <c r="E474" s="214"/>
      <c r="F474" s="215"/>
      <c r="G474" s="216"/>
      <c r="H474" s="216"/>
      <c r="I474" s="216"/>
      <c r="J474" s="216"/>
      <c r="K474" s="214"/>
      <c r="L474" s="215"/>
      <c r="M474" s="214"/>
      <c r="N474" s="215"/>
      <c r="O474" s="216"/>
      <c r="P474" s="214"/>
      <c r="Q474" s="215"/>
      <c r="R474" s="216"/>
      <c r="S474" s="216"/>
      <c r="T474" s="216"/>
      <c r="U474" s="214"/>
      <c r="V474" s="215"/>
      <c r="W474" s="214"/>
      <c r="X474" s="215"/>
      <c r="Y474" s="214"/>
      <c r="Z474" s="215"/>
      <c r="AA474" s="171"/>
      <c r="AB474" s="171"/>
      <c r="AC474" s="214"/>
      <c r="AD474" s="10"/>
      <c r="AE474" s="10"/>
      <c r="AF474" s="214"/>
      <c r="AG474" s="215"/>
    </row>
    <row r="475" spans="1:33" ht="12.75" customHeight="1" x14ac:dyDescent="0.25">
      <c r="A475" s="168"/>
      <c r="B475" s="168"/>
      <c r="C475" s="168"/>
      <c r="E475" s="214"/>
      <c r="F475" s="215"/>
      <c r="G475" s="216"/>
      <c r="H475" s="216"/>
      <c r="I475" s="216"/>
      <c r="J475" s="216"/>
      <c r="K475" s="214"/>
      <c r="L475" s="215"/>
      <c r="M475" s="214"/>
      <c r="N475" s="215"/>
      <c r="O475" s="216"/>
      <c r="P475" s="214"/>
      <c r="Q475" s="215"/>
      <c r="R475" s="216"/>
      <c r="S475" s="216"/>
      <c r="T475" s="216"/>
      <c r="U475" s="214"/>
      <c r="V475" s="215"/>
      <c r="W475" s="214"/>
      <c r="X475" s="215"/>
      <c r="Y475" s="214"/>
      <c r="Z475" s="215"/>
      <c r="AA475" s="171"/>
      <c r="AB475" s="171"/>
      <c r="AC475" s="214"/>
      <c r="AD475" s="10"/>
      <c r="AE475" s="10"/>
      <c r="AF475" s="214"/>
      <c r="AG475" s="215"/>
    </row>
    <row r="476" spans="1:33" ht="12.75" customHeight="1" x14ac:dyDescent="0.25">
      <c r="A476" s="168"/>
      <c r="B476" s="168"/>
      <c r="C476" s="168"/>
      <c r="E476" s="214"/>
      <c r="F476" s="215"/>
      <c r="G476" s="216"/>
      <c r="H476" s="216"/>
      <c r="I476" s="216"/>
      <c r="J476" s="216"/>
      <c r="K476" s="214"/>
      <c r="L476" s="215"/>
      <c r="M476" s="214"/>
      <c r="N476" s="215"/>
      <c r="O476" s="216"/>
      <c r="P476" s="214"/>
      <c r="Q476" s="215"/>
      <c r="R476" s="216"/>
      <c r="S476" s="216"/>
      <c r="T476" s="216"/>
      <c r="U476" s="214"/>
      <c r="V476" s="215"/>
      <c r="W476" s="214"/>
      <c r="X476" s="215"/>
      <c r="Y476" s="214"/>
      <c r="Z476" s="215"/>
      <c r="AA476" s="171"/>
      <c r="AB476" s="171"/>
      <c r="AC476" s="214"/>
      <c r="AD476" s="10"/>
      <c r="AE476" s="10"/>
      <c r="AF476" s="214"/>
      <c r="AG476" s="215"/>
    </row>
    <row r="477" spans="1:33" ht="12.75" customHeight="1" x14ac:dyDescent="0.25">
      <c r="A477" s="168"/>
      <c r="B477" s="168"/>
      <c r="C477" s="168"/>
      <c r="E477" s="214"/>
      <c r="F477" s="215"/>
      <c r="G477" s="216"/>
      <c r="H477" s="216"/>
      <c r="I477" s="216"/>
      <c r="J477" s="216"/>
      <c r="K477" s="214"/>
      <c r="L477" s="215"/>
      <c r="M477" s="214"/>
      <c r="N477" s="215"/>
      <c r="O477" s="216"/>
      <c r="P477" s="214"/>
      <c r="Q477" s="215"/>
      <c r="R477" s="216"/>
      <c r="S477" s="216"/>
      <c r="T477" s="216"/>
      <c r="U477" s="214"/>
      <c r="V477" s="215"/>
      <c r="W477" s="214"/>
      <c r="X477" s="215"/>
      <c r="Y477" s="214"/>
      <c r="Z477" s="215"/>
      <c r="AA477" s="171"/>
      <c r="AB477" s="171"/>
      <c r="AC477" s="214"/>
      <c r="AD477" s="10"/>
      <c r="AE477" s="10"/>
      <c r="AF477" s="214"/>
      <c r="AG477" s="215"/>
    </row>
    <row r="478" spans="1:33" ht="12.75" customHeight="1" x14ac:dyDescent="0.25">
      <c r="A478" s="168"/>
      <c r="B478" s="168"/>
      <c r="C478" s="168"/>
      <c r="E478" s="214"/>
      <c r="F478" s="215"/>
      <c r="G478" s="216"/>
      <c r="H478" s="216"/>
      <c r="I478" s="216"/>
      <c r="J478" s="216"/>
      <c r="K478" s="214"/>
      <c r="L478" s="215"/>
      <c r="M478" s="214"/>
      <c r="N478" s="215"/>
      <c r="O478" s="216"/>
      <c r="P478" s="214"/>
      <c r="Q478" s="215"/>
      <c r="R478" s="216"/>
      <c r="S478" s="216"/>
      <c r="T478" s="216"/>
      <c r="U478" s="214"/>
      <c r="V478" s="215"/>
      <c r="W478" s="214"/>
      <c r="X478" s="215"/>
      <c r="Y478" s="214"/>
      <c r="Z478" s="215"/>
      <c r="AA478" s="171"/>
      <c r="AB478" s="171"/>
      <c r="AC478" s="214"/>
      <c r="AD478" s="10"/>
      <c r="AE478" s="10"/>
      <c r="AF478" s="214"/>
      <c r="AG478" s="215"/>
    </row>
    <row r="479" spans="1:33" ht="12.75" customHeight="1" x14ac:dyDescent="0.25">
      <c r="A479" s="168"/>
      <c r="B479" s="168"/>
      <c r="C479" s="168"/>
      <c r="E479" s="214"/>
      <c r="F479" s="215"/>
      <c r="G479" s="216"/>
      <c r="H479" s="216"/>
      <c r="I479" s="216"/>
      <c r="J479" s="216"/>
      <c r="K479" s="214"/>
      <c r="L479" s="215"/>
      <c r="M479" s="214"/>
      <c r="N479" s="215"/>
      <c r="O479" s="216"/>
      <c r="P479" s="214"/>
      <c r="Q479" s="215"/>
      <c r="R479" s="216"/>
      <c r="S479" s="216"/>
      <c r="T479" s="216"/>
      <c r="U479" s="214"/>
      <c r="V479" s="215"/>
      <c r="W479" s="214"/>
      <c r="X479" s="215"/>
      <c r="Y479" s="214"/>
      <c r="Z479" s="215"/>
      <c r="AA479" s="171"/>
      <c r="AB479" s="171"/>
      <c r="AC479" s="214"/>
      <c r="AD479" s="10"/>
      <c r="AE479" s="10"/>
      <c r="AF479" s="214"/>
      <c r="AG479" s="215"/>
    </row>
    <row r="480" spans="1:33" ht="12.75" customHeight="1" x14ac:dyDescent="0.25">
      <c r="A480" s="168"/>
      <c r="B480" s="168"/>
      <c r="C480" s="168"/>
      <c r="E480" s="214"/>
      <c r="F480" s="215"/>
      <c r="G480" s="216"/>
      <c r="H480" s="216"/>
      <c r="I480" s="216"/>
      <c r="J480" s="216"/>
      <c r="K480" s="214"/>
      <c r="L480" s="215"/>
      <c r="M480" s="214"/>
      <c r="N480" s="215"/>
      <c r="O480" s="216"/>
      <c r="P480" s="214"/>
      <c r="Q480" s="215"/>
      <c r="R480" s="216"/>
      <c r="S480" s="216"/>
      <c r="T480" s="216"/>
      <c r="U480" s="214"/>
      <c r="V480" s="215"/>
      <c r="W480" s="214"/>
      <c r="X480" s="215"/>
      <c r="Y480" s="214"/>
      <c r="Z480" s="215"/>
      <c r="AA480" s="171"/>
      <c r="AB480" s="171"/>
      <c r="AC480" s="214"/>
      <c r="AD480" s="10"/>
      <c r="AE480" s="10"/>
      <c r="AF480" s="214"/>
      <c r="AG480" s="215"/>
    </row>
    <row r="481" spans="1:33" ht="12.75" customHeight="1" x14ac:dyDescent="0.25">
      <c r="A481" s="168"/>
      <c r="B481" s="168"/>
      <c r="C481" s="168"/>
      <c r="E481" s="214"/>
      <c r="F481" s="215"/>
      <c r="G481" s="216"/>
      <c r="H481" s="216"/>
      <c r="I481" s="216"/>
      <c r="J481" s="216"/>
      <c r="K481" s="214"/>
      <c r="L481" s="215"/>
      <c r="M481" s="214"/>
      <c r="N481" s="215"/>
      <c r="O481" s="216"/>
      <c r="P481" s="214"/>
      <c r="Q481" s="215"/>
      <c r="R481" s="216"/>
      <c r="S481" s="216"/>
      <c r="T481" s="216"/>
      <c r="U481" s="214"/>
      <c r="V481" s="215"/>
      <c r="W481" s="214"/>
      <c r="X481" s="215"/>
      <c r="Y481" s="214"/>
      <c r="Z481" s="215"/>
      <c r="AA481" s="171"/>
      <c r="AB481" s="171"/>
      <c r="AC481" s="214"/>
      <c r="AD481" s="10"/>
      <c r="AE481" s="10"/>
      <c r="AF481" s="214"/>
      <c r="AG481" s="215"/>
    </row>
    <row r="482" spans="1:33" ht="12.75" customHeight="1" x14ac:dyDescent="0.25">
      <c r="A482" s="168"/>
      <c r="B482" s="168"/>
      <c r="C482" s="168"/>
      <c r="E482" s="214"/>
      <c r="F482" s="215"/>
      <c r="G482" s="216"/>
      <c r="H482" s="216"/>
      <c r="I482" s="216"/>
      <c r="J482" s="216"/>
      <c r="K482" s="214"/>
      <c r="L482" s="215"/>
      <c r="M482" s="214"/>
      <c r="N482" s="215"/>
      <c r="O482" s="216"/>
      <c r="P482" s="214"/>
      <c r="Q482" s="215"/>
      <c r="R482" s="216"/>
      <c r="S482" s="216"/>
      <c r="T482" s="216"/>
      <c r="U482" s="214"/>
      <c r="V482" s="215"/>
      <c r="W482" s="214"/>
      <c r="X482" s="215"/>
      <c r="Y482" s="214"/>
      <c r="Z482" s="215"/>
      <c r="AA482" s="171"/>
      <c r="AB482" s="171"/>
      <c r="AC482" s="214"/>
      <c r="AD482" s="10"/>
      <c r="AE482" s="10"/>
      <c r="AF482" s="214"/>
      <c r="AG482" s="215"/>
    </row>
    <row r="483" spans="1:33" ht="12.75" customHeight="1" x14ac:dyDescent="0.25">
      <c r="A483" s="168"/>
      <c r="B483" s="168"/>
      <c r="C483" s="168"/>
      <c r="E483" s="214"/>
      <c r="F483" s="215"/>
      <c r="G483" s="216"/>
      <c r="H483" s="216"/>
      <c r="I483" s="216"/>
      <c r="J483" s="216"/>
      <c r="K483" s="214"/>
      <c r="L483" s="215"/>
      <c r="M483" s="214"/>
      <c r="N483" s="215"/>
      <c r="O483" s="216"/>
      <c r="P483" s="214"/>
      <c r="Q483" s="215"/>
      <c r="R483" s="216"/>
      <c r="S483" s="216"/>
      <c r="T483" s="216"/>
      <c r="U483" s="214"/>
      <c r="V483" s="215"/>
      <c r="W483" s="214"/>
      <c r="X483" s="215"/>
      <c r="Y483" s="214"/>
      <c r="Z483" s="215"/>
      <c r="AA483" s="171"/>
      <c r="AB483" s="171"/>
      <c r="AC483" s="214"/>
      <c r="AD483" s="10"/>
      <c r="AE483" s="10"/>
      <c r="AF483" s="214"/>
      <c r="AG483" s="215"/>
    </row>
    <row r="484" spans="1:33" ht="12.75" customHeight="1" x14ac:dyDescent="0.25">
      <c r="A484" s="168"/>
      <c r="B484" s="168"/>
      <c r="C484" s="168"/>
      <c r="E484" s="214"/>
      <c r="F484" s="215"/>
      <c r="G484" s="216"/>
      <c r="H484" s="216"/>
      <c r="I484" s="216"/>
      <c r="J484" s="216"/>
      <c r="K484" s="214"/>
      <c r="L484" s="215"/>
      <c r="M484" s="214"/>
      <c r="N484" s="215"/>
      <c r="O484" s="216"/>
      <c r="P484" s="214"/>
      <c r="Q484" s="215"/>
      <c r="R484" s="216"/>
      <c r="S484" s="216"/>
      <c r="T484" s="216"/>
      <c r="U484" s="214"/>
      <c r="V484" s="215"/>
      <c r="W484" s="214"/>
      <c r="X484" s="215"/>
      <c r="Y484" s="214"/>
      <c r="Z484" s="215"/>
      <c r="AA484" s="171"/>
      <c r="AB484" s="171"/>
      <c r="AC484" s="214"/>
      <c r="AD484" s="10"/>
      <c r="AE484" s="10"/>
      <c r="AF484" s="214"/>
      <c r="AG484" s="215"/>
    </row>
    <row r="485" spans="1:33" ht="12.75" customHeight="1" x14ac:dyDescent="0.25">
      <c r="A485" s="168"/>
      <c r="B485" s="168"/>
      <c r="C485" s="168"/>
      <c r="E485" s="214"/>
      <c r="F485" s="215"/>
      <c r="G485" s="216"/>
      <c r="H485" s="216"/>
      <c r="I485" s="216"/>
      <c r="J485" s="216"/>
      <c r="K485" s="214"/>
      <c r="L485" s="215"/>
      <c r="M485" s="214"/>
      <c r="N485" s="215"/>
      <c r="O485" s="216"/>
      <c r="P485" s="214"/>
      <c r="Q485" s="215"/>
      <c r="R485" s="216"/>
      <c r="S485" s="216"/>
      <c r="T485" s="216"/>
      <c r="U485" s="214"/>
      <c r="V485" s="215"/>
      <c r="W485" s="214"/>
      <c r="X485" s="215"/>
      <c r="Y485" s="214"/>
      <c r="Z485" s="215"/>
      <c r="AA485" s="171"/>
      <c r="AB485" s="171"/>
      <c r="AC485" s="214"/>
      <c r="AD485" s="10"/>
      <c r="AE485" s="10"/>
      <c r="AF485" s="214"/>
      <c r="AG485" s="215"/>
    </row>
    <row r="486" spans="1:33" ht="12.75" customHeight="1" x14ac:dyDescent="0.25">
      <c r="A486" s="168"/>
      <c r="B486" s="168"/>
      <c r="C486" s="168"/>
      <c r="E486" s="214"/>
      <c r="F486" s="215"/>
      <c r="G486" s="216"/>
      <c r="H486" s="216"/>
      <c r="I486" s="216"/>
      <c r="J486" s="216"/>
      <c r="K486" s="214"/>
      <c r="L486" s="215"/>
      <c r="M486" s="214"/>
      <c r="N486" s="215"/>
      <c r="O486" s="216"/>
      <c r="P486" s="214"/>
      <c r="Q486" s="215"/>
      <c r="R486" s="216"/>
      <c r="S486" s="216"/>
      <c r="T486" s="216"/>
      <c r="U486" s="214"/>
      <c r="V486" s="215"/>
      <c r="W486" s="214"/>
      <c r="X486" s="215"/>
      <c r="Y486" s="214"/>
      <c r="Z486" s="215"/>
      <c r="AA486" s="171"/>
      <c r="AB486" s="171"/>
      <c r="AC486" s="214"/>
      <c r="AD486" s="10"/>
      <c r="AE486" s="10"/>
      <c r="AF486" s="214"/>
      <c r="AG486" s="215"/>
    </row>
    <row r="487" spans="1:33" ht="12.75" customHeight="1" x14ac:dyDescent="0.25">
      <c r="A487" s="168"/>
      <c r="B487" s="168"/>
      <c r="C487" s="168"/>
      <c r="E487" s="214"/>
      <c r="F487" s="215"/>
      <c r="G487" s="216"/>
      <c r="H487" s="216"/>
      <c r="I487" s="216"/>
      <c r="J487" s="216"/>
      <c r="K487" s="214"/>
      <c r="L487" s="215"/>
      <c r="M487" s="214"/>
      <c r="N487" s="215"/>
      <c r="O487" s="216"/>
      <c r="P487" s="214"/>
      <c r="Q487" s="215"/>
      <c r="R487" s="216"/>
      <c r="S487" s="216"/>
      <c r="T487" s="216"/>
      <c r="U487" s="214"/>
      <c r="V487" s="215"/>
      <c r="W487" s="214"/>
      <c r="X487" s="215"/>
      <c r="Y487" s="214"/>
      <c r="Z487" s="215"/>
      <c r="AA487" s="171"/>
      <c r="AB487" s="171"/>
      <c r="AC487" s="214"/>
      <c r="AD487" s="10"/>
      <c r="AE487" s="10"/>
      <c r="AF487" s="214"/>
      <c r="AG487" s="215"/>
    </row>
    <row r="488" spans="1:33" ht="12.75" customHeight="1" x14ac:dyDescent="0.25">
      <c r="A488" s="168"/>
      <c r="B488" s="168"/>
      <c r="C488" s="168"/>
      <c r="E488" s="214"/>
      <c r="F488" s="215"/>
      <c r="G488" s="216"/>
      <c r="H488" s="216"/>
      <c r="I488" s="216"/>
      <c r="J488" s="216"/>
      <c r="K488" s="214"/>
      <c r="L488" s="215"/>
      <c r="M488" s="214"/>
      <c r="N488" s="215"/>
      <c r="O488" s="216"/>
      <c r="P488" s="214"/>
      <c r="Q488" s="215"/>
      <c r="R488" s="216"/>
      <c r="S488" s="216"/>
      <c r="T488" s="216"/>
      <c r="U488" s="214"/>
      <c r="V488" s="215"/>
      <c r="W488" s="214"/>
      <c r="X488" s="215"/>
      <c r="Y488" s="214"/>
      <c r="Z488" s="215"/>
      <c r="AA488" s="171"/>
      <c r="AB488" s="171"/>
      <c r="AC488" s="214"/>
      <c r="AD488" s="10"/>
      <c r="AE488" s="10"/>
      <c r="AF488" s="214"/>
      <c r="AG488" s="215"/>
    </row>
    <row r="489" spans="1:33" ht="12.75" customHeight="1" x14ac:dyDescent="0.25">
      <c r="A489" s="168"/>
      <c r="B489" s="168"/>
      <c r="C489" s="168"/>
      <c r="E489" s="214"/>
      <c r="F489" s="215"/>
      <c r="G489" s="216"/>
      <c r="H489" s="216"/>
      <c r="I489" s="216"/>
      <c r="J489" s="216"/>
      <c r="K489" s="214"/>
      <c r="L489" s="215"/>
      <c r="M489" s="214"/>
      <c r="N489" s="215"/>
      <c r="O489" s="216"/>
      <c r="P489" s="214"/>
      <c r="Q489" s="215"/>
      <c r="R489" s="216"/>
      <c r="S489" s="216"/>
      <c r="T489" s="216"/>
      <c r="U489" s="214"/>
      <c r="V489" s="215"/>
      <c r="W489" s="214"/>
      <c r="X489" s="215"/>
      <c r="Y489" s="214"/>
      <c r="Z489" s="215"/>
      <c r="AA489" s="171"/>
      <c r="AB489" s="171"/>
      <c r="AC489" s="214"/>
      <c r="AD489" s="10"/>
      <c r="AE489" s="10"/>
      <c r="AF489" s="214"/>
      <c r="AG489" s="215"/>
    </row>
    <row r="490" spans="1:33" ht="12.75" customHeight="1" x14ac:dyDescent="0.25">
      <c r="A490" s="168"/>
      <c r="B490" s="168"/>
      <c r="C490" s="168"/>
      <c r="E490" s="214"/>
      <c r="F490" s="215"/>
      <c r="G490" s="216"/>
      <c r="H490" s="216"/>
      <c r="I490" s="216"/>
      <c r="J490" s="216"/>
      <c r="K490" s="214"/>
      <c r="L490" s="215"/>
      <c r="M490" s="214"/>
      <c r="N490" s="215"/>
      <c r="O490" s="216"/>
      <c r="P490" s="214"/>
      <c r="Q490" s="215"/>
      <c r="R490" s="216"/>
      <c r="S490" s="216"/>
      <c r="T490" s="216"/>
      <c r="U490" s="214"/>
      <c r="V490" s="215"/>
      <c r="W490" s="214"/>
      <c r="X490" s="215"/>
      <c r="Y490" s="214"/>
      <c r="Z490" s="215"/>
      <c r="AA490" s="171"/>
      <c r="AB490" s="171"/>
      <c r="AC490" s="214"/>
      <c r="AD490" s="10"/>
      <c r="AE490" s="10"/>
      <c r="AF490" s="214"/>
      <c r="AG490" s="215"/>
    </row>
    <row r="491" spans="1:33" ht="12.75" customHeight="1" x14ac:dyDescent="0.25">
      <c r="A491" s="168"/>
      <c r="B491" s="168"/>
      <c r="C491" s="168"/>
      <c r="E491" s="214"/>
      <c r="F491" s="215"/>
      <c r="G491" s="216"/>
      <c r="H491" s="216"/>
      <c r="I491" s="216"/>
      <c r="J491" s="216"/>
      <c r="K491" s="214"/>
      <c r="L491" s="215"/>
      <c r="M491" s="214"/>
      <c r="N491" s="215"/>
      <c r="O491" s="216"/>
      <c r="P491" s="214"/>
      <c r="Q491" s="215"/>
      <c r="R491" s="216"/>
      <c r="S491" s="216"/>
      <c r="T491" s="216"/>
      <c r="U491" s="214"/>
      <c r="V491" s="215"/>
      <c r="W491" s="214"/>
      <c r="X491" s="215"/>
      <c r="Y491" s="214"/>
      <c r="Z491" s="215"/>
      <c r="AA491" s="171"/>
      <c r="AB491" s="171"/>
      <c r="AC491" s="214"/>
      <c r="AD491" s="10"/>
      <c r="AE491" s="10"/>
      <c r="AF491" s="214"/>
      <c r="AG491" s="215"/>
    </row>
    <row r="492" spans="1:33" ht="12.75" customHeight="1" x14ac:dyDescent="0.25">
      <c r="A492" s="168"/>
      <c r="B492" s="168"/>
      <c r="C492" s="168"/>
      <c r="E492" s="214"/>
      <c r="F492" s="215"/>
      <c r="G492" s="216"/>
      <c r="H492" s="216"/>
      <c r="I492" s="216"/>
      <c r="J492" s="216"/>
      <c r="K492" s="214"/>
      <c r="L492" s="215"/>
      <c r="M492" s="214"/>
      <c r="N492" s="215"/>
      <c r="O492" s="216"/>
      <c r="P492" s="214"/>
      <c r="Q492" s="215"/>
      <c r="R492" s="216"/>
      <c r="S492" s="216"/>
      <c r="T492" s="216"/>
      <c r="U492" s="214"/>
      <c r="V492" s="215"/>
      <c r="W492" s="214"/>
      <c r="X492" s="215"/>
      <c r="Y492" s="214"/>
      <c r="Z492" s="215"/>
      <c r="AA492" s="171"/>
      <c r="AB492" s="171"/>
      <c r="AC492" s="214"/>
      <c r="AD492" s="10"/>
      <c r="AE492" s="10"/>
      <c r="AF492" s="214"/>
      <c r="AG492" s="215"/>
    </row>
    <row r="493" spans="1:33" ht="12.75" customHeight="1" x14ac:dyDescent="0.25">
      <c r="A493" s="168"/>
      <c r="B493" s="168"/>
      <c r="C493" s="168"/>
      <c r="E493" s="214"/>
      <c r="F493" s="215"/>
      <c r="G493" s="216"/>
      <c r="H493" s="216"/>
      <c r="I493" s="216"/>
      <c r="J493" s="216"/>
      <c r="K493" s="214"/>
      <c r="L493" s="215"/>
      <c r="M493" s="214"/>
      <c r="N493" s="215"/>
      <c r="O493" s="216"/>
      <c r="P493" s="214"/>
      <c r="Q493" s="215"/>
      <c r="R493" s="216"/>
      <c r="S493" s="216"/>
      <c r="T493" s="216"/>
      <c r="U493" s="214"/>
      <c r="V493" s="215"/>
      <c r="W493" s="214"/>
      <c r="X493" s="215"/>
      <c r="Y493" s="214"/>
      <c r="Z493" s="215"/>
      <c r="AA493" s="171"/>
      <c r="AB493" s="171"/>
      <c r="AC493" s="214"/>
      <c r="AD493" s="10"/>
      <c r="AE493" s="10"/>
      <c r="AF493" s="214"/>
      <c r="AG493" s="215"/>
    </row>
    <row r="494" spans="1:33" ht="12.75" customHeight="1" x14ac:dyDescent="0.25">
      <c r="A494" s="168"/>
      <c r="B494" s="168"/>
      <c r="C494" s="168"/>
      <c r="E494" s="214"/>
      <c r="F494" s="215"/>
      <c r="G494" s="216"/>
      <c r="H494" s="216"/>
      <c r="I494" s="216"/>
      <c r="J494" s="216"/>
      <c r="K494" s="214"/>
      <c r="L494" s="215"/>
      <c r="M494" s="214"/>
      <c r="N494" s="215"/>
      <c r="O494" s="216"/>
      <c r="P494" s="214"/>
      <c r="Q494" s="215"/>
      <c r="R494" s="216"/>
      <c r="S494" s="216"/>
      <c r="T494" s="216"/>
      <c r="U494" s="214"/>
      <c r="V494" s="215"/>
      <c r="W494" s="214"/>
      <c r="X494" s="215"/>
      <c r="Y494" s="214"/>
      <c r="Z494" s="215"/>
      <c r="AA494" s="171"/>
      <c r="AB494" s="171"/>
      <c r="AC494" s="214"/>
      <c r="AD494" s="10"/>
      <c r="AE494" s="10"/>
      <c r="AF494" s="214"/>
      <c r="AG494" s="215"/>
    </row>
    <row r="495" spans="1:33" ht="12.75" customHeight="1" x14ac:dyDescent="0.25">
      <c r="A495" s="168"/>
      <c r="B495" s="168"/>
      <c r="C495" s="168"/>
      <c r="E495" s="214"/>
      <c r="F495" s="215"/>
      <c r="G495" s="216"/>
      <c r="H495" s="216"/>
      <c r="I495" s="216"/>
      <c r="J495" s="216"/>
      <c r="K495" s="214"/>
      <c r="L495" s="215"/>
      <c r="M495" s="214"/>
      <c r="N495" s="215"/>
      <c r="O495" s="216"/>
      <c r="P495" s="214"/>
      <c r="Q495" s="215"/>
      <c r="R495" s="216"/>
      <c r="S495" s="216"/>
      <c r="T495" s="216"/>
      <c r="U495" s="214"/>
      <c r="V495" s="215"/>
      <c r="W495" s="214"/>
      <c r="X495" s="215"/>
      <c r="Y495" s="214"/>
      <c r="Z495" s="215"/>
      <c r="AA495" s="171"/>
      <c r="AB495" s="171"/>
      <c r="AC495" s="214"/>
      <c r="AD495" s="10"/>
      <c r="AE495" s="10"/>
      <c r="AF495" s="214"/>
      <c r="AG495" s="215"/>
    </row>
    <row r="496" spans="1:33" ht="12.75" customHeight="1" x14ac:dyDescent="0.25">
      <c r="A496" s="168"/>
      <c r="B496" s="168"/>
      <c r="C496" s="168"/>
      <c r="E496" s="214"/>
      <c r="F496" s="215"/>
      <c r="G496" s="216"/>
      <c r="H496" s="216"/>
      <c r="I496" s="216"/>
      <c r="J496" s="216"/>
      <c r="K496" s="214"/>
      <c r="L496" s="215"/>
      <c r="M496" s="214"/>
      <c r="N496" s="215"/>
      <c r="O496" s="216"/>
      <c r="P496" s="214"/>
      <c r="Q496" s="215"/>
      <c r="R496" s="216"/>
      <c r="S496" s="216"/>
      <c r="T496" s="216"/>
      <c r="U496" s="214"/>
      <c r="V496" s="215"/>
      <c r="W496" s="214"/>
      <c r="X496" s="215"/>
      <c r="Y496" s="214"/>
      <c r="Z496" s="215"/>
      <c r="AA496" s="171"/>
      <c r="AB496" s="171"/>
      <c r="AC496" s="214"/>
      <c r="AD496" s="10"/>
      <c r="AE496" s="10"/>
      <c r="AF496" s="214"/>
      <c r="AG496" s="215"/>
    </row>
    <row r="497" spans="1:33" ht="12.75" customHeight="1" x14ac:dyDescent="0.25">
      <c r="A497" s="168"/>
      <c r="B497" s="168"/>
      <c r="C497" s="168"/>
      <c r="E497" s="214"/>
      <c r="F497" s="215"/>
      <c r="G497" s="216"/>
      <c r="H497" s="216"/>
      <c r="I497" s="216"/>
      <c r="J497" s="216"/>
      <c r="K497" s="214"/>
      <c r="L497" s="215"/>
      <c r="M497" s="214"/>
      <c r="N497" s="215"/>
      <c r="O497" s="216"/>
      <c r="P497" s="214"/>
      <c r="Q497" s="215"/>
      <c r="R497" s="216"/>
      <c r="S497" s="216"/>
      <c r="T497" s="216"/>
      <c r="U497" s="214"/>
      <c r="V497" s="215"/>
      <c r="W497" s="214"/>
      <c r="X497" s="215"/>
      <c r="Y497" s="214"/>
      <c r="Z497" s="215"/>
      <c r="AA497" s="171"/>
      <c r="AB497" s="171"/>
      <c r="AC497" s="214"/>
      <c r="AD497" s="10"/>
      <c r="AE497" s="10"/>
      <c r="AF497" s="214"/>
      <c r="AG497" s="215"/>
    </row>
    <row r="498" spans="1:33" ht="12.75" customHeight="1" x14ac:dyDescent="0.25">
      <c r="A498" s="168"/>
      <c r="B498" s="168"/>
      <c r="C498" s="168"/>
      <c r="E498" s="214"/>
      <c r="F498" s="215"/>
      <c r="G498" s="216"/>
      <c r="H498" s="216"/>
      <c r="I498" s="216"/>
      <c r="J498" s="216"/>
      <c r="K498" s="214"/>
      <c r="L498" s="215"/>
      <c r="M498" s="214"/>
      <c r="N498" s="215"/>
      <c r="O498" s="216"/>
      <c r="P498" s="214"/>
      <c r="Q498" s="215"/>
      <c r="R498" s="216"/>
      <c r="S498" s="216"/>
      <c r="T498" s="216"/>
      <c r="U498" s="214"/>
      <c r="V498" s="215"/>
      <c r="W498" s="214"/>
      <c r="X498" s="215"/>
      <c r="Y498" s="214"/>
      <c r="Z498" s="215"/>
      <c r="AA498" s="171"/>
      <c r="AB498" s="171"/>
      <c r="AC498" s="214"/>
      <c r="AD498" s="10"/>
      <c r="AE498" s="10"/>
      <c r="AF498" s="214"/>
      <c r="AG498" s="215"/>
    </row>
    <row r="499" spans="1:33" ht="12.75" customHeight="1" x14ac:dyDescent="0.25">
      <c r="A499" s="168"/>
      <c r="B499" s="168"/>
      <c r="C499" s="168"/>
      <c r="E499" s="214"/>
      <c r="F499" s="215"/>
      <c r="G499" s="216"/>
      <c r="H499" s="216"/>
      <c r="I499" s="216"/>
      <c r="J499" s="216"/>
      <c r="K499" s="214"/>
      <c r="L499" s="215"/>
      <c r="M499" s="214"/>
      <c r="N499" s="215"/>
      <c r="O499" s="216"/>
      <c r="P499" s="214"/>
      <c r="Q499" s="215"/>
      <c r="R499" s="216"/>
      <c r="S499" s="216"/>
      <c r="T499" s="216"/>
      <c r="U499" s="214"/>
      <c r="V499" s="215"/>
      <c r="W499" s="214"/>
      <c r="X499" s="215"/>
      <c r="Y499" s="214"/>
      <c r="Z499" s="215"/>
      <c r="AA499" s="171"/>
      <c r="AB499" s="171"/>
      <c r="AC499" s="214"/>
      <c r="AD499" s="10"/>
      <c r="AE499" s="10"/>
      <c r="AF499" s="214"/>
      <c r="AG499" s="215"/>
    </row>
    <row r="500" spans="1:33" ht="12.75" customHeight="1" x14ac:dyDescent="0.25">
      <c r="A500" s="168"/>
      <c r="B500" s="168"/>
      <c r="C500" s="168"/>
      <c r="E500" s="214"/>
      <c r="F500" s="215"/>
      <c r="G500" s="216"/>
      <c r="H500" s="216"/>
      <c r="I500" s="216"/>
      <c r="J500" s="216"/>
      <c r="K500" s="214"/>
      <c r="L500" s="215"/>
      <c r="M500" s="214"/>
      <c r="N500" s="215"/>
      <c r="O500" s="216"/>
      <c r="P500" s="214"/>
      <c r="Q500" s="215"/>
      <c r="R500" s="216"/>
      <c r="S500" s="216"/>
      <c r="T500" s="216"/>
      <c r="U500" s="214"/>
      <c r="V500" s="215"/>
      <c r="W500" s="214"/>
      <c r="X500" s="215"/>
      <c r="Y500" s="214"/>
      <c r="Z500" s="215"/>
      <c r="AA500" s="171"/>
      <c r="AB500" s="171"/>
      <c r="AC500" s="214"/>
      <c r="AD500" s="10"/>
      <c r="AE500" s="10"/>
      <c r="AF500" s="214"/>
      <c r="AG500" s="215"/>
    </row>
    <row r="501" spans="1:33" ht="12.75" customHeight="1" x14ac:dyDescent="0.25">
      <c r="A501" s="168"/>
      <c r="B501" s="168"/>
      <c r="C501" s="168"/>
      <c r="E501" s="214"/>
      <c r="F501" s="215"/>
      <c r="G501" s="216"/>
      <c r="H501" s="216"/>
      <c r="I501" s="216"/>
      <c r="J501" s="216"/>
      <c r="K501" s="214"/>
      <c r="L501" s="215"/>
      <c r="M501" s="214"/>
      <c r="N501" s="215"/>
      <c r="O501" s="216"/>
      <c r="P501" s="214"/>
      <c r="Q501" s="215"/>
      <c r="R501" s="216"/>
      <c r="S501" s="216"/>
      <c r="T501" s="216"/>
      <c r="U501" s="214"/>
      <c r="V501" s="215"/>
      <c r="W501" s="214"/>
      <c r="X501" s="215"/>
      <c r="Y501" s="214"/>
      <c r="Z501" s="215"/>
      <c r="AA501" s="171"/>
      <c r="AB501" s="171"/>
      <c r="AC501" s="214"/>
      <c r="AD501" s="10"/>
      <c r="AE501" s="10"/>
      <c r="AF501" s="214"/>
      <c r="AG501" s="215"/>
    </row>
    <row r="502" spans="1:33" ht="12.75" customHeight="1" x14ac:dyDescent="0.25">
      <c r="A502" s="168"/>
      <c r="B502" s="168"/>
      <c r="C502" s="168"/>
      <c r="E502" s="214"/>
      <c r="F502" s="215"/>
      <c r="G502" s="216"/>
      <c r="H502" s="216"/>
      <c r="I502" s="216"/>
      <c r="J502" s="216"/>
      <c r="K502" s="214"/>
      <c r="L502" s="215"/>
      <c r="M502" s="214"/>
      <c r="N502" s="215"/>
      <c r="O502" s="216"/>
      <c r="P502" s="214"/>
      <c r="Q502" s="215"/>
      <c r="R502" s="216"/>
      <c r="S502" s="216"/>
      <c r="T502" s="216"/>
      <c r="U502" s="214"/>
      <c r="V502" s="215"/>
      <c r="W502" s="214"/>
      <c r="X502" s="215"/>
      <c r="Y502" s="214"/>
      <c r="Z502" s="215"/>
      <c r="AA502" s="171"/>
      <c r="AB502" s="171"/>
      <c r="AC502" s="214"/>
      <c r="AD502" s="10"/>
      <c r="AE502" s="10"/>
      <c r="AF502" s="214"/>
      <c r="AG502" s="215"/>
    </row>
    <row r="503" spans="1:33" ht="12.75" customHeight="1" x14ac:dyDescent="0.25">
      <c r="A503" s="168"/>
      <c r="B503" s="168"/>
      <c r="C503" s="168"/>
      <c r="E503" s="214"/>
      <c r="F503" s="215"/>
      <c r="G503" s="216"/>
      <c r="H503" s="216"/>
      <c r="I503" s="216"/>
      <c r="J503" s="216"/>
      <c r="K503" s="214"/>
      <c r="L503" s="215"/>
      <c r="M503" s="214"/>
      <c r="N503" s="215"/>
      <c r="O503" s="216"/>
      <c r="P503" s="214"/>
      <c r="Q503" s="215"/>
      <c r="R503" s="216"/>
      <c r="S503" s="216"/>
      <c r="T503" s="216"/>
      <c r="U503" s="214"/>
      <c r="V503" s="215"/>
      <c r="W503" s="214"/>
      <c r="X503" s="215"/>
      <c r="Y503" s="214"/>
      <c r="Z503" s="215"/>
      <c r="AA503" s="171"/>
      <c r="AB503" s="171"/>
      <c r="AC503" s="214"/>
      <c r="AD503" s="10"/>
      <c r="AE503" s="10"/>
      <c r="AF503" s="214"/>
      <c r="AG503" s="215"/>
    </row>
    <row r="504" spans="1:33" ht="12.75" customHeight="1" x14ac:dyDescent="0.25">
      <c r="A504" s="168"/>
      <c r="B504" s="168"/>
      <c r="C504" s="168"/>
      <c r="E504" s="214"/>
      <c r="F504" s="215"/>
      <c r="G504" s="216"/>
      <c r="H504" s="216"/>
      <c r="I504" s="216"/>
      <c r="J504" s="216"/>
      <c r="K504" s="214"/>
      <c r="L504" s="215"/>
      <c r="M504" s="214"/>
      <c r="N504" s="215"/>
      <c r="O504" s="216"/>
      <c r="P504" s="214"/>
      <c r="Q504" s="215"/>
      <c r="R504" s="216"/>
      <c r="S504" s="216"/>
      <c r="T504" s="216"/>
      <c r="U504" s="214"/>
      <c r="V504" s="215"/>
      <c r="W504" s="214"/>
      <c r="X504" s="215"/>
      <c r="Y504" s="214"/>
      <c r="Z504" s="215"/>
      <c r="AA504" s="171"/>
      <c r="AB504" s="171"/>
      <c r="AC504" s="214"/>
      <c r="AD504" s="10"/>
      <c r="AE504" s="10"/>
      <c r="AF504" s="214"/>
      <c r="AG504" s="215"/>
    </row>
    <row r="505" spans="1:33" ht="12.75" customHeight="1" x14ac:dyDescent="0.25">
      <c r="A505" s="168"/>
      <c r="B505" s="168"/>
      <c r="C505" s="168"/>
      <c r="E505" s="214"/>
      <c r="F505" s="215"/>
      <c r="G505" s="216"/>
      <c r="H505" s="216"/>
      <c r="I505" s="216"/>
      <c r="J505" s="216"/>
      <c r="K505" s="214"/>
      <c r="L505" s="215"/>
      <c r="M505" s="214"/>
      <c r="N505" s="215"/>
      <c r="O505" s="216"/>
      <c r="P505" s="214"/>
      <c r="Q505" s="215"/>
      <c r="R505" s="216"/>
      <c r="S505" s="216"/>
      <c r="T505" s="216"/>
      <c r="U505" s="214"/>
      <c r="V505" s="215"/>
      <c r="W505" s="214"/>
      <c r="X505" s="215"/>
      <c r="Y505" s="214"/>
      <c r="Z505" s="215"/>
      <c r="AA505" s="171"/>
      <c r="AB505" s="171"/>
      <c r="AC505" s="214"/>
      <c r="AD505" s="10"/>
      <c r="AE505" s="10"/>
      <c r="AF505" s="214"/>
      <c r="AG505" s="215"/>
    </row>
    <row r="506" spans="1:33" ht="12.75" customHeight="1" x14ac:dyDescent="0.25">
      <c r="A506" s="168"/>
      <c r="B506" s="168"/>
      <c r="C506" s="168"/>
      <c r="E506" s="214"/>
      <c r="F506" s="215"/>
      <c r="G506" s="216"/>
      <c r="H506" s="216"/>
      <c r="I506" s="216"/>
      <c r="J506" s="216"/>
      <c r="K506" s="214"/>
      <c r="L506" s="215"/>
      <c r="M506" s="214"/>
      <c r="N506" s="215"/>
      <c r="O506" s="216"/>
      <c r="P506" s="214"/>
      <c r="Q506" s="215"/>
      <c r="R506" s="216"/>
      <c r="S506" s="216"/>
      <c r="T506" s="216"/>
      <c r="U506" s="214"/>
      <c r="V506" s="215"/>
      <c r="W506" s="214"/>
      <c r="X506" s="215"/>
      <c r="Y506" s="214"/>
      <c r="Z506" s="215"/>
      <c r="AA506" s="171"/>
      <c r="AB506" s="171"/>
      <c r="AC506" s="214"/>
      <c r="AD506" s="10"/>
      <c r="AE506" s="10"/>
      <c r="AF506" s="214"/>
      <c r="AG506" s="215"/>
    </row>
    <row r="507" spans="1:33" ht="12.75" customHeight="1" x14ac:dyDescent="0.25">
      <c r="A507" s="168"/>
      <c r="B507" s="168"/>
      <c r="C507" s="168"/>
      <c r="E507" s="214"/>
      <c r="F507" s="215"/>
      <c r="G507" s="216"/>
      <c r="H507" s="216"/>
      <c r="I507" s="216"/>
      <c r="J507" s="216"/>
      <c r="K507" s="214"/>
      <c r="L507" s="215"/>
      <c r="M507" s="214"/>
      <c r="N507" s="215"/>
      <c r="O507" s="216"/>
      <c r="P507" s="214"/>
      <c r="Q507" s="215"/>
      <c r="R507" s="216"/>
      <c r="S507" s="216"/>
      <c r="T507" s="216"/>
      <c r="U507" s="214"/>
      <c r="V507" s="215"/>
      <c r="W507" s="214"/>
      <c r="X507" s="215"/>
      <c r="Y507" s="214"/>
      <c r="Z507" s="215"/>
      <c r="AA507" s="171"/>
      <c r="AB507" s="171"/>
      <c r="AC507" s="214"/>
      <c r="AD507" s="10"/>
      <c r="AE507" s="10"/>
      <c r="AF507" s="214"/>
      <c r="AG507" s="215"/>
    </row>
    <row r="508" spans="1:33" ht="12.75" customHeight="1" x14ac:dyDescent="0.25">
      <c r="A508" s="168"/>
      <c r="B508" s="168"/>
      <c r="C508" s="168"/>
      <c r="E508" s="214"/>
      <c r="F508" s="215"/>
      <c r="G508" s="216"/>
      <c r="H508" s="216"/>
      <c r="I508" s="216"/>
      <c r="J508" s="216"/>
      <c r="K508" s="214"/>
      <c r="L508" s="215"/>
      <c r="M508" s="214"/>
      <c r="N508" s="215"/>
      <c r="O508" s="216"/>
      <c r="P508" s="214"/>
      <c r="Q508" s="215"/>
      <c r="R508" s="216"/>
      <c r="S508" s="216"/>
      <c r="T508" s="216"/>
      <c r="U508" s="214"/>
      <c r="V508" s="215"/>
      <c r="W508" s="214"/>
      <c r="X508" s="215"/>
      <c r="Y508" s="214"/>
      <c r="Z508" s="215"/>
      <c r="AA508" s="171"/>
      <c r="AB508" s="171"/>
      <c r="AC508" s="214"/>
      <c r="AD508" s="10"/>
      <c r="AE508" s="10"/>
      <c r="AF508" s="214"/>
      <c r="AG508" s="215"/>
    </row>
    <row r="509" spans="1:33" ht="12.75" customHeight="1" x14ac:dyDescent="0.25">
      <c r="A509" s="168"/>
      <c r="B509" s="168"/>
      <c r="C509" s="168"/>
      <c r="E509" s="214"/>
      <c r="F509" s="215"/>
      <c r="G509" s="216"/>
      <c r="H509" s="216"/>
      <c r="I509" s="216"/>
      <c r="J509" s="216"/>
      <c r="K509" s="214"/>
      <c r="L509" s="215"/>
      <c r="M509" s="214"/>
      <c r="N509" s="215"/>
      <c r="O509" s="216"/>
      <c r="P509" s="214"/>
      <c r="Q509" s="215"/>
      <c r="R509" s="216"/>
      <c r="S509" s="216"/>
      <c r="T509" s="216"/>
      <c r="U509" s="214"/>
      <c r="V509" s="215"/>
      <c r="W509" s="214"/>
      <c r="X509" s="215"/>
      <c r="Y509" s="214"/>
      <c r="Z509" s="215"/>
      <c r="AA509" s="171"/>
      <c r="AB509" s="171"/>
      <c r="AC509" s="214"/>
      <c r="AD509" s="10"/>
      <c r="AE509" s="10"/>
      <c r="AF509" s="214"/>
      <c r="AG509" s="215"/>
    </row>
    <row r="510" spans="1:33" ht="12.75" customHeight="1" x14ac:dyDescent="0.25">
      <c r="A510" s="168"/>
      <c r="B510" s="168"/>
      <c r="C510" s="168"/>
      <c r="E510" s="214"/>
      <c r="F510" s="215"/>
      <c r="G510" s="216"/>
      <c r="H510" s="216"/>
      <c r="I510" s="216"/>
      <c r="J510" s="216"/>
      <c r="K510" s="214"/>
      <c r="L510" s="215"/>
      <c r="M510" s="214"/>
      <c r="N510" s="215"/>
      <c r="O510" s="216"/>
      <c r="P510" s="214"/>
      <c r="Q510" s="215"/>
      <c r="R510" s="216"/>
      <c r="S510" s="216"/>
      <c r="T510" s="216"/>
      <c r="U510" s="214"/>
      <c r="V510" s="215"/>
      <c r="W510" s="214"/>
      <c r="X510" s="215"/>
      <c r="Y510" s="214"/>
      <c r="Z510" s="215"/>
      <c r="AA510" s="171"/>
      <c r="AB510" s="171"/>
      <c r="AC510" s="214"/>
      <c r="AD510" s="10"/>
      <c r="AE510" s="10"/>
      <c r="AF510" s="214"/>
      <c r="AG510" s="215"/>
    </row>
    <row r="511" spans="1:33" ht="12.75" customHeight="1" x14ac:dyDescent="0.25">
      <c r="A511" s="168"/>
      <c r="B511" s="168"/>
      <c r="C511" s="168"/>
      <c r="E511" s="214"/>
      <c r="F511" s="215"/>
      <c r="G511" s="216"/>
      <c r="H511" s="216"/>
      <c r="I511" s="216"/>
      <c r="J511" s="216"/>
      <c r="K511" s="214"/>
      <c r="L511" s="215"/>
      <c r="M511" s="214"/>
      <c r="N511" s="215"/>
      <c r="O511" s="216"/>
      <c r="P511" s="214"/>
      <c r="Q511" s="215"/>
      <c r="R511" s="216"/>
      <c r="S511" s="216"/>
      <c r="T511" s="216"/>
      <c r="U511" s="214"/>
      <c r="V511" s="215"/>
      <c r="W511" s="214"/>
      <c r="X511" s="215"/>
      <c r="Y511" s="214"/>
      <c r="Z511" s="215"/>
      <c r="AA511" s="171"/>
      <c r="AB511" s="171"/>
      <c r="AC511" s="214"/>
      <c r="AD511" s="10"/>
      <c r="AE511" s="10"/>
      <c r="AF511" s="214"/>
      <c r="AG511" s="215"/>
    </row>
    <row r="512" spans="1:33" ht="12.75" customHeight="1" x14ac:dyDescent="0.25">
      <c r="A512" s="168"/>
      <c r="B512" s="168"/>
      <c r="C512" s="168"/>
      <c r="E512" s="214"/>
      <c r="F512" s="215"/>
      <c r="G512" s="216"/>
      <c r="H512" s="216"/>
      <c r="I512" s="216"/>
      <c r="J512" s="216"/>
      <c r="K512" s="214"/>
      <c r="L512" s="215"/>
      <c r="M512" s="214"/>
      <c r="N512" s="215"/>
      <c r="O512" s="216"/>
      <c r="P512" s="214"/>
      <c r="Q512" s="215"/>
      <c r="R512" s="216"/>
      <c r="S512" s="216"/>
      <c r="T512" s="216"/>
      <c r="U512" s="214"/>
      <c r="V512" s="215"/>
      <c r="W512" s="214"/>
      <c r="X512" s="215"/>
      <c r="Y512" s="214"/>
      <c r="Z512" s="215"/>
      <c r="AA512" s="171"/>
      <c r="AB512" s="171"/>
      <c r="AC512" s="214"/>
      <c r="AD512" s="10"/>
      <c r="AE512" s="10"/>
      <c r="AF512" s="214"/>
      <c r="AG512" s="215"/>
    </row>
    <row r="513" spans="1:33" ht="12.75" customHeight="1" x14ac:dyDescent="0.25">
      <c r="A513" s="168"/>
      <c r="B513" s="168"/>
      <c r="C513" s="168"/>
      <c r="E513" s="214"/>
      <c r="F513" s="215"/>
      <c r="G513" s="216"/>
      <c r="H513" s="216"/>
      <c r="I513" s="216"/>
      <c r="J513" s="216"/>
      <c r="K513" s="214"/>
      <c r="L513" s="215"/>
      <c r="M513" s="214"/>
      <c r="N513" s="215"/>
      <c r="O513" s="216"/>
      <c r="P513" s="214"/>
      <c r="Q513" s="215"/>
      <c r="R513" s="216"/>
      <c r="S513" s="216"/>
      <c r="T513" s="216"/>
      <c r="U513" s="214"/>
      <c r="V513" s="215"/>
      <c r="W513" s="214"/>
      <c r="X513" s="215"/>
      <c r="Y513" s="214"/>
      <c r="Z513" s="215"/>
      <c r="AA513" s="171"/>
      <c r="AB513" s="171"/>
      <c r="AC513" s="214"/>
      <c r="AD513" s="10"/>
      <c r="AE513" s="10"/>
      <c r="AF513" s="214"/>
      <c r="AG513" s="215"/>
    </row>
    <row r="514" spans="1:33" ht="12.75" customHeight="1" x14ac:dyDescent="0.25">
      <c r="A514" s="168"/>
      <c r="B514" s="168"/>
      <c r="C514" s="168"/>
      <c r="E514" s="214"/>
      <c r="F514" s="215"/>
      <c r="G514" s="216"/>
      <c r="H514" s="216"/>
      <c r="I514" s="216"/>
      <c r="J514" s="216"/>
      <c r="K514" s="214"/>
      <c r="L514" s="215"/>
      <c r="M514" s="214"/>
      <c r="N514" s="215"/>
      <c r="O514" s="216"/>
      <c r="P514" s="214"/>
      <c r="Q514" s="215"/>
      <c r="R514" s="216"/>
      <c r="S514" s="216"/>
      <c r="T514" s="216"/>
      <c r="U514" s="214"/>
      <c r="V514" s="215"/>
      <c r="W514" s="214"/>
      <c r="X514" s="215"/>
      <c r="Y514" s="214"/>
      <c r="Z514" s="215"/>
      <c r="AA514" s="171"/>
      <c r="AB514" s="171"/>
      <c r="AC514" s="214"/>
      <c r="AD514" s="10"/>
      <c r="AE514" s="10"/>
      <c r="AF514" s="214"/>
      <c r="AG514" s="215"/>
    </row>
    <row r="515" spans="1:33" ht="12.75" customHeight="1" x14ac:dyDescent="0.25">
      <c r="A515" s="168"/>
      <c r="B515" s="168"/>
      <c r="C515" s="168"/>
      <c r="E515" s="214"/>
      <c r="F515" s="215"/>
      <c r="G515" s="216"/>
      <c r="H515" s="216"/>
      <c r="I515" s="216"/>
      <c r="J515" s="216"/>
      <c r="K515" s="214"/>
      <c r="L515" s="215"/>
      <c r="M515" s="214"/>
      <c r="N515" s="215"/>
      <c r="O515" s="216"/>
      <c r="P515" s="214"/>
      <c r="Q515" s="215"/>
      <c r="R515" s="216"/>
      <c r="S515" s="216"/>
      <c r="T515" s="216"/>
      <c r="U515" s="214"/>
      <c r="V515" s="215"/>
      <c r="W515" s="214"/>
      <c r="X515" s="215"/>
      <c r="Y515" s="214"/>
      <c r="Z515" s="215"/>
      <c r="AA515" s="171"/>
      <c r="AB515" s="171"/>
      <c r="AC515" s="214"/>
      <c r="AD515" s="10"/>
      <c r="AE515" s="10"/>
      <c r="AF515" s="214"/>
      <c r="AG515" s="215"/>
    </row>
    <row r="516" spans="1:33" ht="12.75" customHeight="1" x14ac:dyDescent="0.25">
      <c r="A516" s="168"/>
      <c r="B516" s="168"/>
      <c r="C516" s="168"/>
      <c r="E516" s="214"/>
      <c r="F516" s="215"/>
      <c r="G516" s="216"/>
      <c r="H516" s="216"/>
      <c r="I516" s="216"/>
      <c r="J516" s="216"/>
      <c r="K516" s="214"/>
      <c r="L516" s="215"/>
      <c r="M516" s="214"/>
      <c r="N516" s="215"/>
      <c r="O516" s="216"/>
      <c r="P516" s="214"/>
      <c r="Q516" s="215"/>
      <c r="R516" s="216"/>
      <c r="S516" s="216"/>
      <c r="T516" s="216"/>
      <c r="U516" s="214"/>
      <c r="V516" s="215"/>
      <c r="W516" s="214"/>
      <c r="X516" s="215"/>
      <c r="Y516" s="214"/>
      <c r="Z516" s="215"/>
      <c r="AA516" s="171"/>
      <c r="AB516" s="171"/>
      <c r="AC516" s="214"/>
      <c r="AD516" s="10"/>
      <c r="AE516" s="10"/>
      <c r="AF516" s="214"/>
      <c r="AG516" s="215"/>
    </row>
    <row r="517" spans="1:33" ht="12.75" customHeight="1" x14ac:dyDescent="0.25">
      <c r="A517" s="168"/>
      <c r="B517" s="168"/>
      <c r="C517" s="168"/>
      <c r="E517" s="214"/>
      <c r="F517" s="215"/>
      <c r="G517" s="216"/>
      <c r="H517" s="216"/>
      <c r="I517" s="216"/>
      <c r="J517" s="216"/>
      <c r="K517" s="214"/>
      <c r="L517" s="215"/>
      <c r="M517" s="214"/>
      <c r="N517" s="215"/>
      <c r="O517" s="216"/>
      <c r="P517" s="214"/>
      <c r="Q517" s="215"/>
      <c r="R517" s="216"/>
      <c r="S517" s="216"/>
      <c r="T517" s="216"/>
      <c r="U517" s="214"/>
      <c r="V517" s="215"/>
      <c r="W517" s="214"/>
      <c r="X517" s="215"/>
      <c r="Y517" s="214"/>
      <c r="Z517" s="215"/>
      <c r="AA517" s="171"/>
      <c r="AB517" s="171"/>
      <c r="AC517" s="214"/>
      <c r="AD517" s="10"/>
      <c r="AE517" s="10"/>
      <c r="AF517" s="214"/>
      <c r="AG517" s="215"/>
    </row>
    <row r="518" spans="1:33" ht="12.75" customHeight="1" x14ac:dyDescent="0.25">
      <c r="A518" s="168"/>
      <c r="B518" s="168"/>
      <c r="C518" s="168"/>
      <c r="E518" s="214"/>
      <c r="F518" s="215"/>
      <c r="G518" s="216"/>
      <c r="H518" s="216"/>
      <c r="I518" s="216"/>
      <c r="J518" s="216"/>
      <c r="K518" s="214"/>
      <c r="L518" s="215"/>
      <c r="M518" s="214"/>
      <c r="N518" s="215"/>
      <c r="O518" s="216"/>
      <c r="P518" s="214"/>
      <c r="Q518" s="215"/>
      <c r="R518" s="216"/>
      <c r="S518" s="216"/>
      <c r="T518" s="216"/>
      <c r="U518" s="214"/>
      <c r="V518" s="215"/>
      <c r="W518" s="214"/>
      <c r="X518" s="215"/>
      <c r="Y518" s="214"/>
      <c r="Z518" s="215"/>
      <c r="AA518" s="171"/>
      <c r="AB518" s="171"/>
      <c r="AC518" s="214"/>
      <c r="AD518" s="10"/>
      <c r="AE518" s="10"/>
      <c r="AF518" s="214"/>
      <c r="AG518" s="215"/>
    </row>
    <row r="519" spans="1:33" ht="12.75" customHeight="1" x14ac:dyDescent="0.25">
      <c r="A519" s="168"/>
      <c r="B519" s="168"/>
      <c r="C519" s="168"/>
      <c r="E519" s="214"/>
      <c r="F519" s="215"/>
      <c r="G519" s="216"/>
      <c r="H519" s="216"/>
      <c r="I519" s="216"/>
      <c r="J519" s="216"/>
      <c r="K519" s="214"/>
      <c r="L519" s="215"/>
      <c r="M519" s="214"/>
      <c r="N519" s="215"/>
      <c r="O519" s="216"/>
      <c r="P519" s="214"/>
      <c r="Q519" s="215"/>
      <c r="R519" s="216"/>
      <c r="S519" s="216"/>
      <c r="T519" s="216"/>
      <c r="U519" s="214"/>
      <c r="V519" s="215"/>
      <c r="W519" s="214"/>
      <c r="X519" s="215"/>
      <c r="Y519" s="214"/>
      <c r="Z519" s="215"/>
      <c r="AA519" s="171"/>
      <c r="AB519" s="171"/>
      <c r="AC519" s="214"/>
      <c r="AD519" s="10"/>
      <c r="AE519" s="10"/>
      <c r="AF519" s="214"/>
      <c r="AG519" s="215"/>
    </row>
    <row r="520" spans="1:33" ht="12.75" customHeight="1" x14ac:dyDescent="0.25">
      <c r="A520" s="168"/>
      <c r="B520" s="168"/>
      <c r="C520" s="168"/>
      <c r="E520" s="214"/>
      <c r="F520" s="215"/>
      <c r="G520" s="216"/>
      <c r="H520" s="216"/>
      <c r="I520" s="216"/>
      <c r="J520" s="216"/>
      <c r="K520" s="214"/>
      <c r="L520" s="215"/>
      <c r="M520" s="214"/>
      <c r="N520" s="215"/>
      <c r="O520" s="216"/>
      <c r="P520" s="214"/>
      <c r="Q520" s="215"/>
      <c r="R520" s="216"/>
      <c r="S520" s="216"/>
      <c r="T520" s="216"/>
      <c r="U520" s="214"/>
      <c r="V520" s="215"/>
      <c r="W520" s="214"/>
      <c r="X520" s="215"/>
      <c r="Y520" s="214"/>
      <c r="Z520" s="215"/>
      <c r="AA520" s="171"/>
      <c r="AB520" s="171"/>
      <c r="AC520" s="214"/>
      <c r="AD520" s="10"/>
      <c r="AE520" s="10"/>
      <c r="AF520" s="214"/>
      <c r="AG520" s="215"/>
    </row>
    <row r="521" spans="1:33" ht="12.75" customHeight="1" x14ac:dyDescent="0.25">
      <c r="A521" s="168"/>
      <c r="B521" s="168"/>
      <c r="C521" s="168"/>
      <c r="E521" s="214"/>
      <c r="F521" s="215"/>
      <c r="G521" s="216"/>
      <c r="H521" s="216"/>
      <c r="I521" s="216"/>
      <c r="J521" s="216"/>
      <c r="K521" s="214"/>
      <c r="L521" s="215"/>
      <c r="M521" s="214"/>
      <c r="N521" s="215"/>
      <c r="O521" s="216"/>
      <c r="P521" s="214"/>
      <c r="Q521" s="215"/>
      <c r="R521" s="216"/>
      <c r="S521" s="216"/>
      <c r="T521" s="216"/>
      <c r="U521" s="214"/>
      <c r="V521" s="215"/>
      <c r="W521" s="214"/>
      <c r="X521" s="215"/>
      <c r="Y521" s="214"/>
      <c r="Z521" s="215"/>
      <c r="AA521" s="171"/>
      <c r="AB521" s="171"/>
      <c r="AC521" s="214"/>
      <c r="AD521" s="10"/>
      <c r="AE521" s="10"/>
      <c r="AF521" s="214"/>
      <c r="AG521" s="215"/>
    </row>
    <row r="522" spans="1:33" ht="12.75" customHeight="1" x14ac:dyDescent="0.25">
      <c r="A522" s="168"/>
      <c r="B522" s="168"/>
      <c r="C522" s="168"/>
      <c r="E522" s="214"/>
      <c r="F522" s="215"/>
      <c r="G522" s="216"/>
      <c r="H522" s="216"/>
      <c r="I522" s="216"/>
      <c r="J522" s="216"/>
      <c r="K522" s="214"/>
      <c r="L522" s="215"/>
      <c r="M522" s="214"/>
      <c r="N522" s="215"/>
      <c r="O522" s="216"/>
      <c r="P522" s="214"/>
      <c r="Q522" s="215"/>
      <c r="R522" s="216"/>
      <c r="S522" s="216"/>
      <c r="T522" s="216"/>
      <c r="U522" s="214"/>
      <c r="V522" s="215"/>
      <c r="W522" s="214"/>
      <c r="X522" s="215"/>
      <c r="Y522" s="214"/>
      <c r="Z522" s="215"/>
      <c r="AA522" s="171"/>
      <c r="AB522" s="171"/>
      <c r="AC522" s="214"/>
      <c r="AD522" s="10"/>
      <c r="AE522" s="10"/>
      <c r="AF522" s="214"/>
      <c r="AG522" s="215"/>
    </row>
    <row r="523" spans="1:33" ht="12.75" customHeight="1" x14ac:dyDescent="0.25">
      <c r="A523" s="168"/>
      <c r="B523" s="168"/>
      <c r="C523" s="168"/>
      <c r="E523" s="214"/>
      <c r="F523" s="215"/>
      <c r="G523" s="216"/>
      <c r="H523" s="216"/>
      <c r="I523" s="216"/>
      <c r="J523" s="216"/>
      <c r="K523" s="214"/>
      <c r="L523" s="215"/>
      <c r="M523" s="214"/>
      <c r="N523" s="215"/>
      <c r="O523" s="216"/>
      <c r="P523" s="214"/>
      <c r="Q523" s="215"/>
      <c r="R523" s="216"/>
      <c r="S523" s="216"/>
      <c r="T523" s="216"/>
      <c r="U523" s="214"/>
      <c r="V523" s="215"/>
      <c r="W523" s="214"/>
      <c r="X523" s="215"/>
      <c r="Y523" s="214"/>
      <c r="Z523" s="215"/>
      <c r="AA523" s="171"/>
      <c r="AB523" s="171"/>
      <c r="AC523" s="214"/>
      <c r="AD523" s="10"/>
      <c r="AE523" s="10"/>
      <c r="AF523" s="214"/>
      <c r="AG523" s="215"/>
    </row>
    <row r="524" spans="1:33" ht="12.75" customHeight="1" x14ac:dyDescent="0.25">
      <c r="A524" s="168"/>
      <c r="B524" s="168"/>
      <c r="C524" s="168"/>
      <c r="E524" s="214"/>
      <c r="F524" s="215"/>
      <c r="G524" s="216"/>
      <c r="H524" s="216"/>
      <c r="I524" s="216"/>
      <c r="J524" s="216"/>
      <c r="K524" s="214"/>
      <c r="L524" s="215"/>
      <c r="M524" s="214"/>
      <c r="N524" s="215"/>
      <c r="O524" s="216"/>
      <c r="P524" s="214"/>
      <c r="Q524" s="215"/>
      <c r="R524" s="216"/>
      <c r="S524" s="216"/>
      <c r="T524" s="216"/>
      <c r="U524" s="214"/>
      <c r="V524" s="215"/>
      <c r="W524" s="214"/>
      <c r="X524" s="215"/>
      <c r="Y524" s="214"/>
      <c r="Z524" s="215"/>
      <c r="AA524" s="171"/>
      <c r="AB524" s="171"/>
      <c r="AC524" s="214"/>
      <c r="AD524" s="10"/>
      <c r="AE524" s="10"/>
      <c r="AF524" s="214"/>
      <c r="AG524" s="215"/>
    </row>
    <row r="525" spans="1:33" ht="12.75" customHeight="1" x14ac:dyDescent="0.25">
      <c r="A525" s="168"/>
      <c r="B525" s="168"/>
      <c r="C525" s="168"/>
      <c r="E525" s="214"/>
      <c r="F525" s="215"/>
      <c r="G525" s="216"/>
      <c r="H525" s="216"/>
      <c r="I525" s="216"/>
      <c r="J525" s="216"/>
      <c r="K525" s="214"/>
      <c r="L525" s="215"/>
      <c r="M525" s="214"/>
      <c r="N525" s="215"/>
      <c r="O525" s="216"/>
      <c r="P525" s="214"/>
      <c r="Q525" s="215"/>
      <c r="R525" s="216"/>
      <c r="S525" s="216"/>
      <c r="T525" s="216"/>
      <c r="U525" s="214"/>
      <c r="V525" s="215"/>
      <c r="W525" s="214"/>
      <c r="X525" s="215"/>
      <c r="Y525" s="214"/>
      <c r="Z525" s="215"/>
      <c r="AA525" s="171"/>
      <c r="AB525" s="171"/>
      <c r="AC525" s="214"/>
      <c r="AD525" s="10"/>
      <c r="AE525" s="10"/>
      <c r="AF525" s="214"/>
      <c r="AG525" s="215"/>
    </row>
    <row r="526" spans="1:33" ht="12.75" customHeight="1" x14ac:dyDescent="0.25">
      <c r="A526" s="168"/>
      <c r="B526" s="168"/>
      <c r="C526" s="168"/>
      <c r="E526" s="214"/>
      <c r="F526" s="215"/>
      <c r="G526" s="216"/>
      <c r="H526" s="216"/>
      <c r="I526" s="216"/>
      <c r="J526" s="216"/>
      <c r="K526" s="214"/>
      <c r="L526" s="215"/>
      <c r="M526" s="214"/>
      <c r="N526" s="215"/>
      <c r="O526" s="216"/>
      <c r="P526" s="214"/>
      <c r="Q526" s="215"/>
      <c r="R526" s="216"/>
      <c r="S526" s="216"/>
      <c r="T526" s="216"/>
      <c r="U526" s="214"/>
      <c r="V526" s="215"/>
      <c r="W526" s="214"/>
      <c r="X526" s="215"/>
      <c r="Y526" s="214"/>
      <c r="Z526" s="215"/>
      <c r="AA526" s="171"/>
      <c r="AB526" s="171"/>
      <c r="AC526" s="214"/>
      <c r="AD526" s="10"/>
      <c r="AE526" s="10"/>
      <c r="AF526" s="214"/>
      <c r="AG526" s="215"/>
    </row>
    <row r="527" spans="1:33" ht="12.75" customHeight="1" x14ac:dyDescent="0.25">
      <c r="A527" s="168"/>
      <c r="B527" s="168"/>
      <c r="C527" s="168"/>
      <c r="E527" s="214"/>
      <c r="F527" s="215"/>
      <c r="G527" s="216"/>
      <c r="H527" s="216"/>
      <c r="I527" s="216"/>
      <c r="J527" s="216"/>
      <c r="K527" s="214"/>
      <c r="L527" s="215"/>
      <c r="M527" s="214"/>
      <c r="N527" s="215"/>
      <c r="O527" s="216"/>
      <c r="P527" s="214"/>
      <c r="Q527" s="215"/>
      <c r="R527" s="216"/>
      <c r="S527" s="216"/>
      <c r="T527" s="216"/>
      <c r="U527" s="214"/>
      <c r="V527" s="215"/>
      <c r="W527" s="214"/>
      <c r="X527" s="215"/>
      <c r="Y527" s="214"/>
      <c r="Z527" s="215"/>
      <c r="AA527" s="171"/>
      <c r="AB527" s="171"/>
      <c r="AC527" s="214"/>
      <c r="AD527" s="10"/>
      <c r="AE527" s="10"/>
      <c r="AF527" s="214"/>
      <c r="AG527" s="215"/>
    </row>
    <row r="528" spans="1:33" ht="12.75" customHeight="1" x14ac:dyDescent="0.25">
      <c r="A528" s="168"/>
      <c r="B528" s="168"/>
      <c r="C528" s="168"/>
      <c r="E528" s="214"/>
      <c r="F528" s="215"/>
      <c r="G528" s="216"/>
      <c r="H528" s="216"/>
      <c r="I528" s="216"/>
      <c r="J528" s="216"/>
      <c r="K528" s="214"/>
      <c r="L528" s="215"/>
      <c r="M528" s="214"/>
      <c r="N528" s="215"/>
      <c r="O528" s="216"/>
      <c r="P528" s="214"/>
      <c r="Q528" s="215"/>
      <c r="R528" s="216"/>
      <c r="S528" s="216"/>
      <c r="T528" s="216"/>
      <c r="U528" s="214"/>
      <c r="V528" s="215"/>
      <c r="W528" s="214"/>
      <c r="X528" s="215"/>
      <c r="Y528" s="214"/>
      <c r="Z528" s="215"/>
      <c r="AA528" s="171"/>
      <c r="AB528" s="171"/>
      <c r="AC528" s="214"/>
      <c r="AD528" s="10"/>
      <c r="AE528" s="10"/>
      <c r="AF528" s="214"/>
      <c r="AG528" s="215"/>
    </row>
    <row r="529" spans="1:33" ht="12.75" customHeight="1" x14ac:dyDescent="0.25">
      <c r="A529" s="168"/>
      <c r="B529" s="168"/>
      <c r="C529" s="168"/>
      <c r="E529" s="214"/>
      <c r="F529" s="215"/>
      <c r="G529" s="216"/>
      <c r="H529" s="216"/>
      <c r="I529" s="216"/>
      <c r="J529" s="216"/>
      <c r="K529" s="214"/>
      <c r="L529" s="215"/>
      <c r="M529" s="214"/>
      <c r="N529" s="215"/>
      <c r="O529" s="216"/>
      <c r="P529" s="214"/>
      <c r="Q529" s="215"/>
      <c r="R529" s="216"/>
      <c r="S529" s="216"/>
      <c r="T529" s="216"/>
      <c r="U529" s="214"/>
      <c r="V529" s="215"/>
      <c r="W529" s="214"/>
      <c r="X529" s="215"/>
      <c r="Y529" s="214"/>
      <c r="Z529" s="215"/>
      <c r="AA529" s="171"/>
      <c r="AB529" s="171"/>
      <c r="AC529" s="214"/>
      <c r="AD529" s="10"/>
      <c r="AE529" s="10"/>
      <c r="AF529" s="214"/>
      <c r="AG529" s="215"/>
    </row>
    <row r="530" spans="1:33" ht="12.75" customHeight="1" x14ac:dyDescent="0.25">
      <c r="A530" s="168"/>
      <c r="B530" s="168"/>
      <c r="C530" s="168"/>
      <c r="E530" s="214"/>
      <c r="F530" s="215"/>
      <c r="G530" s="216"/>
      <c r="H530" s="216"/>
      <c r="I530" s="216"/>
      <c r="J530" s="216"/>
      <c r="K530" s="214"/>
      <c r="L530" s="215"/>
      <c r="M530" s="214"/>
      <c r="N530" s="215"/>
      <c r="O530" s="216"/>
      <c r="P530" s="214"/>
      <c r="Q530" s="215"/>
      <c r="R530" s="216"/>
      <c r="S530" s="216"/>
      <c r="T530" s="216"/>
      <c r="U530" s="214"/>
      <c r="V530" s="215"/>
      <c r="W530" s="214"/>
      <c r="X530" s="215"/>
      <c r="Y530" s="214"/>
      <c r="Z530" s="215"/>
      <c r="AA530" s="171"/>
      <c r="AB530" s="171"/>
      <c r="AC530" s="214"/>
      <c r="AD530" s="10"/>
      <c r="AE530" s="10"/>
      <c r="AF530" s="214"/>
      <c r="AG530" s="215"/>
    </row>
    <row r="531" spans="1:33" ht="12.75" customHeight="1" x14ac:dyDescent="0.25">
      <c r="A531" s="168"/>
      <c r="B531" s="168"/>
      <c r="C531" s="168"/>
      <c r="E531" s="214"/>
      <c r="F531" s="215"/>
      <c r="G531" s="216"/>
      <c r="H531" s="216"/>
      <c r="I531" s="216"/>
      <c r="J531" s="216"/>
      <c r="K531" s="214"/>
      <c r="L531" s="215"/>
      <c r="M531" s="214"/>
      <c r="N531" s="215"/>
      <c r="O531" s="216"/>
      <c r="P531" s="214"/>
      <c r="Q531" s="215"/>
      <c r="R531" s="216"/>
      <c r="S531" s="216"/>
      <c r="T531" s="216"/>
      <c r="U531" s="214"/>
      <c r="V531" s="215"/>
      <c r="W531" s="214"/>
      <c r="X531" s="215"/>
      <c r="Y531" s="214"/>
      <c r="Z531" s="215"/>
      <c r="AA531" s="171"/>
      <c r="AB531" s="171"/>
      <c r="AC531" s="214"/>
      <c r="AD531" s="10"/>
      <c r="AE531" s="10"/>
      <c r="AF531" s="214"/>
      <c r="AG531" s="215"/>
    </row>
    <row r="532" spans="1:33" ht="12.75" customHeight="1" x14ac:dyDescent="0.25">
      <c r="A532" s="168"/>
      <c r="B532" s="168"/>
      <c r="C532" s="168"/>
      <c r="E532" s="214"/>
      <c r="F532" s="215"/>
      <c r="G532" s="216"/>
      <c r="H532" s="216"/>
      <c r="I532" s="216"/>
      <c r="J532" s="216"/>
      <c r="K532" s="214"/>
      <c r="L532" s="215"/>
      <c r="M532" s="214"/>
      <c r="N532" s="215"/>
      <c r="O532" s="216"/>
      <c r="P532" s="214"/>
      <c r="Q532" s="215"/>
      <c r="R532" s="216"/>
      <c r="S532" s="216"/>
      <c r="T532" s="216"/>
      <c r="U532" s="214"/>
      <c r="V532" s="215"/>
      <c r="W532" s="214"/>
      <c r="X532" s="215"/>
      <c r="Y532" s="214"/>
      <c r="Z532" s="215"/>
      <c r="AA532" s="171"/>
      <c r="AB532" s="171"/>
      <c r="AC532" s="214"/>
      <c r="AD532" s="10"/>
      <c r="AE532" s="10"/>
      <c r="AF532" s="214"/>
      <c r="AG532" s="215"/>
    </row>
    <row r="533" spans="1:33" ht="12.75" customHeight="1" x14ac:dyDescent="0.25">
      <c r="A533" s="168"/>
      <c r="B533" s="168"/>
      <c r="C533" s="168"/>
      <c r="E533" s="214"/>
      <c r="F533" s="215"/>
      <c r="G533" s="216"/>
      <c r="H533" s="216"/>
      <c r="I533" s="216"/>
      <c r="J533" s="216"/>
      <c r="K533" s="214"/>
      <c r="L533" s="215"/>
      <c r="M533" s="214"/>
      <c r="N533" s="215"/>
      <c r="O533" s="216"/>
      <c r="P533" s="214"/>
      <c r="Q533" s="215"/>
      <c r="R533" s="216"/>
      <c r="S533" s="216"/>
      <c r="T533" s="216"/>
      <c r="U533" s="214"/>
      <c r="V533" s="215"/>
      <c r="W533" s="214"/>
      <c r="X533" s="215"/>
      <c r="Y533" s="214"/>
      <c r="Z533" s="215"/>
      <c r="AA533" s="171"/>
      <c r="AB533" s="171"/>
      <c r="AC533" s="214"/>
      <c r="AD533" s="10"/>
      <c r="AE533" s="10"/>
      <c r="AF533" s="214"/>
      <c r="AG533" s="215"/>
    </row>
    <row r="534" spans="1:33" ht="12.75" customHeight="1" x14ac:dyDescent="0.25">
      <c r="A534" s="168"/>
      <c r="B534" s="168"/>
      <c r="C534" s="168"/>
      <c r="E534" s="214"/>
      <c r="F534" s="215"/>
      <c r="G534" s="216"/>
      <c r="H534" s="216"/>
      <c r="I534" s="216"/>
      <c r="J534" s="216"/>
      <c r="K534" s="214"/>
      <c r="L534" s="215"/>
      <c r="M534" s="214"/>
      <c r="N534" s="215"/>
      <c r="O534" s="216"/>
      <c r="P534" s="214"/>
      <c r="Q534" s="215"/>
      <c r="R534" s="216"/>
      <c r="S534" s="216"/>
      <c r="T534" s="216"/>
      <c r="U534" s="214"/>
      <c r="V534" s="215"/>
      <c r="W534" s="214"/>
      <c r="X534" s="215"/>
      <c r="Y534" s="214"/>
      <c r="Z534" s="215"/>
      <c r="AA534" s="171"/>
      <c r="AB534" s="171"/>
      <c r="AC534" s="214"/>
      <c r="AD534" s="10"/>
      <c r="AE534" s="10"/>
      <c r="AF534" s="214"/>
      <c r="AG534" s="215"/>
    </row>
    <row r="535" spans="1:33" ht="12.75" customHeight="1" x14ac:dyDescent="0.25">
      <c r="A535" s="168"/>
      <c r="B535" s="168"/>
      <c r="C535" s="168"/>
      <c r="E535" s="214"/>
      <c r="F535" s="215"/>
      <c r="G535" s="216"/>
      <c r="H535" s="216"/>
      <c r="I535" s="216"/>
      <c r="J535" s="216"/>
      <c r="K535" s="214"/>
      <c r="L535" s="215"/>
      <c r="M535" s="214"/>
      <c r="N535" s="215"/>
      <c r="O535" s="216"/>
      <c r="P535" s="214"/>
      <c r="Q535" s="215"/>
      <c r="R535" s="216"/>
      <c r="S535" s="216"/>
      <c r="T535" s="216"/>
      <c r="U535" s="214"/>
      <c r="V535" s="215"/>
      <c r="W535" s="214"/>
      <c r="X535" s="215"/>
      <c r="Y535" s="214"/>
      <c r="Z535" s="215"/>
      <c r="AA535" s="171"/>
      <c r="AB535" s="171"/>
      <c r="AC535" s="214"/>
      <c r="AD535" s="10"/>
      <c r="AE535" s="10"/>
      <c r="AF535" s="214"/>
      <c r="AG535" s="215"/>
    </row>
    <row r="536" spans="1:33" ht="12.75" customHeight="1" x14ac:dyDescent="0.25">
      <c r="A536" s="168"/>
      <c r="B536" s="168"/>
      <c r="C536" s="168"/>
      <c r="E536" s="214"/>
      <c r="F536" s="215"/>
      <c r="G536" s="216"/>
      <c r="H536" s="216"/>
      <c r="I536" s="216"/>
      <c r="J536" s="216"/>
      <c r="K536" s="214"/>
      <c r="L536" s="215"/>
      <c r="M536" s="214"/>
      <c r="N536" s="215"/>
      <c r="O536" s="216"/>
      <c r="P536" s="214"/>
      <c r="Q536" s="215"/>
      <c r="R536" s="216"/>
      <c r="S536" s="216"/>
      <c r="T536" s="216"/>
      <c r="U536" s="214"/>
      <c r="V536" s="215"/>
      <c r="W536" s="214"/>
      <c r="X536" s="215"/>
      <c r="Y536" s="214"/>
      <c r="Z536" s="215"/>
      <c r="AA536" s="171"/>
      <c r="AB536" s="171"/>
      <c r="AC536" s="214"/>
      <c r="AD536" s="10"/>
      <c r="AE536" s="10"/>
      <c r="AF536" s="214"/>
      <c r="AG536" s="215"/>
    </row>
    <row r="537" spans="1:33" ht="12.75" customHeight="1" x14ac:dyDescent="0.25">
      <c r="A537" s="168"/>
      <c r="B537" s="168"/>
      <c r="C537" s="168"/>
      <c r="E537" s="214"/>
      <c r="F537" s="215"/>
      <c r="G537" s="216"/>
      <c r="H537" s="216"/>
      <c r="I537" s="216"/>
      <c r="J537" s="216"/>
      <c r="K537" s="214"/>
      <c r="L537" s="215"/>
      <c r="M537" s="214"/>
      <c r="N537" s="215"/>
      <c r="O537" s="216"/>
      <c r="P537" s="214"/>
      <c r="Q537" s="215"/>
      <c r="R537" s="216"/>
      <c r="S537" s="216"/>
      <c r="T537" s="216"/>
      <c r="U537" s="214"/>
      <c r="V537" s="215"/>
      <c r="W537" s="214"/>
      <c r="X537" s="215"/>
      <c r="Y537" s="214"/>
      <c r="Z537" s="215"/>
      <c r="AA537" s="171"/>
      <c r="AB537" s="171"/>
      <c r="AC537" s="214"/>
      <c r="AD537" s="10"/>
      <c r="AE537" s="10"/>
      <c r="AF537" s="214"/>
      <c r="AG537" s="215"/>
    </row>
    <row r="538" spans="1:33" ht="12.75" customHeight="1" x14ac:dyDescent="0.25">
      <c r="A538" s="168"/>
      <c r="B538" s="168"/>
      <c r="C538" s="168"/>
      <c r="E538" s="214"/>
      <c r="F538" s="215"/>
      <c r="G538" s="216"/>
      <c r="H538" s="216"/>
      <c r="I538" s="216"/>
      <c r="J538" s="216"/>
      <c r="K538" s="214"/>
      <c r="L538" s="215"/>
      <c r="M538" s="214"/>
      <c r="N538" s="215"/>
      <c r="O538" s="216"/>
      <c r="P538" s="214"/>
      <c r="Q538" s="215"/>
      <c r="R538" s="216"/>
      <c r="S538" s="216"/>
      <c r="T538" s="216"/>
      <c r="U538" s="214"/>
      <c r="V538" s="215"/>
      <c r="W538" s="214"/>
      <c r="X538" s="215"/>
      <c r="Y538" s="214"/>
      <c r="Z538" s="215"/>
      <c r="AA538" s="171"/>
      <c r="AB538" s="171"/>
      <c r="AC538" s="214"/>
      <c r="AD538" s="10"/>
      <c r="AE538" s="10"/>
      <c r="AF538" s="214"/>
      <c r="AG538" s="215"/>
    </row>
    <row r="539" spans="1:33" ht="12.75" customHeight="1" x14ac:dyDescent="0.25">
      <c r="A539" s="168"/>
      <c r="B539" s="168"/>
      <c r="C539" s="168"/>
      <c r="E539" s="214"/>
      <c r="F539" s="215"/>
      <c r="G539" s="216"/>
      <c r="H539" s="216"/>
      <c r="I539" s="216"/>
      <c r="J539" s="216"/>
      <c r="K539" s="214"/>
      <c r="L539" s="215"/>
      <c r="M539" s="214"/>
      <c r="N539" s="215"/>
      <c r="O539" s="216"/>
      <c r="P539" s="214"/>
      <c r="Q539" s="215"/>
      <c r="R539" s="216"/>
      <c r="S539" s="216"/>
      <c r="T539" s="216"/>
      <c r="U539" s="214"/>
      <c r="V539" s="215"/>
      <c r="W539" s="214"/>
      <c r="X539" s="215"/>
      <c r="Y539" s="214"/>
      <c r="Z539" s="215"/>
      <c r="AA539" s="171"/>
      <c r="AB539" s="171"/>
      <c r="AC539" s="214"/>
      <c r="AD539" s="10"/>
      <c r="AE539" s="10"/>
      <c r="AF539" s="214"/>
      <c r="AG539" s="215"/>
    </row>
    <row r="540" spans="1:33" ht="12.75" customHeight="1" x14ac:dyDescent="0.25">
      <c r="A540" s="168"/>
      <c r="B540" s="168"/>
      <c r="C540" s="168"/>
      <c r="E540" s="214"/>
      <c r="F540" s="215"/>
      <c r="G540" s="216"/>
      <c r="H540" s="216"/>
      <c r="I540" s="216"/>
      <c r="J540" s="216"/>
      <c r="K540" s="214"/>
      <c r="L540" s="215"/>
      <c r="M540" s="214"/>
      <c r="N540" s="215"/>
      <c r="O540" s="216"/>
      <c r="P540" s="214"/>
      <c r="Q540" s="215"/>
      <c r="R540" s="216"/>
      <c r="S540" s="216"/>
      <c r="T540" s="216"/>
      <c r="U540" s="214"/>
      <c r="V540" s="215"/>
      <c r="W540" s="214"/>
      <c r="X540" s="215"/>
      <c r="Y540" s="214"/>
      <c r="Z540" s="215"/>
      <c r="AA540" s="171"/>
      <c r="AB540" s="171"/>
      <c r="AC540" s="214"/>
      <c r="AD540" s="10"/>
      <c r="AE540" s="10"/>
      <c r="AF540" s="214"/>
      <c r="AG540" s="215"/>
    </row>
    <row r="541" spans="1:33" ht="12.75" customHeight="1" x14ac:dyDescent="0.25">
      <c r="A541" s="168"/>
      <c r="B541" s="168"/>
      <c r="C541" s="168"/>
      <c r="E541" s="214"/>
      <c r="F541" s="215"/>
      <c r="G541" s="216"/>
      <c r="H541" s="216"/>
      <c r="I541" s="216"/>
      <c r="J541" s="216"/>
      <c r="K541" s="214"/>
      <c r="L541" s="215"/>
      <c r="M541" s="214"/>
      <c r="N541" s="215"/>
      <c r="O541" s="216"/>
      <c r="P541" s="214"/>
      <c r="Q541" s="215"/>
      <c r="R541" s="216"/>
      <c r="S541" s="216"/>
      <c r="T541" s="216"/>
      <c r="U541" s="214"/>
      <c r="V541" s="215"/>
      <c r="W541" s="214"/>
      <c r="X541" s="215"/>
      <c r="Y541" s="214"/>
      <c r="Z541" s="215"/>
      <c r="AA541" s="171"/>
      <c r="AB541" s="171"/>
      <c r="AC541" s="214"/>
      <c r="AD541" s="10"/>
      <c r="AE541" s="10"/>
      <c r="AF541" s="214"/>
      <c r="AG541" s="215"/>
    </row>
    <row r="542" spans="1:33" ht="12.75" customHeight="1" x14ac:dyDescent="0.25">
      <c r="A542" s="168"/>
      <c r="B542" s="168"/>
      <c r="C542" s="168"/>
      <c r="E542" s="214"/>
      <c r="F542" s="215"/>
      <c r="G542" s="216"/>
      <c r="H542" s="216"/>
      <c r="I542" s="216"/>
      <c r="J542" s="216"/>
      <c r="K542" s="214"/>
      <c r="L542" s="215"/>
      <c r="M542" s="214"/>
      <c r="N542" s="215"/>
      <c r="O542" s="216"/>
      <c r="P542" s="214"/>
      <c r="Q542" s="215"/>
      <c r="R542" s="216"/>
      <c r="S542" s="216"/>
      <c r="T542" s="216"/>
      <c r="U542" s="214"/>
      <c r="V542" s="215"/>
      <c r="W542" s="214"/>
      <c r="X542" s="215"/>
      <c r="Y542" s="214"/>
      <c r="Z542" s="215"/>
      <c r="AA542" s="171"/>
      <c r="AB542" s="171"/>
      <c r="AC542" s="214"/>
      <c r="AD542" s="10"/>
      <c r="AE542" s="10"/>
      <c r="AF542" s="214"/>
      <c r="AG542" s="215"/>
    </row>
    <row r="543" spans="1:33" ht="12.75" customHeight="1" x14ac:dyDescent="0.25">
      <c r="A543" s="168"/>
      <c r="B543" s="168"/>
      <c r="C543" s="168"/>
      <c r="E543" s="214"/>
      <c r="F543" s="215"/>
      <c r="G543" s="216"/>
      <c r="H543" s="216"/>
      <c r="I543" s="216"/>
      <c r="J543" s="216"/>
      <c r="K543" s="214"/>
      <c r="L543" s="215"/>
      <c r="M543" s="214"/>
      <c r="N543" s="215"/>
      <c r="O543" s="216"/>
      <c r="P543" s="214"/>
      <c r="Q543" s="215"/>
      <c r="R543" s="216"/>
      <c r="S543" s="216"/>
      <c r="T543" s="216"/>
      <c r="U543" s="214"/>
      <c r="V543" s="215"/>
      <c r="W543" s="214"/>
      <c r="X543" s="215"/>
      <c r="Y543" s="214"/>
      <c r="Z543" s="215"/>
      <c r="AA543" s="171"/>
      <c r="AB543" s="171"/>
      <c r="AC543" s="214"/>
      <c r="AD543" s="10"/>
      <c r="AE543" s="10"/>
      <c r="AF543" s="214"/>
      <c r="AG543" s="215"/>
    </row>
    <row r="544" spans="1:33" ht="12.75" customHeight="1" x14ac:dyDescent="0.25">
      <c r="A544" s="168"/>
      <c r="B544" s="168"/>
      <c r="C544" s="168"/>
      <c r="E544" s="214"/>
      <c r="F544" s="215"/>
      <c r="G544" s="216"/>
      <c r="H544" s="216"/>
      <c r="I544" s="216"/>
      <c r="J544" s="216"/>
      <c r="K544" s="214"/>
      <c r="L544" s="215"/>
      <c r="M544" s="214"/>
      <c r="N544" s="215"/>
      <c r="O544" s="216"/>
      <c r="P544" s="214"/>
      <c r="Q544" s="215"/>
      <c r="R544" s="216"/>
      <c r="S544" s="216"/>
      <c r="T544" s="216"/>
      <c r="U544" s="214"/>
      <c r="V544" s="215"/>
      <c r="W544" s="214"/>
      <c r="X544" s="215"/>
      <c r="Y544" s="214"/>
      <c r="Z544" s="215"/>
      <c r="AA544" s="171"/>
      <c r="AB544" s="171"/>
      <c r="AC544" s="214"/>
      <c r="AD544" s="10"/>
      <c r="AE544" s="10"/>
      <c r="AF544" s="214"/>
      <c r="AG544" s="215"/>
    </row>
    <row r="545" spans="1:33" ht="12.75" customHeight="1" x14ac:dyDescent="0.25">
      <c r="A545" s="168"/>
      <c r="B545" s="168"/>
      <c r="C545" s="168"/>
      <c r="E545" s="214"/>
      <c r="F545" s="215"/>
      <c r="G545" s="216"/>
      <c r="H545" s="216"/>
      <c r="I545" s="216"/>
      <c r="J545" s="216"/>
      <c r="K545" s="214"/>
      <c r="L545" s="215"/>
      <c r="M545" s="214"/>
      <c r="N545" s="215"/>
      <c r="O545" s="216"/>
      <c r="P545" s="214"/>
      <c r="Q545" s="215"/>
      <c r="R545" s="216"/>
      <c r="S545" s="216"/>
      <c r="T545" s="216"/>
      <c r="U545" s="214"/>
      <c r="V545" s="215"/>
      <c r="W545" s="214"/>
      <c r="X545" s="215"/>
      <c r="Y545" s="214"/>
      <c r="Z545" s="215"/>
      <c r="AA545" s="171"/>
      <c r="AB545" s="171"/>
      <c r="AC545" s="214"/>
      <c r="AD545" s="10"/>
      <c r="AE545" s="10"/>
      <c r="AF545" s="214"/>
      <c r="AG545" s="215"/>
    </row>
    <row r="546" spans="1:33" ht="12.75" customHeight="1" x14ac:dyDescent="0.25">
      <c r="A546" s="168"/>
      <c r="B546" s="168"/>
      <c r="C546" s="168"/>
      <c r="E546" s="214"/>
      <c r="F546" s="215"/>
      <c r="G546" s="216"/>
      <c r="H546" s="216"/>
      <c r="I546" s="216"/>
      <c r="J546" s="216"/>
      <c r="K546" s="214"/>
      <c r="L546" s="215"/>
      <c r="M546" s="214"/>
      <c r="N546" s="215"/>
      <c r="O546" s="216"/>
      <c r="P546" s="214"/>
      <c r="Q546" s="215"/>
      <c r="R546" s="216"/>
      <c r="S546" s="216"/>
      <c r="T546" s="216"/>
      <c r="U546" s="214"/>
      <c r="V546" s="215"/>
      <c r="W546" s="214"/>
      <c r="X546" s="215"/>
      <c r="Y546" s="214"/>
      <c r="Z546" s="215"/>
      <c r="AA546" s="171"/>
      <c r="AB546" s="171"/>
      <c r="AC546" s="214"/>
      <c r="AD546" s="10"/>
      <c r="AE546" s="10"/>
      <c r="AF546" s="214"/>
      <c r="AG546" s="215"/>
    </row>
    <row r="547" spans="1:33" ht="12.75" customHeight="1" x14ac:dyDescent="0.25">
      <c r="A547" s="168"/>
      <c r="B547" s="168"/>
      <c r="C547" s="168"/>
      <c r="E547" s="214"/>
      <c r="F547" s="215"/>
      <c r="G547" s="216"/>
      <c r="H547" s="216"/>
      <c r="I547" s="216"/>
      <c r="J547" s="216"/>
      <c r="K547" s="214"/>
      <c r="L547" s="215"/>
      <c r="M547" s="214"/>
      <c r="N547" s="215"/>
      <c r="O547" s="216"/>
      <c r="P547" s="214"/>
      <c r="Q547" s="215"/>
      <c r="R547" s="216"/>
      <c r="S547" s="216"/>
      <c r="T547" s="216"/>
      <c r="U547" s="214"/>
      <c r="V547" s="215"/>
      <c r="W547" s="214"/>
      <c r="X547" s="215"/>
      <c r="Y547" s="214"/>
      <c r="Z547" s="215"/>
      <c r="AA547" s="171"/>
      <c r="AB547" s="171"/>
      <c r="AC547" s="214"/>
      <c r="AD547" s="10"/>
      <c r="AE547" s="10"/>
      <c r="AF547" s="214"/>
      <c r="AG547" s="215"/>
    </row>
    <row r="548" spans="1:33" ht="12.75" customHeight="1" x14ac:dyDescent="0.25">
      <c r="A548" s="168"/>
      <c r="B548" s="168"/>
      <c r="C548" s="168"/>
      <c r="E548" s="214"/>
      <c r="F548" s="215"/>
      <c r="G548" s="216"/>
      <c r="H548" s="216"/>
      <c r="I548" s="216"/>
      <c r="J548" s="216"/>
      <c r="K548" s="214"/>
      <c r="L548" s="215"/>
      <c r="M548" s="214"/>
      <c r="N548" s="215"/>
      <c r="O548" s="216"/>
      <c r="P548" s="214"/>
      <c r="Q548" s="215"/>
      <c r="R548" s="216"/>
      <c r="S548" s="216"/>
      <c r="T548" s="216"/>
      <c r="U548" s="214"/>
      <c r="V548" s="215"/>
      <c r="W548" s="214"/>
      <c r="X548" s="215"/>
      <c r="Y548" s="214"/>
      <c r="Z548" s="215"/>
      <c r="AA548" s="171"/>
      <c r="AB548" s="171"/>
      <c r="AC548" s="214"/>
      <c r="AD548" s="10"/>
      <c r="AE548" s="10"/>
      <c r="AF548" s="214"/>
      <c r="AG548" s="215"/>
    </row>
    <row r="549" spans="1:33" ht="12.75" customHeight="1" x14ac:dyDescent="0.25">
      <c r="A549" s="168"/>
      <c r="B549" s="168"/>
      <c r="C549" s="168"/>
      <c r="E549" s="214"/>
      <c r="F549" s="215"/>
      <c r="G549" s="216"/>
      <c r="H549" s="216"/>
      <c r="I549" s="216"/>
      <c r="J549" s="216"/>
      <c r="K549" s="214"/>
      <c r="L549" s="215"/>
      <c r="M549" s="214"/>
      <c r="N549" s="215"/>
      <c r="O549" s="216"/>
      <c r="P549" s="214"/>
      <c r="Q549" s="215"/>
      <c r="R549" s="216"/>
      <c r="S549" s="216"/>
      <c r="T549" s="216"/>
      <c r="U549" s="214"/>
      <c r="V549" s="215"/>
      <c r="W549" s="214"/>
      <c r="X549" s="215"/>
      <c r="Y549" s="214"/>
      <c r="Z549" s="215"/>
      <c r="AA549" s="171"/>
      <c r="AB549" s="171"/>
      <c r="AC549" s="214"/>
      <c r="AD549" s="10"/>
      <c r="AE549" s="10"/>
      <c r="AF549" s="214"/>
      <c r="AG549" s="215"/>
    </row>
    <row r="550" spans="1:33" ht="12.75" customHeight="1" x14ac:dyDescent="0.25">
      <c r="A550" s="168"/>
      <c r="B550" s="168"/>
      <c r="C550" s="168"/>
      <c r="E550" s="214"/>
      <c r="F550" s="215"/>
      <c r="G550" s="216"/>
      <c r="H550" s="216"/>
      <c r="I550" s="216"/>
      <c r="J550" s="216"/>
      <c r="K550" s="214"/>
      <c r="L550" s="215"/>
      <c r="M550" s="214"/>
      <c r="N550" s="215"/>
      <c r="O550" s="216"/>
      <c r="P550" s="214"/>
      <c r="Q550" s="215"/>
      <c r="R550" s="216"/>
      <c r="S550" s="216"/>
      <c r="T550" s="216"/>
      <c r="U550" s="214"/>
      <c r="V550" s="215"/>
      <c r="W550" s="214"/>
      <c r="X550" s="215"/>
      <c r="Y550" s="214"/>
      <c r="Z550" s="215"/>
      <c r="AA550" s="171"/>
      <c r="AB550" s="171"/>
      <c r="AC550" s="214"/>
      <c r="AD550" s="10"/>
      <c r="AE550" s="10"/>
      <c r="AF550" s="214"/>
      <c r="AG550" s="215"/>
    </row>
    <row r="551" spans="1:33" ht="12.75" customHeight="1" x14ac:dyDescent="0.25">
      <c r="A551" s="168"/>
      <c r="B551" s="168"/>
      <c r="C551" s="168"/>
      <c r="E551" s="214"/>
      <c r="F551" s="215"/>
      <c r="G551" s="216"/>
      <c r="H551" s="216"/>
      <c r="I551" s="216"/>
      <c r="J551" s="216"/>
      <c r="K551" s="214"/>
      <c r="L551" s="215"/>
      <c r="M551" s="214"/>
      <c r="N551" s="215"/>
      <c r="O551" s="216"/>
      <c r="P551" s="214"/>
      <c r="Q551" s="215"/>
      <c r="R551" s="216"/>
      <c r="S551" s="216"/>
      <c r="T551" s="216"/>
      <c r="U551" s="214"/>
      <c r="V551" s="215"/>
      <c r="W551" s="214"/>
      <c r="X551" s="215"/>
      <c r="Y551" s="214"/>
      <c r="Z551" s="215"/>
      <c r="AA551" s="171"/>
      <c r="AB551" s="171"/>
      <c r="AC551" s="214"/>
      <c r="AD551" s="10"/>
      <c r="AE551" s="10"/>
      <c r="AF551" s="214"/>
      <c r="AG551" s="215"/>
    </row>
    <row r="552" spans="1:33" ht="12.75" customHeight="1" x14ac:dyDescent="0.25">
      <c r="A552" s="168"/>
      <c r="B552" s="168"/>
      <c r="C552" s="168"/>
      <c r="E552" s="214"/>
      <c r="F552" s="215"/>
      <c r="G552" s="216"/>
      <c r="H552" s="216"/>
      <c r="I552" s="216"/>
      <c r="J552" s="216"/>
      <c r="K552" s="214"/>
      <c r="L552" s="215"/>
      <c r="M552" s="214"/>
      <c r="N552" s="215"/>
      <c r="O552" s="216"/>
      <c r="P552" s="214"/>
      <c r="Q552" s="215"/>
      <c r="R552" s="216"/>
      <c r="S552" s="216"/>
      <c r="T552" s="216"/>
      <c r="U552" s="214"/>
      <c r="V552" s="215"/>
      <c r="W552" s="214"/>
      <c r="X552" s="215"/>
      <c r="Y552" s="214"/>
      <c r="Z552" s="215"/>
      <c r="AA552" s="171"/>
      <c r="AB552" s="171"/>
      <c r="AC552" s="214"/>
      <c r="AD552" s="10"/>
      <c r="AE552" s="10"/>
      <c r="AF552" s="214"/>
      <c r="AG552" s="215"/>
    </row>
    <row r="553" spans="1:33" ht="12.75" customHeight="1" x14ac:dyDescent="0.25">
      <c r="A553" s="168"/>
      <c r="B553" s="168"/>
      <c r="C553" s="168"/>
      <c r="E553" s="214"/>
      <c r="F553" s="215"/>
      <c r="G553" s="216"/>
      <c r="H553" s="216"/>
      <c r="I553" s="216"/>
      <c r="J553" s="216"/>
      <c r="K553" s="214"/>
      <c r="L553" s="215"/>
      <c r="M553" s="214"/>
      <c r="N553" s="215"/>
      <c r="O553" s="216"/>
      <c r="P553" s="214"/>
      <c r="Q553" s="215"/>
      <c r="R553" s="216"/>
      <c r="S553" s="216"/>
      <c r="T553" s="216"/>
      <c r="U553" s="214"/>
      <c r="V553" s="215"/>
      <c r="W553" s="214"/>
      <c r="X553" s="215"/>
      <c r="Y553" s="214"/>
      <c r="Z553" s="215"/>
      <c r="AA553" s="171"/>
      <c r="AB553" s="171"/>
      <c r="AC553" s="214"/>
      <c r="AD553" s="10"/>
      <c r="AE553" s="10"/>
      <c r="AF553" s="214"/>
      <c r="AG553" s="215"/>
    </row>
    <row r="554" spans="1:33" ht="12.75" customHeight="1" x14ac:dyDescent="0.25">
      <c r="A554" s="168"/>
      <c r="B554" s="168"/>
      <c r="C554" s="168"/>
      <c r="E554" s="214"/>
      <c r="F554" s="215"/>
      <c r="G554" s="216"/>
      <c r="H554" s="216"/>
      <c r="I554" s="216"/>
      <c r="J554" s="216"/>
      <c r="K554" s="214"/>
      <c r="L554" s="215"/>
      <c r="M554" s="214"/>
      <c r="N554" s="215"/>
      <c r="O554" s="216"/>
      <c r="P554" s="214"/>
      <c r="Q554" s="215"/>
      <c r="R554" s="216"/>
      <c r="S554" s="216"/>
      <c r="T554" s="216"/>
      <c r="U554" s="214"/>
      <c r="V554" s="215"/>
      <c r="W554" s="214"/>
      <c r="X554" s="215"/>
      <c r="Y554" s="214"/>
      <c r="Z554" s="215"/>
      <c r="AA554" s="171"/>
      <c r="AB554" s="171"/>
      <c r="AC554" s="214"/>
      <c r="AD554" s="10"/>
      <c r="AE554" s="10"/>
      <c r="AF554" s="214"/>
      <c r="AG554" s="215"/>
    </row>
    <row r="555" spans="1:33" ht="12.75" customHeight="1" x14ac:dyDescent="0.25">
      <c r="A555" s="168"/>
      <c r="B555" s="168"/>
      <c r="C555" s="168"/>
      <c r="E555" s="214"/>
      <c r="F555" s="215"/>
      <c r="G555" s="216"/>
      <c r="H555" s="216"/>
      <c r="I555" s="216"/>
      <c r="J555" s="216"/>
      <c r="K555" s="214"/>
      <c r="L555" s="215"/>
      <c r="M555" s="214"/>
      <c r="N555" s="215"/>
      <c r="O555" s="216"/>
      <c r="P555" s="214"/>
      <c r="Q555" s="215"/>
      <c r="R555" s="216"/>
      <c r="S555" s="216"/>
      <c r="T555" s="216"/>
      <c r="U555" s="214"/>
      <c r="V555" s="215"/>
      <c r="W555" s="214"/>
      <c r="X555" s="215"/>
      <c r="Y555" s="214"/>
      <c r="Z555" s="215"/>
      <c r="AA555" s="171"/>
      <c r="AB555" s="171"/>
      <c r="AC555" s="214"/>
      <c r="AD555" s="10"/>
      <c r="AE555" s="10"/>
      <c r="AF555" s="214"/>
      <c r="AG555" s="215"/>
    </row>
    <row r="556" spans="1:33" ht="12.75" customHeight="1" x14ac:dyDescent="0.25">
      <c r="A556" s="168"/>
      <c r="B556" s="168"/>
      <c r="C556" s="168"/>
      <c r="E556" s="214"/>
      <c r="F556" s="215"/>
      <c r="G556" s="216"/>
      <c r="H556" s="216"/>
      <c r="I556" s="216"/>
      <c r="J556" s="216"/>
      <c r="K556" s="214"/>
      <c r="L556" s="215"/>
      <c r="M556" s="214"/>
      <c r="N556" s="215"/>
      <c r="O556" s="216"/>
      <c r="P556" s="214"/>
      <c r="Q556" s="215"/>
      <c r="R556" s="216"/>
      <c r="S556" s="216"/>
      <c r="T556" s="216"/>
      <c r="U556" s="214"/>
      <c r="V556" s="215"/>
      <c r="W556" s="214"/>
      <c r="X556" s="215"/>
      <c r="Y556" s="214"/>
      <c r="Z556" s="215"/>
      <c r="AA556" s="171"/>
      <c r="AB556" s="171"/>
      <c r="AC556" s="214"/>
      <c r="AD556" s="10"/>
      <c r="AE556" s="10"/>
      <c r="AF556" s="214"/>
      <c r="AG556" s="215"/>
    </row>
    <row r="557" spans="1:33" ht="12.75" customHeight="1" x14ac:dyDescent="0.25">
      <c r="A557" s="168"/>
      <c r="B557" s="168"/>
      <c r="C557" s="168"/>
      <c r="E557" s="214"/>
      <c r="F557" s="215"/>
      <c r="G557" s="216"/>
      <c r="H557" s="216"/>
      <c r="I557" s="216"/>
      <c r="J557" s="216"/>
      <c r="K557" s="214"/>
      <c r="L557" s="215"/>
      <c r="M557" s="214"/>
      <c r="N557" s="215"/>
      <c r="O557" s="216"/>
      <c r="P557" s="214"/>
      <c r="Q557" s="215"/>
      <c r="R557" s="216"/>
      <c r="S557" s="216"/>
      <c r="T557" s="216"/>
      <c r="U557" s="214"/>
      <c r="V557" s="215"/>
      <c r="W557" s="214"/>
      <c r="X557" s="215"/>
      <c r="Y557" s="214"/>
      <c r="Z557" s="215"/>
      <c r="AA557" s="171"/>
      <c r="AB557" s="171"/>
      <c r="AC557" s="214"/>
      <c r="AD557" s="10"/>
      <c r="AE557" s="10"/>
      <c r="AF557" s="214"/>
      <c r="AG557" s="215"/>
    </row>
    <row r="558" spans="1:33" ht="12.75" customHeight="1" x14ac:dyDescent="0.25">
      <c r="A558" s="168"/>
      <c r="B558" s="168"/>
      <c r="C558" s="168"/>
      <c r="E558" s="214"/>
      <c r="F558" s="215"/>
      <c r="G558" s="216"/>
      <c r="H558" s="216"/>
      <c r="I558" s="216"/>
      <c r="J558" s="216"/>
      <c r="K558" s="214"/>
      <c r="L558" s="215"/>
      <c r="M558" s="214"/>
      <c r="N558" s="215"/>
      <c r="O558" s="216"/>
      <c r="P558" s="214"/>
      <c r="Q558" s="215"/>
      <c r="R558" s="216"/>
      <c r="S558" s="216"/>
      <c r="T558" s="216"/>
      <c r="U558" s="214"/>
      <c r="V558" s="215"/>
      <c r="W558" s="214"/>
      <c r="X558" s="215"/>
      <c r="Y558" s="214"/>
      <c r="Z558" s="215"/>
      <c r="AA558" s="171"/>
      <c r="AB558" s="171"/>
      <c r="AC558" s="214"/>
      <c r="AD558" s="10"/>
      <c r="AE558" s="10"/>
      <c r="AF558" s="214"/>
      <c r="AG558" s="215"/>
    </row>
    <row r="559" spans="1:33" ht="12.75" customHeight="1" x14ac:dyDescent="0.25">
      <c r="A559" s="168"/>
      <c r="B559" s="168"/>
      <c r="C559" s="168"/>
      <c r="E559" s="214"/>
      <c r="F559" s="215"/>
      <c r="G559" s="216"/>
      <c r="H559" s="216"/>
      <c r="I559" s="216"/>
      <c r="J559" s="216"/>
      <c r="K559" s="214"/>
      <c r="L559" s="215"/>
      <c r="M559" s="214"/>
      <c r="N559" s="215"/>
      <c r="O559" s="216"/>
      <c r="P559" s="214"/>
      <c r="Q559" s="215"/>
      <c r="R559" s="216"/>
      <c r="S559" s="216"/>
      <c r="T559" s="216"/>
      <c r="U559" s="214"/>
      <c r="V559" s="215"/>
      <c r="W559" s="214"/>
      <c r="X559" s="215"/>
      <c r="Y559" s="214"/>
      <c r="Z559" s="215"/>
      <c r="AA559" s="171"/>
      <c r="AB559" s="171"/>
      <c r="AC559" s="214"/>
      <c r="AD559" s="10"/>
      <c r="AE559" s="10"/>
      <c r="AF559" s="214"/>
      <c r="AG559" s="215"/>
    </row>
    <row r="560" spans="1:33" ht="12.75" customHeight="1" x14ac:dyDescent="0.25">
      <c r="A560" s="168"/>
      <c r="B560" s="168"/>
      <c r="C560" s="168"/>
      <c r="E560" s="214"/>
      <c r="F560" s="215"/>
      <c r="G560" s="216"/>
      <c r="H560" s="216"/>
      <c r="I560" s="216"/>
      <c r="J560" s="216"/>
      <c r="K560" s="214"/>
      <c r="L560" s="215"/>
      <c r="M560" s="214"/>
      <c r="N560" s="215"/>
      <c r="O560" s="216"/>
      <c r="P560" s="214"/>
      <c r="Q560" s="215"/>
      <c r="R560" s="216"/>
      <c r="S560" s="216"/>
      <c r="T560" s="216"/>
      <c r="U560" s="214"/>
      <c r="V560" s="215"/>
      <c r="W560" s="214"/>
      <c r="X560" s="215"/>
      <c r="Y560" s="214"/>
      <c r="Z560" s="215"/>
      <c r="AA560" s="171"/>
      <c r="AB560" s="171"/>
      <c r="AC560" s="214"/>
      <c r="AD560" s="10"/>
      <c r="AE560" s="10"/>
      <c r="AF560" s="214"/>
      <c r="AG560" s="215"/>
    </row>
    <row r="561" spans="1:33" ht="12.75" customHeight="1" x14ac:dyDescent="0.25">
      <c r="A561" s="168"/>
      <c r="B561" s="168"/>
      <c r="C561" s="168"/>
      <c r="E561" s="214"/>
      <c r="F561" s="215"/>
      <c r="G561" s="216"/>
      <c r="H561" s="216"/>
      <c r="I561" s="216"/>
      <c r="J561" s="216"/>
      <c r="K561" s="214"/>
      <c r="L561" s="215"/>
      <c r="M561" s="214"/>
      <c r="N561" s="215"/>
      <c r="O561" s="216"/>
      <c r="P561" s="214"/>
      <c r="Q561" s="215"/>
      <c r="R561" s="216"/>
      <c r="S561" s="216"/>
      <c r="T561" s="216"/>
      <c r="U561" s="214"/>
      <c r="V561" s="215"/>
      <c r="W561" s="214"/>
      <c r="X561" s="215"/>
      <c r="Y561" s="214"/>
      <c r="Z561" s="215"/>
      <c r="AA561" s="171"/>
      <c r="AB561" s="171"/>
      <c r="AC561" s="214"/>
      <c r="AD561" s="10"/>
      <c r="AE561" s="10"/>
      <c r="AF561" s="214"/>
      <c r="AG561" s="215"/>
    </row>
    <row r="562" spans="1:33" ht="12.75" customHeight="1" x14ac:dyDescent="0.25">
      <c r="A562" s="168"/>
      <c r="B562" s="168"/>
      <c r="C562" s="168"/>
      <c r="E562" s="214"/>
      <c r="F562" s="215"/>
      <c r="G562" s="216"/>
      <c r="H562" s="216"/>
      <c r="I562" s="216"/>
      <c r="J562" s="216"/>
      <c r="K562" s="214"/>
      <c r="L562" s="215"/>
      <c r="M562" s="214"/>
      <c r="N562" s="215"/>
      <c r="O562" s="216"/>
      <c r="P562" s="214"/>
      <c r="Q562" s="215"/>
      <c r="R562" s="216"/>
      <c r="S562" s="216"/>
      <c r="T562" s="216"/>
      <c r="U562" s="214"/>
      <c r="V562" s="215"/>
      <c r="W562" s="214"/>
      <c r="X562" s="215"/>
      <c r="Y562" s="214"/>
      <c r="Z562" s="215"/>
      <c r="AA562" s="171"/>
      <c r="AB562" s="171"/>
      <c r="AC562" s="214"/>
      <c r="AD562" s="10"/>
      <c r="AE562" s="10"/>
      <c r="AF562" s="214"/>
      <c r="AG562" s="215"/>
    </row>
    <row r="563" spans="1:33" ht="12.75" customHeight="1" x14ac:dyDescent="0.25">
      <c r="A563" s="168"/>
      <c r="B563" s="168"/>
      <c r="C563" s="168"/>
      <c r="E563" s="214"/>
      <c r="F563" s="215"/>
      <c r="G563" s="216"/>
      <c r="H563" s="216"/>
      <c r="I563" s="216"/>
      <c r="J563" s="216"/>
      <c r="K563" s="214"/>
      <c r="L563" s="215"/>
      <c r="M563" s="214"/>
      <c r="N563" s="215"/>
      <c r="O563" s="216"/>
      <c r="P563" s="214"/>
      <c r="Q563" s="215"/>
      <c r="R563" s="216"/>
      <c r="S563" s="216"/>
      <c r="T563" s="216"/>
      <c r="U563" s="214"/>
      <c r="V563" s="215"/>
      <c r="W563" s="214"/>
      <c r="X563" s="215"/>
      <c r="Y563" s="214"/>
      <c r="Z563" s="215"/>
      <c r="AA563" s="171"/>
      <c r="AB563" s="171"/>
      <c r="AC563" s="214"/>
      <c r="AD563" s="10"/>
      <c r="AE563" s="10"/>
      <c r="AF563" s="214"/>
      <c r="AG563" s="215"/>
    </row>
    <row r="564" spans="1:33" ht="12.75" customHeight="1" x14ac:dyDescent="0.25">
      <c r="A564" s="168"/>
      <c r="B564" s="168"/>
      <c r="C564" s="168"/>
      <c r="E564" s="214"/>
      <c r="F564" s="215"/>
      <c r="G564" s="216"/>
      <c r="H564" s="216"/>
      <c r="I564" s="216"/>
      <c r="J564" s="216"/>
      <c r="K564" s="214"/>
      <c r="L564" s="215"/>
      <c r="M564" s="214"/>
      <c r="N564" s="215"/>
      <c r="O564" s="216"/>
      <c r="P564" s="214"/>
      <c r="Q564" s="215"/>
      <c r="R564" s="216"/>
      <c r="S564" s="216"/>
      <c r="T564" s="216"/>
      <c r="U564" s="214"/>
      <c r="V564" s="215"/>
      <c r="W564" s="214"/>
      <c r="X564" s="215"/>
      <c r="Y564" s="214"/>
      <c r="Z564" s="215"/>
      <c r="AA564" s="171"/>
      <c r="AB564" s="171"/>
      <c r="AC564" s="214"/>
      <c r="AD564" s="10"/>
      <c r="AE564" s="10"/>
      <c r="AF564" s="214"/>
      <c r="AG564" s="215"/>
    </row>
    <row r="565" spans="1:33" ht="12.75" customHeight="1" x14ac:dyDescent="0.25">
      <c r="A565" s="168"/>
      <c r="B565" s="168"/>
      <c r="C565" s="168"/>
      <c r="E565" s="214"/>
      <c r="F565" s="215"/>
      <c r="G565" s="216"/>
      <c r="H565" s="216"/>
      <c r="I565" s="216"/>
      <c r="J565" s="216"/>
      <c r="K565" s="214"/>
      <c r="L565" s="215"/>
      <c r="M565" s="214"/>
      <c r="N565" s="215"/>
      <c r="O565" s="216"/>
      <c r="P565" s="214"/>
      <c r="Q565" s="215"/>
      <c r="R565" s="216"/>
      <c r="S565" s="216"/>
      <c r="T565" s="216"/>
      <c r="U565" s="214"/>
      <c r="V565" s="215"/>
      <c r="W565" s="214"/>
      <c r="X565" s="215"/>
      <c r="Y565" s="214"/>
      <c r="Z565" s="215"/>
      <c r="AA565" s="171"/>
      <c r="AB565" s="171"/>
      <c r="AC565" s="214"/>
      <c r="AD565" s="10"/>
      <c r="AE565" s="10"/>
      <c r="AF565" s="214"/>
      <c r="AG565" s="215"/>
    </row>
    <row r="566" spans="1:33" ht="12.75" customHeight="1" x14ac:dyDescent="0.25">
      <c r="A566" s="168"/>
      <c r="B566" s="168"/>
      <c r="C566" s="168"/>
      <c r="E566" s="214"/>
      <c r="F566" s="215"/>
      <c r="G566" s="216"/>
      <c r="H566" s="216"/>
      <c r="I566" s="216"/>
      <c r="J566" s="216"/>
      <c r="K566" s="214"/>
      <c r="L566" s="215"/>
      <c r="M566" s="214"/>
      <c r="N566" s="215"/>
      <c r="O566" s="216"/>
      <c r="P566" s="214"/>
      <c r="Q566" s="215"/>
      <c r="R566" s="216"/>
      <c r="S566" s="216"/>
      <c r="T566" s="216"/>
      <c r="U566" s="214"/>
      <c r="V566" s="215"/>
      <c r="W566" s="214"/>
      <c r="X566" s="215"/>
      <c r="Y566" s="214"/>
      <c r="Z566" s="215"/>
      <c r="AA566" s="171"/>
      <c r="AB566" s="171"/>
      <c r="AC566" s="214"/>
      <c r="AD566" s="10"/>
      <c r="AE566" s="10"/>
      <c r="AF566" s="214"/>
      <c r="AG566" s="215"/>
    </row>
    <row r="567" spans="1:33" ht="12.75" customHeight="1" x14ac:dyDescent="0.25">
      <c r="A567" s="168"/>
      <c r="B567" s="168"/>
      <c r="C567" s="168"/>
      <c r="E567" s="214"/>
      <c r="F567" s="215"/>
      <c r="G567" s="216"/>
      <c r="H567" s="216"/>
      <c r="I567" s="216"/>
      <c r="J567" s="216"/>
      <c r="K567" s="214"/>
      <c r="L567" s="215"/>
      <c r="M567" s="214"/>
      <c r="N567" s="215"/>
      <c r="O567" s="216"/>
      <c r="P567" s="214"/>
      <c r="Q567" s="215"/>
      <c r="R567" s="216"/>
      <c r="S567" s="216"/>
      <c r="T567" s="216"/>
      <c r="U567" s="214"/>
      <c r="V567" s="215"/>
      <c r="W567" s="214"/>
      <c r="X567" s="215"/>
      <c r="Y567" s="214"/>
      <c r="Z567" s="215"/>
      <c r="AA567" s="171"/>
      <c r="AB567" s="171"/>
      <c r="AC567" s="214"/>
      <c r="AD567" s="10"/>
      <c r="AE567" s="10"/>
      <c r="AF567" s="214"/>
      <c r="AG567" s="215"/>
    </row>
    <row r="568" spans="1:33" ht="12.75" customHeight="1" x14ac:dyDescent="0.25">
      <c r="A568" s="168"/>
      <c r="B568" s="168"/>
      <c r="C568" s="168"/>
      <c r="E568" s="214"/>
      <c r="F568" s="215"/>
      <c r="G568" s="216"/>
      <c r="H568" s="216"/>
      <c r="I568" s="216"/>
      <c r="J568" s="216"/>
      <c r="K568" s="214"/>
      <c r="L568" s="215"/>
      <c r="M568" s="214"/>
      <c r="N568" s="215"/>
      <c r="O568" s="216"/>
      <c r="P568" s="214"/>
      <c r="Q568" s="215"/>
      <c r="R568" s="216"/>
      <c r="S568" s="216"/>
      <c r="T568" s="216"/>
      <c r="U568" s="214"/>
      <c r="V568" s="215"/>
      <c r="W568" s="214"/>
      <c r="X568" s="215"/>
      <c r="Y568" s="214"/>
      <c r="Z568" s="215"/>
      <c r="AA568" s="171"/>
      <c r="AB568" s="171"/>
      <c r="AC568" s="214"/>
      <c r="AD568" s="10"/>
      <c r="AE568" s="10"/>
      <c r="AF568" s="214"/>
      <c r="AG568" s="215"/>
    </row>
    <row r="569" spans="1:33" ht="12.75" customHeight="1" x14ac:dyDescent="0.25">
      <c r="A569" s="168"/>
      <c r="B569" s="168"/>
      <c r="C569" s="168"/>
      <c r="E569" s="214"/>
      <c r="F569" s="215"/>
      <c r="G569" s="216"/>
      <c r="H569" s="216"/>
      <c r="I569" s="216"/>
      <c r="J569" s="216"/>
      <c r="K569" s="214"/>
      <c r="L569" s="215"/>
      <c r="M569" s="214"/>
      <c r="N569" s="215"/>
      <c r="O569" s="216"/>
      <c r="P569" s="214"/>
      <c r="Q569" s="215"/>
      <c r="R569" s="216"/>
      <c r="S569" s="216"/>
      <c r="T569" s="216"/>
      <c r="U569" s="214"/>
      <c r="V569" s="215"/>
      <c r="W569" s="214"/>
      <c r="X569" s="215"/>
      <c r="Y569" s="214"/>
      <c r="Z569" s="215"/>
      <c r="AA569" s="171"/>
      <c r="AB569" s="171"/>
      <c r="AC569" s="214"/>
      <c r="AD569" s="10"/>
      <c r="AE569" s="10"/>
      <c r="AF569" s="214"/>
      <c r="AG569" s="215"/>
    </row>
    <row r="570" spans="1:33" ht="12.75" customHeight="1" x14ac:dyDescent="0.25">
      <c r="A570" s="168"/>
      <c r="B570" s="168"/>
      <c r="C570" s="168"/>
      <c r="E570" s="214"/>
      <c r="F570" s="215"/>
      <c r="G570" s="216"/>
      <c r="H570" s="216"/>
      <c r="I570" s="216"/>
      <c r="J570" s="216"/>
      <c r="K570" s="214"/>
      <c r="L570" s="215"/>
      <c r="M570" s="214"/>
      <c r="N570" s="215"/>
      <c r="O570" s="216"/>
      <c r="P570" s="214"/>
      <c r="Q570" s="215"/>
      <c r="R570" s="216"/>
      <c r="S570" s="216"/>
      <c r="T570" s="216"/>
      <c r="U570" s="214"/>
      <c r="V570" s="215"/>
      <c r="W570" s="214"/>
      <c r="X570" s="215"/>
      <c r="Y570" s="214"/>
      <c r="Z570" s="215"/>
      <c r="AA570" s="171"/>
      <c r="AB570" s="171"/>
      <c r="AC570" s="214"/>
      <c r="AD570" s="10"/>
      <c r="AE570" s="10"/>
      <c r="AF570" s="214"/>
      <c r="AG570" s="215"/>
    </row>
    <row r="571" spans="1:33" ht="12.75" customHeight="1" x14ac:dyDescent="0.25">
      <c r="A571" s="168"/>
      <c r="B571" s="168"/>
      <c r="C571" s="168"/>
      <c r="E571" s="214"/>
      <c r="F571" s="215"/>
      <c r="G571" s="216"/>
      <c r="H571" s="216"/>
      <c r="I571" s="216"/>
      <c r="J571" s="216"/>
      <c r="K571" s="214"/>
      <c r="L571" s="215"/>
      <c r="M571" s="214"/>
      <c r="N571" s="215"/>
      <c r="O571" s="216"/>
      <c r="P571" s="214"/>
      <c r="Q571" s="215"/>
      <c r="R571" s="216"/>
      <c r="S571" s="216"/>
      <c r="T571" s="216"/>
      <c r="U571" s="214"/>
      <c r="V571" s="215"/>
      <c r="W571" s="214"/>
      <c r="X571" s="215"/>
      <c r="Y571" s="214"/>
      <c r="Z571" s="215"/>
      <c r="AA571" s="171"/>
      <c r="AB571" s="171"/>
      <c r="AC571" s="214"/>
      <c r="AD571" s="10"/>
      <c r="AE571" s="10"/>
      <c r="AF571" s="214"/>
      <c r="AG571" s="215"/>
    </row>
    <row r="572" spans="1:33" ht="12.75" customHeight="1" x14ac:dyDescent="0.25">
      <c r="A572" s="168"/>
      <c r="B572" s="168"/>
      <c r="C572" s="168"/>
      <c r="E572" s="214"/>
      <c r="F572" s="215"/>
      <c r="G572" s="216"/>
      <c r="H572" s="216"/>
      <c r="I572" s="216"/>
      <c r="J572" s="216"/>
      <c r="K572" s="214"/>
      <c r="L572" s="215"/>
      <c r="M572" s="214"/>
      <c r="N572" s="215"/>
      <c r="O572" s="216"/>
      <c r="P572" s="214"/>
      <c r="Q572" s="215"/>
      <c r="R572" s="216"/>
      <c r="S572" s="216"/>
      <c r="T572" s="216"/>
      <c r="U572" s="214"/>
      <c r="V572" s="215"/>
      <c r="W572" s="214"/>
      <c r="X572" s="215"/>
      <c r="Y572" s="214"/>
      <c r="Z572" s="215"/>
      <c r="AA572" s="171"/>
      <c r="AB572" s="171"/>
      <c r="AC572" s="214"/>
      <c r="AD572" s="10"/>
      <c r="AE572" s="10"/>
      <c r="AF572" s="214"/>
      <c r="AG572" s="215"/>
    </row>
    <row r="573" spans="1:33" ht="12.75" customHeight="1" x14ac:dyDescent="0.25">
      <c r="A573" s="168"/>
      <c r="B573" s="168"/>
      <c r="C573" s="168"/>
      <c r="E573" s="214"/>
      <c r="F573" s="215"/>
      <c r="G573" s="216"/>
      <c r="H573" s="216"/>
      <c r="I573" s="216"/>
      <c r="J573" s="216"/>
      <c r="K573" s="214"/>
      <c r="L573" s="215"/>
      <c r="M573" s="214"/>
      <c r="N573" s="215"/>
      <c r="O573" s="216"/>
      <c r="P573" s="214"/>
      <c r="Q573" s="215"/>
      <c r="R573" s="216"/>
      <c r="S573" s="216"/>
      <c r="T573" s="216"/>
      <c r="U573" s="214"/>
      <c r="V573" s="215"/>
      <c r="W573" s="214"/>
      <c r="X573" s="215"/>
      <c r="Y573" s="214"/>
      <c r="Z573" s="215"/>
      <c r="AA573" s="171"/>
      <c r="AB573" s="171"/>
      <c r="AC573" s="214"/>
      <c r="AD573" s="10"/>
      <c r="AE573" s="10"/>
      <c r="AF573" s="214"/>
      <c r="AG573" s="215"/>
    </row>
    <row r="574" spans="1:33" ht="12.75" customHeight="1" x14ac:dyDescent="0.25">
      <c r="A574" s="168"/>
      <c r="B574" s="168"/>
      <c r="C574" s="168"/>
      <c r="E574" s="214"/>
      <c r="F574" s="215"/>
      <c r="G574" s="216"/>
      <c r="H574" s="216"/>
      <c r="I574" s="216"/>
      <c r="J574" s="216"/>
      <c r="K574" s="214"/>
      <c r="L574" s="215"/>
      <c r="M574" s="214"/>
      <c r="N574" s="215"/>
      <c r="O574" s="216"/>
      <c r="P574" s="214"/>
      <c r="Q574" s="215"/>
      <c r="R574" s="216"/>
      <c r="S574" s="216"/>
      <c r="T574" s="216"/>
      <c r="U574" s="214"/>
      <c r="V574" s="215"/>
      <c r="W574" s="214"/>
      <c r="X574" s="215"/>
      <c r="Y574" s="214"/>
      <c r="Z574" s="215"/>
      <c r="AA574" s="171"/>
      <c r="AB574" s="171"/>
      <c r="AC574" s="214"/>
      <c r="AD574" s="10"/>
      <c r="AE574" s="10"/>
      <c r="AF574" s="214"/>
      <c r="AG574" s="215"/>
    </row>
    <row r="575" spans="1:33" ht="12.75" customHeight="1" x14ac:dyDescent="0.25">
      <c r="A575" s="168"/>
      <c r="B575" s="168"/>
      <c r="C575" s="168"/>
      <c r="E575" s="214"/>
      <c r="F575" s="215"/>
      <c r="G575" s="216"/>
      <c r="H575" s="216"/>
      <c r="I575" s="216"/>
      <c r="J575" s="216"/>
      <c r="K575" s="214"/>
      <c r="L575" s="215"/>
      <c r="M575" s="214"/>
      <c r="N575" s="215"/>
      <c r="O575" s="216"/>
      <c r="P575" s="214"/>
      <c r="Q575" s="215"/>
      <c r="R575" s="216"/>
      <c r="S575" s="216"/>
      <c r="T575" s="216"/>
      <c r="U575" s="214"/>
      <c r="V575" s="215"/>
      <c r="W575" s="214"/>
      <c r="X575" s="215"/>
      <c r="Y575" s="214"/>
      <c r="Z575" s="215"/>
      <c r="AA575" s="171"/>
      <c r="AB575" s="171"/>
      <c r="AC575" s="214"/>
      <c r="AD575" s="10"/>
      <c r="AE575" s="10"/>
      <c r="AF575" s="214"/>
      <c r="AG575" s="215"/>
    </row>
    <row r="576" spans="1:33" ht="12.75" customHeight="1" x14ac:dyDescent="0.25">
      <c r="A576" s="168"/>
      <c r="B576" s="168"/>
      <c r="C576" s="168"/>
      <c r="E576" s="214"/>
      <c r="F576" s="215"/>
      <c r="G576" s="216"/>
      <c r="H576" s="216"/>
      <c r="I576" s="216"/>
      <c r="J576" s="216"/>
      <c r="K576" s="214"/>
      <c r="L576" s="215"/>
      <c r="M576" s="214"/>
      <c r="N576" s="215"/>
      <c r="O576" s="216"/>
      <c r="P576" s="214"/>
      <c r="Q576" s="215"/>
      <c r="R576" s="216"/>
      <c r="S576" s="216"/>
      <c r="T576" s="216"/>
      <c r="U576" s="214"/>
      <c r="V576" s="215"/>
      <c r="W576" s="214"/>
      <c r="X576" s="215"/>
      <c r="Y576" s="214"/>
      <c r="Z576" s="215"/>
      <c r="AA576" s="171"/>
      <c r="AB576" s="171"/>
      <c r="AC576" s="214"/>
      <c r="AD576" s="10"/>
      <c r="AE576" s="10"/>
      <c r="AF576" s="214"/>
      <c r="AG576" s="215"/>
    </row>
    <row r="577" spans="1:33" ht="12.75" customHeight="1" x14ac:dyDescent="0.25">
      <c r="A577" s="168"/>
      <c r="B577" s="168"/>
      <c r="C577" s="168"/>
      <c r="E577" s="214"/>
      <c r="F577" s="215"/>
      <c r="G577" s="216"/>
      <c r="H577" s="216"/>
      <c r="I577" s="216"/>
      <c r="J577" s="216"/>
      <c r="K577" s="214"/>
      <c r="L577" s="215"/>
      <c r="M577" s="214"/>
      <c r="N577" s="215"/>
      <c r="O577" s="216"/>
      <c r="P577" s="214"/>
      <c r="Q577" s="215"/>
      <c r="R577" s="216"/>
      <c r="S577" s="216"/>
      <c r="T577" s="216"/>
      <c r="U577" s="214"/>
      <c r="V577" s="215"/>
      <c r="W577" s="214"/>
      <c r="X577" s="215"/>
      <c r="Y577" s="214"/>
      <c r="Z577" s="215"/>
      <c r="AA577" s="171"/>
      <c r="AB577" s="171"/>
      <c r="AC577" s="214"/>
      <c r="AD577" s="10"/>
      <c r="AE577" s="10"/>
      <c r="AF577" s="214"/>
      <c r="AG577" s="215"/>
    </row>
    <row r="578" spans="1:33" ht="12.75" customHeight="1" x14ac:dyDescent="0.25">
      <c r="A578" s="168"/>
      <c r="B578" s="168"/>
      <c r="C578" s="168"/>
      <c r="E578" s="214"/>
      <c r="F578" s="215"/>
      <c r="G578" s="216"/>
      <c r="H578" s="216"/>
      <c r="I578" s="216"/>
      <c r="J578" s="216"/>
      <c r="K578" s="214"/>
      <c r="L578" s="215"/>
      <c r="M578" s="214"/>
      <c r="N578" s="215"/>
      <c r="O578" s="216"/>
      <c r="P578" s="214"/>
      <c r="Q578" s="215"/>
      <c r="R578" s="216"/>
      <c r="S578" s="216"/>
      <c r="T578" s="216"/>
      <c r="U578" s="214"/>
      <c r="V578" s="215"/>
      <c r="W578" s="214"/>
      <c r="X578" s="215"/>
      <c r="Y578" s="214"/>
      <c r="Z578" s="215"/>
      <c r="AA578" s="171"/>
      <c r="AB578" s="171"/>
      <c r="AC578" s="214"/>
      <c r="AD578" s="10"/>
      <c r="AE578" s="10"/>
      <c r="AF578" s="214"/>
      <c r="AG578" s="215"/>
    </row>
    <row r="579" spans="1:33" ht="12.75" customHeight="1" x14ac:dyDescent="0.25">
      <c r="A579" s="168"/>
      <c r="B579" s="168"/>
      <c r="C579" s="168"/>
      <c r="E579" s="214"/>
      <c r="F579" s="215"/>
      <c r="G579" s="216"/>
      <c r="H579" s="216"/>
      <c r="I579" s="216"/>
      <c r="J579" s="216"/>
      <c r="K579" s="214"/>
      <c r="L579" s="215"/>
      <c r="M579" s="214"/>
      <c r="N579" s="215"/>
      <c r="O579" s="216"/>
      <c r="P579" s="214"/>
      <c r="Q579" s="215"/>
      <c r="R579" s="216"/>
      <c r="S579" s="216"/>
      <c r="T579" s="216"/>
      <c r="U579" s="214"/>
      <c r="V579" s="215"/>
      <c r="W579" s="214"/>
      <c r="X579" s="215"/>
      <c r="Y579" s="214"/>
      <c r="Z579" s="215"/>
      <c r="AA579" s="171"/>
      <c r="AB579" s="171"/>
      <c r="AC579" s="214"/>
      <c r="AD579" s="10"/>
      <c r="AE579" s="10"/>
      <c r="AF579" s="214"/>
      <c r="AG579" s="215"/>
    </row>
    <row r="580" spans="1:33" ht="12.75" customHeight="1" x14ac:dyDescent="0.25">
      <c r="A580" s="168"/>
      <c r="B580" s="168"/>
      <c r="C580" s="168"/>
      <c r="E580" s="214"/>
      <c r="F580" s="215"/>
      <c r="G580" s="216"/>
      <c r="H580" s="216"/>
      <c r="I580" s="216"/>
      <c r="J580" s="216"/>
      <c r="K580" s="214"/>
      <c r="L580" s="215"/>
      <c r="M580" s="214"/>
      <c r="N580" s="215"/>
      <c r="O580" s="216"/>
      <c r="P580" s="214"/>
      <c r="Q580" s="215"/>
      <c r="R580" s="216"/>
      <c r="S580" s="216"/>
      <c r="T580" s="216"/>
      <c r="U580" s="214"/>
      <c r="V580" s="215"/>
      <c r="W580" s="214"/>
      <c r="X580" s="215"/>
      <c r="Y580" s="214"/>
      <c r="Z580" s="215"/>
      <c r="AA580" s="171"/>
      <c r="AB580" s="171"/>
      <c r="AC580" s="214"/>
      <c r="AD580" s="10"/>
      <c r="AE580" s="10"/>
      <c r="AF580" s="214"/>
      <c r="AG580" s="215"/>
    </row>
    <row r="581" spans="1:33" ht="12.75" customHeight="1" x14ac:dyDescent="0.25">
      <c r="A581" s="168"/>
      <c r="B581" s="168"/>
      <c r="C581" s="168"/>
      <c r="E581" s="214"/>
      <c r="F581" s="215"/>
      <c r="G581" s="216"/>
      <c r="H581" s="216"/>
      <c r="I581" s="216"/>
      <c r="J581" s="216"/>
      <c r="K581" s="214"/>
      <c r="L581" s="215"/>
      <c r="M581" s="214"/>
      <c r="N581" s="215"/>
      <c r="O581" s="216"/>
      <c r="P581" s="214"/>
      <c r="Q581" s="215"/>
      <c r="R581" s="216"/>
      <c r="S581" s="216"/>
      <c r="T581" s="216"/>
      <c r="U581" s="214"/>
      <c r="V581" s="215"/>
      <c r="W581" s="214"/>
      <c r="X581" s="215"/>
      <c r="Y581" s="214"/>
      <c r="Z581" s="215"/>
      <c r="AA581" s="171"/>
      <c r="AB581" s="171"/>
      <c r="AC581" s="214"/>
      <c r="AD581" s="10"/>
      <c r="AE581" s="10"/>
      <c r="AF581" s="214"/>
      <c r="AG581" s="215"/>
    </row>
    <row r="582" spans="1:33" ht="12.75" customHeight="1" x14ac:dyDescent="0.25">
      <c r="A582" s="168"/>
      <c r="B582" s="168"/>
      <c r="C582" s="168"/>
      <c r="E582" s="214"/>
      <c r="F582" s="215"/>
      <c r="G582" s="216"/>
      <c r="H582" s="216"/>
      <c r="I582" s="216"/>
      <c r="J582" s="216"/>
      <c r="K582" s="214"/>
      <c r="L582" s="215"/>
      <c r="M582" s="214"/>
      <c r="N582" s="215"/>
      <c r="O582" s="216"/>
      <c r="P582" s="214"/>
      <c r="Q582" s="215"/>
      <c r="R582" s="216"/>
      <c r="S582" s="216"/>
      <c r="T582" s="216"/>
      <c r="U582" s="214"/>
      <c r="V582" s="215"/>
      <c r="W582" s="214"/>
      <c r="X582" s="215"/>
      <c r="Y582" s="214"/>
      <c r="Z582" s="215"/>
      <c r="AA582" s="171"/>
      <c r="AB582" s="171"/>
      <c r="AC582" s="214"/>
      <c r="AD582" s="10"/>
      <c r="AE582" s="10"/>
      <c r="AF582" s="214"/>
      <c r="AG582" s="215"/>
    </row>
    <row r="583" spans="1:33" ht="12.75" customHeight="1" x14ac:dyDescent="0.25">
      <c r="A583" s="168"/>
      <c r="B583" s="168"/>
      <c r="C583" s="168"/>
      <c r="E583" s="214"/>
      <c r="F583" s="215"/>
      <c r="G583" s="216"/>
      <c r="H583" s="216"/>
      <c r="I583" s="216"/>
      <c r="J583" s="216"/>
      <c r="K583" s="214"/>
      <c r="L583" s="215"/>
      <c r="M583" s="214"/>
      <c r="N583" s="215"/>
      <c r="O583" s="216"/>
      <c r="P583" s="214"/>
      <c r="Q583" s="215"/>
      <c r="R583" s="216"/>
      <c r="S583" s="216"/>
      <c r="T583" s="216"/>
      <c r="U583" s="214"/>
      <c r="V583" s="215"/>
      <c r="W583" s="214"/>
      <c r="X583" s="215"/>
      <c r="Y583" s="214"/>
      <c r="Z583" s="215"/>
      <c r="AA583" s="171"/>
      <c r="AB583" s="171"/>
      <c r="AC583" s="214"/>
      <c r="AD583" s="10"/>
      <c r="AE583" s="10"/>
      <c r="AF583" s="214"/>
      <c r="AG583" s="215"/>
    </row>
    <row r="584" spans="1:33" ht="12.75" customHeight="1" x14ac:dyDescent="0.25">
      <c r="A584" s="168"/>
      <c r="B584" s="168"/>
      <c r="C584" s="168"/>
      <c r="E584" s="214"/>
      <c r="F584" s="215"/>
      <c r="G584" s="216"/>
      <c r="H584" s="216"/>
      <c r="I584" s="216"/>
      <c r="J584" s="216"/>
      <c r="K584" s="214"/>
      <c r="L584" s="215"/>
      <c r="M584" s="214"/>
      <c r="N584" s="215"/>
      <c r="O584" s="216"/>
      <c r="P584" s="214"/>
      <c r="Q584" s="215"/>
      <c r="R584" s="216"/>
      <c r="S584" s="216"/>
      <c r="T584" s="216"/>
      <c r="U584" s="214"/>
      <c r="V584" s="215"/>
      <c r="W584" s="214"/>
      <c r="X584" s="215"/>
      <c r="Y584" s="214"/>
      <c r="Z584" s="215"/>
      <c r="AA584" s="171"/>
      <c r="AB584" s="171"/>
      <c r="AC584" s="214"/>
      <c r="AD584" s="10"/>
      <c r="AE584" s="10"/>
      <c r="AF584" s="214"/>
      <c r="AG584" s="215"/>
    </row>
    <row r="585" spans="1:33" ht="12.75" customHeight="1" x14ac:dyDescent="0.25">
      <c r="A585" s="168"/>
      <c r="B585" s="168"/>
      <c r="C585" s="168"/>
      <c r="E585" s="214"/>
      <c r="F585" s="215"/>
      <c r="G585" s="216"/>
      <c r="H585" s="216"/>
      <c r="I585" s="216"/>
      <c r="J585" s="216"/>
      <c r="K585" s="214"/>
      <c r="L585" s="215"/>
      <c r="M585" s="214"/>
      <c r="N585" s="215"/>
      <c r="O585" s="216"/>
      <c r="P585" s="214"/>
      <c r="Q585" s="215"/>
      <c r="R585" s="216"/>
      <c r="S585" s="216"/>
      <c r="T585" s="216"/>
      <c r="U585" s="214"/>
      <c r="V585" s="215"/>
      <c r="W585" s="214"/>
      <c r="X585" s="215"/>
      <c r="Y585" s="214"/>
      <c r="Z585" s="215"/>
      <c r="AA585" s="171"/>
      <c r="AB585" s="171"/>
      <c r="AC585" s="214"/>
      <c r="AD585" s="10"/>
      <c r="AE585" s="10"/>
      <c r="AF585" s="214"/>
      <c r="AG585" s="215"/>
    </row>
    <row r="586" spans="1:33" ht="12.75" customHeight="1" x14ac:dyDescent="0.25">
      <c r="A586" s="168"/>
      <c r="B586" s="168"/>
      <c r="C586" s="168"/>
      <c r="E586" s="214"/>
      <c r="F586" s="215"/>
      <c r="G586" s="216"/>
      <c r="H586" s="216"/>
      <c r="I586" s="216"/>
      <c r="J586" s="216"/>
      <c r="K586" s="214"/>
      <c r="L586" s="215"/>
      <c r="M586" s="214"/>
      <c r="N586" s="215"/>
      <c r="O586" s="216"/>
      <c r="P586" s="214"/>
      <c r="Q586" s="215"/>
      <c r="R586" s="216"/>
      <c r="S586" s="216"/>
      <c r="T586" s="216"/>
      <c r="U586" s="214"/>
      <c r="V586" s="215"/>
      <c r="W586" s="214"/>
      <c r="X586" s="215"/>
      <c r="Y586" s="214"/>
      <c r="Z586" s="215"/>
      <c r="AA586" s="171"/>
      <c r="AB586" s="171"/>
      <c r="AC586" s="214"/>
      <c r="AD586" s="10"/>
      <c r="AE586" s="10"/>
      <c r="AF586" s="214"/>
      <c r="AG586" s="215"/>
    </row>
    <row r="587" spans="1:33" ht="12.75" customHeight="1" x14ac:dyDescent="0.25">
      <c r="A587" s="168"/>
      <c r="B587" s="168"/>
      <c r="C587" s="168"/>
      <c r="E587" s="214"/>
      <c r="F587" s="215"/>
      <c r="G587" s="216"/>
      <c r="H587" s="216"/>
      <c r="I587" s="216"/>
      <c r="J587" s="216"/>
      <c r="K587" s="214"/>
      <c r="L587" s="215"/>
      <c r="M587" s="214"/>
      <c r="N587" s="215"/>
      <c r="O587" s="216"/>
      <c r="P587" s="214"/>
      <c r="Q587" s="215"/>
      <c r="R587" s="216"/>
      <c r="S587" s="216"/>
      <c r="T587" s="216"/>
      <c r="U587" s="214"/>
      <c r="V587" s="215"/>
      <c r="W587" s="214"/>
      <c r="X587" s="215"/>
      <c r="Y587" s="214"/>
      <c r="Z587" s="215"/>
      <c r="AA587" s="171"/>
      <c r="AB587" s="171"/>
      <c r="AC587" s="214"/>
      <c r="AD587" s="10"/>
      <c r="AE587" s="10"/>
      <c r="AF587" s="214"/>
      <c r="AG587" s="215"/>
    </row>
    <row r="588" spans="1:33" ht="12.75" customHeight="1" x14ac:dyDescent="0.25">
      <c r="A588" s="168"/>
      <c r="B588" s="168"/>
      <c r="C588" s="168"/>
      <c r="E588" s="214"/>
      <c r="F588" s="215"/>
      <c r="G588" s="216"/>
      <c r="H588" s="216"/>
      <c r="I588" s="216"/>
      <c r="J588" s="216"/>
      <c r="K588" s="214"/>
      <c r="L588" s="215"/>
      <c r="M588" s="214"/>
      <c r="N588" s="215"/>
      <c r="O588" s="216"/>
      <c r="P588" s="214"/>
      <c r="Q588" s="215"/>
      <c r="R588" s="216"/>
      <c r="S588" s="216"/>
      <c r="T588" s="216"/>
      <c r="U588" s="214"/>
      <c r="V588" s="215"/>
      <c r="W588" s="214"/>
      <c r="X588" s="215"/>
      <c r="Y588" s="214"/>
      <c r="Z588" s="215"/>
      <c r="AA588" s="171"/>
      <c r="AB588" s="171"/>
      <c r="AC588" s="214"/>
      <c r="AD588" s="10"/>
      <c r="AE588" s="10"/>
      <c r="AF588" s="214"/>
      <c r="AG588" s="215"/>
    </row>
    <row r="589" spans="1:33" ht="12.75" customHeight="1" x14ac:dyDescent="0.25">
      <c r="A589" s="168"/>
      <c r="B589" s="168"/>
      <c r="C589" s="168"/>
      <c r="E589" s="214"/>
      <c r="F589" s="215"/>
      <c r="G589" s="216"/>
      <c r="H589" s="216"/>
      <c r="I589" s="216"/>
      <c r="J589" s="216"/>
      <c r="K589" s="214"/>
      <c r="L589" s="215"/>
      <c r="M589" s="214"/>
      <c r="N589" s="215"/>
      <c r="O589" s="216"/>
      <c r="P589" s="214"/>
      <c r="Q589" s="215"/>
      <c r="R589" s="216"/>
      <c r="S589" s="216"/>
      <c r="T589" s="216"/>
      <c r="U589" s="214"/>
      <c r="V589" s="215"/>
      <c r="W589" s="214"/>
      <c r="X589" s="215"/>
      <c r="Y589" s="214"/>
      <c r="Z589" s="215"/>
      <c r="AA589" s="171"/>
      <c r="AB589" s="171"/>
      <c r="AC589" s="214"/>
      <c r="AD589" s="10"/>
      <c r="AE589" s="10"/>
      <c r="AF589" s="214"/>
      <c r="AG589" s="215"/>
    </row>
    <row r="590" spans="1:33" ht="12.75" customHeight="1" x14ac:dyDescent="0.25">
      <c r="A590" s="168"/>
      <c r="B590" s="168"/>
      <c r="C590" s="168"/>
      <c r="E590" s="214"/>
      <c r="F590" s="215"/>
      <c r="G590" s="216"/>
      <c r="H590" s="216"/>
      <c r="I590" s="216"/>
      <c r="J590" s="216"/>
      <c r="K590" s="214"/>
      <c r="L590" s="215"/>
      <c r="M590" s="214"/>
      <c r="N590" s="215"/>
      <c r="O590" s="216"/>
      <c r="P590" s="214"/>
      <c r="Q590" s="215"/>
      <c r="R590" s="216"/>
      <c r="S590" s="216"/>
      <c r="T590" s="216"/>
      <c r="U590" s="214"/>
      <c r="V590" s="215"/>
      <c r="W590" s="214"/>
      <c r="X590" s="215"/>
      <c r="Y590" s="214"/>
      <c r="Z590" s="215"/>
      <c r="AA590" s="171"/>
      <c r="AB590" s="171"/>
      <c r="AC590" s="214"/>
      <c r="AD590" s="10"/>
      <c r="AE590" s="10"/>
      <c r="AF590" s="214"/>
      <c r="AG590" s="215"/>
    </row>
    <row r="591" spans="1:33" ht="12.75" customHeight="1" x14ac:dyDescent="0.25">
      <c r="A591" s="168"/>
      <c r="B591" s="168"/>
      <c r="C591" s="168"/>
      <c r="E591" s="214"/>
      <c r="F591" s="215"/>
      <c r="G591" s="216"/>
      <c r="H591" s="216"/>
      <c r="I591" s="216"/>
      <c r="J591" s="216"/>
      <c r="K591" s="214"/>
      <c r="L591" s="215"/>
      <c r="M591" s="214"/>
      <c r="N591" s="215"/>
      <c r="O591" s="216"/>
      <c r="P591" s="214"/>
      <c r="Q591" s="215"/>
      <c r="R591" s="216"/>
      <c r="S591" s="216"/>
      <c r="T591" s="216"/>
      <c r="U591" s="214"/>
      <c r="V591" s="215"/>
      <c r="W591" s="214"/>
      <c r="X591" s="215"/>
      <c r="Y591" s="214"/>
      <c r="Z591" s="215"/>
      <c r="AA591" s="171"/>
      <c r="AB591" s="171"/>
      <c r="AC591" s="214"/>
      <c r="AD591" s="10"/>
      <c r="AE591" s="10"/>
      <c r="AF591" s="214"/>
      <c r="AG591" s="215"/>
    </row>
    <row r="592" spans="1:33" ht="12.75" customHeight="1" x14ac:dyDescent="0.25">
      <c r="A592" s="168"/>
      <c r="B592" s="168"/>
      <c r="C592" s="168"/>
      <c r="E592" s="214"/>
      <c r="F592" s="215"/>
      <c r="G592" s="216"/>
      <c r="H592" s="216"/>
      <c r="I592" s="216"/>
      <c r="J592" s="216"/>
      <c r="K592" s="214"/>
      <c r="L592" s="215"/>
      <c r="M592" s="214"/>
      <c r="N592" s="215"/>
      <c r="O592" s="216"/>
      <c r="P592" s="214"/>
      <c r="Q592" s="215"/>
      <c r="R592" s="216"/>
      <c r="S592" s="216"/>
      <c r="T592" s="216"/>
      <c r="U592" s="214"/>
      <c r="V592" s="215"/>
      <c r="W592" s="214"/>
      <c r="X592" s="215"/>
      <c r="Y592" s="214"/>
      <c r="Z592" s="215"/>
      <c r="AA592" s="171"/>
      <c r="AB592" s="171"/>
      <c r="AC592" s="214"/>
      <c r="AD592" s="10"/>
      <c r="AE592" s="10"/>
      <c r="AF592" s="214"/>
      <c r="AG592" s="215"/>
    </row>
    <row r="593" spans="1:33" ht="12.75" customHeight="1" x14ac:dyDescent="0.25">
      <c r="A593" s="168"/>
      <c r="B593" s="168"/>
      <c r="C593" s="168"/>
      <c r="E593" s="214"/>
      <c r="F593" s="215"/>
      <c r="G593" s="216"/>
      <c r="H593" s="216"/>
      <c r="I593" s="216"/>
      <c r="J593" s="216"/>
      <c r="K593" s="214"/>
      <c r="L593" s="215"/>
      <c r="M593" s="214"/>
      <c r="N593" s="215"/>
      <c r="O593" s="216"/>
      <c r="P593" s="214"/>
      <c r="Q593" s="215"/>
      <c r="R593" s="216"/>
      <c r="S593" s="216"/>
      <c r="T593" s="216"/>
      <c r="U593" s="214"/>
      <c r="V593" s="215"/>
      <c r="W593" s="214"/>
      <c r="X593" s="215"/>
      <c r="Y593" s="214"/>
      <c r="Z593" s="215"/>
      <c r="AA593" s="171"/>
      <c r="AB593" s="171"/>
      <c r="AC593" s="214"/>
      <c r="AD593" s="10"/>
      <c r="AE593" s="10"/>
      <c r="AF593" s="214"/>
      <c r="AG593" s="215"/>
    </row>
    <row r="594" spans="1:33" ht="12.75" customHeight="1" x14ac:dyDescent="0.25">
      <c r="A594" s="168"/>
      <c r="B594" s="168"/>
      <c r="C594" s="168"/>
      <c r="E594" s="214"/>
      <c r="F594" s="215"/>
      <c r="G594" s="216"/>
      <c r="H594" s="216"/>
      <c r="I594" s="216"/>
      <c r="J594" s="216"/>
      <c r="K594" s="214"/>
      <c r="L594" s="215"/>
      <c r="M594" s="214"/>
      <c r="N594" s="215"/>
      <c r="O594" s="216"/>
      <c r="P594" s="214"/>
      <c r="Q594" s="215"/>
      <c r="R594" s="216"/>
      <c r="S594" s="216"/>
      <c r="T594" s="216"/>
      <c r="U594" s="214"/>
      <c r="V594" s="215"/>
      <c r="W594" s="214"/>
      <c r="X594" s="215"/>
      <c r="Y594" s="214"/>
      <c r="Z594" s="215"/>
      <c r="AA594" s="171"/>
      <c r="AB594" s="171"/>
      <c r="AC594" s="214"/>
      <c r="AD594" s="10"/>
      <c r="AE594" s="10"/>
      <c r="AF594" s="214"/>
      <c r="AG594" s="215"/>
    </row>
    <row r="595" spans="1:33" ht="12.75" customHeight="1" x14ac:dyDescent="0.25">
      <c r="A595" s="168"/>
      <c r="B595" s="168"/>
      <c r="C595" s="168"/>
      <c r="E595" s="214"/>
      <c r="F595" s="215"/>
      <c r="G595" s="216"/>
      <c r="H595" s="216"/>
      <c r="I595" s="216"/>
      <c r="J595" s="216"/>
      <c r="K595" s="214"/>
      <c r="L595" s="215"/>
      <c r="M595" s="214"/>
      <c r="N595" s="215"/>
      <c r="O595" s="216"/>
      <c r="P595" s="214"/>
      <c r="Q595" s="215"/>
      <c r="R595" s="216"/>
      <c r="S595" s="216"/>
      <c r="T595" s="216"/>
      <c r="U595" s="214"/>
      <c r="V595" s="215"/>
      <c r="W595" s="214"/>
      <c r="X595" s="215"/>
      <c r="Y595" s="214"/>
      <c r="Z595" s="215"/>
      <c r="AA595" s="171"/>
      <c r="AB595" s="171"/>
      <c r="AC595" s="214"/>
      <c r="AD595" s="10"/>
      <c r="AE595" s="10"/>
      <c r="AF595" s="214"/>
      <c r="AG595" s="215"/>
    </row>
    <row r="596" spans="1:33" ht="12.75" customHeight="1" x14ac:dyDescent="0.25">
      <c r="A596" s="168"/>
      <c r="B596" s="168"/>
      <c r="C596" s="168"/>
      <c r="E596" s="214"/>
      <c r="F596" s="215"/>
      <c r="G596" s="216"/>
      <c r="H596" s="216"/>
      <c r="I596" s="216"/>
      <c r="J596" s="216"/>
      <c r="K596" s="214"/>
      <c r="L596" s="215"/>
      <c r="M596" s="214"/>
      <c r="N596" s="215"/>
      <c r="O596" s="216"/>
      <c r="P596" s="214"/>
      <c r="Q596" s="215"/>
      <c r="R596" s="216"/>
      <c r="S596" s="216"/>
      <c r="T596" s="216"/>
      <c r="U596" s="214"/>
      <c r="V596" s="215"/>
      <c r="W596" s="214"/>
      <c r="X596" s="215"/>
      <c r="Y596" s="214"/>
      <c r="Z596" s="215"/>
      <c r="AA596" s="171"/>
      <c r="AB596" s="171"/>
      <c r="AC596" s="214"/>
      <c r="AD596" s="10"/>
      <c r="AE596" s="10"/>
      <c r="AF596" s="214"/>
      <c r="AG596" s="215"/>
    </row>
    <row r="597" spans="1:33" ht="12.75" customHeight="1" x14ac:dyDescent="0.25">
      <c r="A597" s="168"/>
      <c r="B597" s="168"/>
      <c r="C597" s="168"/>
      <c r="E597" s="214"/>
      <c r="F597" s="215"/>
      <c r="G597" s="216"/>
      <c r="H597" s="216"/>
      <c r="I597" s="216"/>
      <c r="J597" s="216"/>
      <c r="K597" s="214"/>
      <c r="L597" s="215"/>
      <c r="M597" s="214"/>
      <c r="N597" s="215"/>
      <c r="O597" s="216"/>
      <c r="P597" s="214"/>
      <c r="Q597" s="215"/>
      <c r="R597" s="216"/>
      <c r="S597" s="216"/>
      <c r="T597" s="216"/>
      <c r="U597" s="214"/>
      <c r="V597" s="215"/>
      <c r="W597" s="214"/>
      <c r="X597" s="215"/>
      <c r="Y597" s="214"/>
      <c r="Z597" s="215"/>
      <c r="AA597" s="171"/>
      <c r="AB597" s="171"/>
      <c r="AC597" s="214"/>
      <c r="AD597" s="10"/>
      <c r="AE597" s="10"/>
      <c r="AF597" s="214"/>
      <c r="AG597" s="215"/>
    </row>
    <row r="598" spans="1:33" ht="12.75" customHeight="1" x14ac:dyDescent="0.25">
      <c r="A598" s="168"/>
      <c r="B598" s="168"/>
      <c r="C598" s="168"/>
      <c r="E598" s="214"/>
      <c r="F598" s="215"/>
      <c r="G598" s="216"/>
      <c r="H598" s="216"/>
      <c r="I598" s="216"/>
      <c r="J598" s="216"/>
      <c r="K598" s="214"/>
      <c r="L598" s="215"/>
      <c r="M598" s="214"/>
      <c r="N598" s="215"/>
      <c r="O598" s="216"/>
      <c r="P598" s="214"/>
      <c r="Q598" s="215"/>
      <c r="R598" s="216"/>
      <c r="S598" s="216"/>
      <c r="T598" s="216"/>
      <c r="U598" s="214"/>
      <c r="V598" s="215"/>
      <c r="W598" s="214"/>
      <c r="X598" s="215"/>
      <c r="Y598" s="214"/>
      <c r="Z598" s="215"/>
      <c r="AA598" s="171"/>
      <c r="AB598" s="171"/>
      <c r="AC598" s="214"/>
      <c r="AD598" s="10"/>
      <c r="AE598" s="10"/>
      <c r="AF598" s="214"/>
      <c r="AG598" s="215"/>
    </row>
    <row r="599" spans="1:33" ht="12.75" customHeight="1" x14ac:dyDescent="0.25">
      <c r="A599" s="168"/>
      <c r="B599" s="168"/>
      <c r="C599" s="168"/>
      <c r="E599" s="214"/>
      <c r="F599" s="215"/>
      <c r="G599" s="216"/>
      <c r="H599" s="216"/>
      <c r="I599" s="216"/>
      <c r="J599" s="216"/>
      <c r="K599" s="214"/>
      <c r="L599" s="215"/>
      <c r="M599" s="214"/>
      <c r="N599" s="215"/>
      <c r="O599" s="216"/>
      <c r="P599" s="214"/>
      <c r="Q599" s="215"/>
      <c r="R599" s="216"/>
      <c r="S599" s="216"/>
      <c r="T599" s="216"/>
      <c r="U599" s="214"/>
      <c r="V599" s="215"/>
      <c r="W599" s="214"/>
      <c r="X599" s="215"/>
      <c r="Y599" s="214"/>
      <c r="Z599" s="215"/>
      <c r="AA599" s="171"/>
      <c r="AB599" s="171"/>
      <c r="AC599" s="214"/>
      <c r="AD599" s="10"/>
      <c r="AE599" s="10"/>
      <c r="AF599" s="214"/>
      <c r="AG599" s="215"/>
    </row>
    <row r="600" spans="1:33" ht="12.75" customHeight="1" x14ac:dyDescent="0.25">
      <c r="A600" s="168"/>
      <c r="B600" s="168"/>
      <c r="C600" s="168"/>
      <c r="E600" s="214"/>
      <c r="F600" s="215"/>
      <c r="G600" s="216"/>
      <c r="H600" s="216"/>
      <c r="I600" s="216"/>
      <c r="J600" s="216"/>
      <c r="K600" s="214"/>
      <c r="L600" s="215"/>
      <c r="M600" s="214"/>
      <c r="N600" s="215"/>
      <c r="O600" s="216"/>
      <c r="P600" s="214"/>
      <c r="Q600" s="215"/>
      <c r="R600" s="216"/>
      <c r="S600" s="216"/>
      <c r="T600" s="216"/>
      <c r="U600" s="214"/>
      <c r="V600" s="215"/>
      <c r="W600" s="214"/>
      <c r="X600" s="215"/>
      <c r="Y600" s="214"/>
      <c r="Z600" s="215"/>
      <c r="AA600" s="171"/>
      <c r="AB600" s="171"/>
      <c r="AC600" s="214"/>
      <c r="AD600" s="10"/>
      <c r="AE600" s="10"/>
      <c r="AF600" s="214"/>
      <c r="AG600" s="215"/>
    </row>
    <row r="601" spans="1:33" ht="12.75" customHeight="1" x14ac:dyDescent="0.25">
      <c r="A601" s="168"/>
      <c r="B601" s="168"/>
      <c r="C601" s="168"/>
      <c r="E601" s="214"/>
      <c r="F601" s="215"/>
      <c r="G601" s="216"/>
      <c r="H601" s="216"/>
      <c r="I601" s="216"/>
      <c r="J601" s="216"/>
      <c r="K601" s="214"/>
      <c r="L601" s="215"/>
      <c r="M601" s="214"/>
      <c r="N601" s="215"/>
      <c r="O601" s="216"/>
      <c r="P601" s="214"/>
      <c r="Q601" s="215"/>
      <c r="R601" s="216"/>
      <c r="S601" s="216"/>
      <c r="T601" s="216"/>
      <c r="U601" s="214"/>
      <c r="V601" s="215"/>
      <c r="W601" s="214"/>
      <c r="X601" s="215"/>
      <c r="Y601" s="214"/>
      <c r="Z601" s="215"/>
      <c r="AA601" s="171"/>
      <c r="AB601" s="171"/>
      <c r="AC601" s="214"/>
      <c r="AD601" s="10"/>
      <c r="AE601" s="10"/>
      <c r="AF601" s="214"/>
      <c r="AG601" s="215"/>
    </row>
    <row r="602" spans="1:33" ht="12.75" customHeight="1" x14ac:dyDescent="0.25">
      <c r="A602" s="168"/>
      <c r="B602" s="168"/>
      <c r="C602" s="168"/>
      <c r="E602" s="214"/>
      <c r="F602" s="215"/>
      <c r="G602" s="216"/>
      <c r="H602" s="216"/>
      <c r="I602" s="216"/>
      <c r="J602" s="216"/>
      <c r="K602" s="214"/>
      <c r="L602" s="215"/>
      <c r="M602" s="214"/>
      <c r="N602" s="215"/>
      <c r="O602" s="216"/>
      <c r="P602" s="214"/>
      <c r="Q602" s="215"/>
      <c r="R602" s="216"/>
      <c r="S602" s="216"/>
      <c r="T602" s="216"/>
      <c r="U602" s="214"/>
      <c r="V602" s="215"/>
      <c r="W602" s="214"/>
      <c r="X602" s="215"/>
      <c r="Y602" s="214"/>
      <c r="Z602" s="215"/>
      <c r="AA602" s="171"/>
      <c r="AB602" s="171"/>
      <c r="AC602" s="214"/>
      <c r="AD602" s="10"/>
      <c r="AE602" s="10"/>
      <c r="AF602" s="214"/>
      <c r="AG602" s="215"/>
    </row>
    <row r="603" spans="1:33" ht="12.75" customHeight="1" x14ac:dyDescent="0.25">
      <c r="A603" s="168"/>
      <c r="B603" s="168"/>
      <c r="C603" s="168"/>
      <c r="E603" s="214"/>
      <c r="F603" s="215"/>
      <c r="G603" s="216"/>
      <c r="H603" s="216"/>
      <c r="I603" s="216"/>
      <c r="J603" s="216"/>
      <c r="K603" s="214"/>
      <c r="L603" s="215"/>
      <c r="M603" s="214"/>
      <c r="N603" s="215"/>
      <c r="O603" s="216"/>
      <c r="P603" s="214"/>
      <c r="Q603" s="215"/>
      <c r="R603" s="216"/>
      <c r="S603" s="216"/>
      <c r="T603" s="216"/>
      <c r="U603" s="214"/>
      <c r="V603" s="215"/>
      <c r="W603" s="214"/>
      <c r="X603" s="215"/>
      <c r="Y603" s="214"/>
      <c r="Z603" s="215"/>
      <c r="AA603" s="171"/>
      <c r="AB603" s="171"/>
      <c r="AC603" s="214"/>
      <c r="AD603" s="10"/>
      <c r="AE603" s="10"/>
      <c r="AF603" s="214"/>
      <c r="AG603" s="215"/>
    </row>
    <row r="604" spans="1:33" ht="12.75" customHeight="1" x14ac:dyDescent="0.25">
      <c r="A604" s="168"/>
      <c r="B604" s="168"/>
      <c r="C604" s="168"/>
      <c r="E604" s="214"/>
      <c r="F604" s="215"/>
      <c r="G604" s="216"/>
      <c r="H604" s="216"/>
      <c r="I604" s="216"/>
      <c r="J604" s="216"/>
      <c r="K604" s="214"/>
      <c r="L604" s="215"/>
      <c r="M604" s="214"/>
      <c r="N604" s="215"/>
      <c r="O604" s="216"/>
      <c r="P604" s="214"/>
      <c r="Q604" s="215"/>
      <c r="R604" s="216"/>
      <c r="S604" s="216"/>
      <c r="T604" s="216"/>
      <c r="U604" s="214"/>
      <c r="V604" s="215"/>
      <c r="W604" s="214"/>
      <c r="X604" s="215"/>
      <c r="Y604" s="214"/>
      <c r="Z604" s="215"/>
      <c r="AA604" s="171"/>
      <c r="AB604" s="171"/>
      <c r="AC604" s="214"/>
      <c r="AD604" s="10"/>
      <c r="AE604" s="10"/>
      <c r="AF604" s="214"/>
      <c r="AG604" s="215"/>
    </row>
    <row r="605" spans="1:33" ht="12.75" customHeight="1" x14ac:dyDescent="0.25">
      <c r="A605" s="168"/>
      <c r="B605" s="168"/>
      <c r="C605" s="168"/>
      <c r="E605" s="214"/>
      <c r="F605" s="215"/>
      <c r="G605" s="216"/>
      <c r="H605" s="216"/>
      <c r="I605" s="216"/>
      <c r="J605" s="216"/>
      <c r="K605" s="214"/>
      <c r="L605" s="215"/>
      <c r="M605" s="214"/>
      <c r="N605" s="215"/>
      <c r="O605" s="216"/>
      <c r="P605" s="214"/>
      <c r="Q605" s="215"/>
      <c r="R605" s="216"/>
      <c r="S605" s="216"/>
      <c r="T605" s="216"/>
      <c r="U605" s="214"/>
      <c r="V605" s="215"/>
      <c r="W605" s="214"/>
      <c r="X605" s="215"/>
      <c r="Y605" s="214"/>
      <c r="Z605" s="215"/>
      <c r="AA605" s="171"/>
      <c r="AB605" s="171"/>
      <c r="AC605" s="214"/>
      <c r="AD605" s="10"/>
      <c r="AE605" s="10"/>
      <c r="AF605" s="214"/>
      <c r="AG605" s="215"/>
    </row>
    <row r="606" spans="1:33" ht="12.75" customHeight="1" x14ac:dyDescent="0.25">
      <c r="A606" s="168"/>
      <c r="B606" s="168"/>
      <c r="C606" s="168"/>
      <c r="E606" s="214"/>
      <c r="F606" s="215"/>
      <c r="G606" s="216"/>
      <c r="H606" s="216"/>
      <c r="I606" s="216"/>
      <c r="J606" s="216"/>
      <c r="K606" s="214"/>
      <c r="L606" s="215"/>
      <c r="M606" s="214"/>
      <c r="N606" s="215"/>
      <c r="O606" s="216"/>
      <c r="P606" s="214"/>
      <c r="Q606" s="215"/>
      <c r="R606" s="216"/>
      <c r="S606" s="216"/>
      <c r="T606" s="216"/>
      <c r="U606" s="214"/>
      <c r="V606" s="215"/>
      <c r="W606" s="214"/>
      <c r="X606" s="215"/>
      <c r="Y606" s="214"/>
      <c r="Z606" s="215"/>
      <c r="AA606" s="171"/>
      <c r="AB606" s="171"/>
      <c r="AC606" s="214"/>
      <c r="AD606" s="10"/>
      <c r="AE606" s="10"/>
      <c r="AF606" s="214"/>
      <c r="AG606" s="215"/>
    </row>
    <row r="607" spans="1:33" ht="12.75" customHeight="1" x14ac:dyDescent="0.25">
      <c r="A607" s="168"/>
      <c r="B607" s="168"/>
      <c r="C607" s="168"/>
      <c r="E607" s="214"/>
      <c r="F607" s="215"/>
      <c r="G607" s="216"/>
      <c r="H607" s="216"/>
      <c r="I607" s="216"/>
      <c r="J607" s="216"/>
      <c r="K607" s="214"/>
      <c r="L607" s="215"/>
      <c r="M607" s="214"/>
      <c r="N607" s="215"/>
      <c r="O607" s="216"/>
      <c r="P607" s="214"/>
      <c r="Q607" s="215"/>
      <c r="R607" s="216"/>
      <c r="S607" s="216"/>
      <c r="T607" s="216"/>
      <c r="U607" s="214"/>
      <c r="V607" s="215"/>
      <c r="W607" s="214"/>
      <c r="X607" s="215"/>
      <c r="Y607" s="214"/>
      <c r="Z607" s="215"/>
      <c r="AA607" s="171"/>
      <c r="AB607" s="171"/>
      <c r="AC607" s="214"/>
      <c r="AD607" s="10"/>
      <c r="AE607" s="10"/>
      <c r="AF607" s="214"/>
      <c r="AG607" s="215"/>
    </row>
    <row r="608" spans="1:33" ht="12.75" customHeight="1" x14ac:dyDescent="0.25">
      <c r="A608" s="168"/>
      <c r="B608" s="168"/>
      <c r="C608" s="168"/>
      <c r="E608" s="214"/>
      <c r="F608" s="215"/>
      <c r="G608" s="216"/>
      <c r="H608" s="216"/>
      <c r="I608" s="216"/>
      <c r="J608" s="216"/>
      <c r="K608" s="214"/>
      <c r="L608" s="215"/>
      <c r="M608" s="214"/>
      <c r="N608" s="215"/>
      <c r="O608" s="216"/>
      <c r="P608" s="214"/>
      <c r="Q608" s="215"/>
      <c r="R608" s="216"/>
      <c r="S608" s="216"/>
      <c r="T608" s="216"/>
      <c r="U608" s="214"/>
      <c r="V608" s="215"/>
      <c r="W608" s="214"/>
      <c r="X608" s="215"/>
      <c r="Y608" s="214"/>
      <c r="Z608" s="215"/>
      <c r="AA608" s="171"/>
      <c r="AB608" s="171"/>
      <c r="AC608" s="214"/>
      <c r="AD608" s="10"/>
      <c r="AE608" s="10"/>
      <c r="AF608" s="214"/>
      <c r="AG608" s="215"/>
    </row>
    <row r="609" spans="1:33" ht="12.75" customHeight="1" x14ac:dyDescent="0.25">
      <c r="A609" s="168"/>
      <c r="B609" s="168"/>
      <c r="C609" s="168"/>
      <c r="E609" s="214"/>
      <c r="F609" s="215"/>
      <c r="G609" s="216"/>
      <c r="H609" s="216"/>
      <c r="I609" s="216"/>
      <c r="J609" s="216"/>
      <c r="K609" s="214"/>
      <c r="L609" s="215"/>
      <c r="M609" s="214"/>
      <c r="N609" s="215"/>
      <c r="O609" s="216"/>
      <c r="P609" s="214"/>
      <c r="Q609" s="215"/>
      <c r="R609" s="216"/>
      <c r="S609" s="216"/>
      <c r="T609" s="216"/>
      <c r="U609" s="214"/>
      <c r="V609" s="215"/>
      <c r="W609" s="214"/>
      <c r="X609" s="215"/>
      <c r="Y609" s="214"/>
      <c r="Z609" s="215"/>
      <c r="AA609" s="171"/>
      <c r="AB609" s="171"/>
      <c r="AC609" s="214"/>
      <c r="AD609" s="10"/>
      <c r="AE609" s="10"/>
      <c r="AF609" s="214"/>
      <c r="AG609" s="215"/>
    </row>
    <row r="610" spans="1:33" ht="12.75" customHeight="1" x14ac:dyDescent="0.25">
      <c r="A610" s="168"/>
      <c r="B610" s="168"/>
      <c r="C610" s="168"/>
      <c r="E610" s="214"/>
      <c r="F610" s="215"/>
      <c r="G610" s="216"/>
      <c r="H610" s="216"/>
      <c r="I610" s="216"/>
      <c r="J610" s="216"/>
      <c r="K610" s="214"/>
      <c r="L610" s="215"/>
      <c r="M610" s="214"/>
      <c r="N610" s="215"/>
      <c r="O610" s="216"/>
      <c r="P610" s="214"/>
      <c r="Q610" s="215"/>
      <c r="R610" s="216"/>
      <c r="S610" s="216"/>
      <c r="T610" s="216"/>
      <c r="U610" s="214"/>
      <c r="V610" s="215"/>
      <c r="W610" s="214"/>
      <c r="X610" s="215"/>
      <c r="Y610" s="214"/>
      <c r="Z610" s="215"/>
      <c r="AA610" s="171"/>
      <c r="AB610" s="171"/>
      <c r="AC610" s="214"/>
      <c r="AD610" s="10"/>
      <c r="AE610" s="10"/>
      <c r="AF610" s="214"/>
      <c r="AG610" s="215"/>
    </row>
    <row r="611" spans="1:33" ht="12.75" customHeight="1" x14ac:dyDescent="0.25">
      <c r="A611" s="168"/>
      <c r="B611" s="168"/>
      <c r="C611" s="168"/>
      <c r="E611" s="214"/>
      <c r="F611" s="215"/>
      <c r="G611" s="216"/>
      <c r="H611" s="216"/>
      <c r="I611" s="216"/>
      <c r="J611" s="216"/>
      <c r="K611" s="214"/>
      <c r="L611" s="215"/>
      <c r="M611" s="214"/>
      <c r="N611" s="215"/>
      <c r="O611" s="216"/>
      <c r="P611" s="214"/>
      <c r="Q611" s="215"/>
      <c r="R611" s="216"/>
      <c r="S611" s="216"/>
      <c r="T611" s="216"/>
      <c r="U611" s="214"/>
      <c r="V611" s="215"/>
      <c r="W611" s="214"/>
      <c r="X611" s="215"/>
      <c r="Y611" s="214"/>
      <c r="Z611" s="215"/>
      <c r="AA611" s="171"/>
      <c r="AB611" s="171"/>
      <c r="AC611" s="214"/>
      <c r="AD611" s="10"/>
      <c r="AE611" s="10"/>
      <c r="AF611" s="214"/>
      <c r="AG611" s="215"/>
    </row>
    <row r="612" spans="1:33" ht="12.75" customHeight="1" x14ac:dyDescent="0.25">
      <c r="A612" s="168"/>
      <c r="B612" s="168"/>
      <c r="C612" s="168"/>
      <c r="E612" s="214"/>
      <c r="F612" s="215"/>
      <c r="G612" s="216"/>
      <c r="H612" s="216"/>
      <c r="I612" s="216"/>
      <c r="J612" s="216"/>
      <c r="K612" s="214"/>
      <c r="L612" s="215"/>
      <c r="M612" s="214"/>
      <c r="N612" s="215"/>
      <c r="O612" s="216"/>
      <c r="P612" s="214"/>
      <c r="Q612" s="215"/>
      <c r="R612" s="216"/>
      <c r="S612" s="216"/>
      <c r="T612" s="216"/>
      <c r="U612" s="214"/>
      <c r="V612" s="215"/>
      <c r="W612" s="214"/>
      <c r="X612" s="215"/>
      <c r="Y612" s="214"/>
      <c r="Z612" s="215"/>
      <c r="AA612" s="171"/>
      <c r="AB612" s="171"/>
      <c r="AC612" s="214"/>
      <c r="AD612" s="10"/>
      <c r="AE612" s="10"/>
      <c r="AF612" s="214"/>
      <c r="AG612" s="215"/>
    </row>
    <row r="613" spans="1:33" ht="12.75" customHeight="1" x14ac:dyDescent="0.25">
      <c r="A613" s="168"/>
      <c r="B613" s="168"/>
      <c r="C613" s="168"/>
      <c r="E613" s="214"/>
      <c r="F613" s="215"/>
      <c r="G613" s="216"/>
      <c r="H613" s="216"/>
      <c r="I613" s="216"/>
      <c r="J613" s="216"/>
      <c r="K613" s="214"/>
      <c r="L613" s="215"/>
      <c r="M613" s="214"/>
      <c r="N613" s="215"/>
      <c r="O613" s="216"/>
      <c r="P613" s="214"/>
      <c r="Q613" s="215"/>
      <c r="R613" s="216"/>
      <c r="S613" s="216"/>
      <c r="T613" s="216"/>
      <c r="U613" s="214"/>
      <c r="V613" s="215"/>
      <c r="W613" s="214"/>
      <c r="X613" s="215"/>
      <c r="Y613" s="214"/>
      <c r="Z613" s="215"/>
      <c r="AA613" s="171"/>
      <c r="AB613" s="171"/>
      <c r="AC613" s="214"/>
      <c r="AD613" s="10"/>
      <c r="AE613" s="10"/>
      <c r="AF613" s="214"/>
      <c r="AG613" s="215"/>
    </row>
    <row r="614" spans="1:33" ht="12.75" customHeight="1" x14ac:dyDescent="0.25">
      <c r="A614" s="168"/>
      <c r="B614" s="168"/>
      <c r="C614" s="168"/>
      <c r="E614" s="214"/>
      <c r="F614" s="215"/>
      <c r="G614" s="216"/>
      <c r="H614" s="216"/>
      <c r="I614" s="216"/>
      <c r="J614" s="216"/>
      <c r="K614" s="214"/>
      <c r="L614" s="215"/>
      <c r="M614" s="214"/>
      <c r="N614" s="215"/>
      <c r="O614" s="216"/>
      <c r="P614" s="214"/>
      <c r="Q614" s="215"/>
      <c r="R614" s="216"/>
      <c r="S614" s="216"/>
      <c r="T614" s="216"/>
      <c r="U614" s="214"/>
      <c r="V614" s="215"/>
      <c r="W614" s="214"/>
      <c r="X614" s="215"/>
      <c r="Y614" s="214"/>
      <c r="Z614" s="215"/>
      <c r="AA614" s="171"/>
      <c r="AB614" s="171"/>
      <c r="AC614" s="214"/>
      <c r="AD614" s="10"/>
      <c r="AE614" s="10"/>
      <c r="AF614" s="214"/>
      <c r="AG614" s="215"/>
    </row>
    <row r="615" spans="1:33" ht="12.75" customHeight="1" x14ac:dyDescent="0.25">
      <c r="A615" s="168"/>
      <c r="B615" s="168"/>
      <c r="C615" s="168"/>
      <c r="E615" s="214"/>
      <c r="F615" s="215"/>
      <c r="G615" s="216"/>
      <c r="H615" s="216"/>
      <c r="I615" s="216"/>
      <c r="J615" s="216"/>
      <c r="K615" s="214"/>
      <c r="L615" s="215"/>
      <c r="M615" s="214"/>
      <c r="N615" s="215"/>
      <c r="O615" s="216"/>
      <c r="P615" s="214"/>
      <c r="Q615" s="215"/>
      <c r="R615" s="216"/>
      <c r="S615" s="216"/>
      <c r="T615" s="216"/>
      <c r="U615" s="214"/>
      <c r="V615" s="215"/>
      <c r="W615" s="214"/>
      <c r="X615" s="215"/>
      <c r="Y615" s="214"/>
      <c r="Z615" s="215"/>
      <c r="AA615" s="171"/>
      <c r="AB615" s="171"/>
      <c r="AC615" s="214"/>
      <c r="AD615" s="10"/>
      <c r="AE615" s="10"/>
      <c r="AF615" s="214"/>
      <c r="AG615" s="215"/>
    </row>
    <row r="616" spans="1:33" ht="12.75" customHeight="1" x14ac:dyDescent="0.25">
      <c r="A616" s="168"/>
      <c r="B616" s="168"/>
      <c r="C616" s="168"/>
      <c r="E616" s="214"/>
      <c r="F616" s="215"/>
      <c r="G616" s="216"/>
      <c r="H616" s="216"/>
      <c r="I616" s="216"/>
      <c r="J616" s="216"/>
      <c r="K616" s="214"/>
      <c r="L616" s="215"/>
      <c r="M616" s="214"/>
      <c r="N616" s="215"/>
      <c r="O616" s="216"/>
      <c r="P616" s="214"/>
      <c r="Q616" s="215"/>
      <c r="R616" s="216"/>
      <c r="S616" s="216"/>
      <c r="T616" s="216"/>
      <c r="U616" s="214"/>
      <c r="V616" s="215"/>
      <c r="W616" s="214"/>
      <c r="X616" s="215"/>
      <c r="Y616" s="214"/>
      <c r="Z616" s="215"/>
      <c r="AA616" s="171"/>
      <c r="AB616" s="171"/>
      <c r="AC616" s="214"/>
      <c r="AD616" s="10"/>
      <c r="AE616" s="10"/>
      <c r="AF616" s="214"/>
      <c r="AG616" s="215"/>
    </row>
    <row r="617" spans="1:33" ht="12.75" customHeight="1" x14ac:dyDescent="0.25">
      <c r="A617" s="168"/>
      <c r="B617" s="168"/>
      <c r="C617" s="168"/>
      <c r="E617" s="214"/>
      <c r="F617" s="215"/>
      <c r="G617" s="216"/>
      <c r="H617" s="216"/>
      <c r="I617" s="216"/>
      <c r="J617" s="216"/>
      <c r="K617" s="214"/>
      <c r="L617" s="215"/>
      <c r="M617" s="214"/>
      <c r="N617" s="215"/>
      <c r="O617" s="216"/>
      <c r="P617" s="214"/>
      <c r="Q617" s="215"/>
      <c r="R617" s="216"/>
      <c r="S617" s="216"/>
      <c r="T617" s="216"/>
      <c r="U617" s="214"/>
      <c r="V617" s="215"/>
      <c r="W617" s="214"/>
      <c r="X617" s="215"/>
      <c r="Y617" s="214"/>
      <c r="Z617" s="215"/>
      <c r="AA617" s="171"/>
      <c r="AB617" s="171"/>
      <c r="AC617" s="214"/>
      <c r="AD617" s="10"/>
      <c r="AE617" s="10"/>
      <c r="AF617" s="214"/>
      <c r="AG617" s="215"/>
    </row>
    <row r="618" spans="1:33" ht="12.75" customHeight="1" x14ac:dyDescent="0.25">
      <c r="A618" s="168"/>
      <c r="B618" s="168"/>
      <c r="C618" s="168"/>
      <c r="E618" s="214"/>
      <c r="F618" s="215"/>
      <c r="G618" s="216"/>
      <c r="H618" s="216"/>
      <c r="I618" s="216"/>
      <c r="J618" s="216"/>
      <c r="K618" s="214"/>
      <c r="L618" s="215"/>
      <c r="M618" s="214"/>
      <c r="N618" s="215"/>
      <c r="O618" s="216"/>
      <c r="P618" s="214"/>
      <c r="Q618" s="215"/>
      <c r="R618" s="216"/>
      <c r="S618" s="216"/>
      <c r="T618" s="216"/>
      <c r="U618" s="214"/>
      <c r="V618" s="215"/>
      <c r="W618" s="214"/>
      <c r="X618" s="215"/>
      <c r="Y618" s="214"/>
      <c r="Z618" s="215"/>
      <c r="AA618" s="171"/>
      <c r="AB618" s="171"/>
      <c r="AC618" s="214"/>
      <c r="AD618" s="10"/>
      <c r="AE618" s="10"/>
      <c r="AF618" s="214"/>
      <c r="AG618" s="215"/>
    </row>
    <row r="619" spans="1:33" ht="12.75" customHeight="1" x14ac:dyDescent="0.25">
      <c r="A619" s="168"/>
      <c r="B619" s="168"/>
      <c r="C619" s="168"/>
      <c r="E619" s="214"/>
      <c r="F619" s="215"/>
      <c r="G619" s="216"/>
      <c r="H619" s="216"/>
      <c r="I619" s="216"/>
      <c r="J619" s="216"/>
      <c r="K619" s="214"/>
      <c r="L619" s="215"/>
      <c r="M619" s="214"/>
      <c r="N619" s="215"/>
      <c r="O619" s="216"/>
      <c r="P619" s="214"/>
      <c r="Q619" s="215"/>
      <c r="R619" s="216"/>
      <c r="S619" s="216"/>
      <c r="T619" s="216"/>
      <c r="U619" s="214"/>
      <c r="V619" s="215"/>
      <c r="W619" s="214"/>
      <c r="X619" s="215"/>
      <c r="Y619" s="214"/>
      <c r="Z619" s="215"/>
      <c r="AA619" s="171"/>
      <c r="AB619" s="171"/>
      <c r="AC619" s="214"/>
      <c r="AD619" s="10"/>
      <c r="AE619" s="10"/>
      <c r="AF619" s="214"/>
      <c r="AG619" s="215"/>
    </row>
    <row r="620" spans="1:33" ht="12.75" customHeight="1" x14ac:dyDescent="0.25">
      <c r="A620" s="168"/>
      <c r="B620" s="168"/>
      <c r="C620" s="168"/>
      <c r="E620" s="214"/>
      <c r="F620" s="215"/>
      <c r="G620" s="216"/>
      <c r="H620" s="216"/>
      <c r="I620" s="216"/>
      <c r="J620" s="216"/>
      <c r="K620" s="214"/>
      <c r="L620" s="215"/>
      <c r="M620" s="214"/>
      <c r="N620" s="215"/>
      <c r="O620" s="216"/>
      <c r="P620" s="214"/>
      <c r="Q620" s="215"/>
      <c r="R620" s="216"/>
      <c r="S620" s="216"/>
      <c r="T620" s="216"/>
      <c r="U620" s="214"/>
      <c r="V620" s="215"/>
      <c r="W620" s="214"/>
      <c r="X620" s="215"/>
      <c r="Y620" s="214"/>
      <c r="Z620" s="215"/>
      <c r="AA620" s="171"/>
      <c r="AB620" s="171"/>
      <c r="AC620" s="214"/>
      <c r="AD620" s="10"/>
      <c r="AE620" s="10"/>
      <c r="AF620" s="214"/>
      <c r="AG620" s="215"/>
    </row>
    <row r="621" spans="1:33" ht="12.75" customHeight="1" x14ac:dyDescent="0.25">
      <c r="A621" s="168"/>
      <c r="B621" s="168"/>
      <c r="C621" s="168"/>
      <c r="E621" s="214"/>
      <c r="F621" s="215"/>
      <c r="G621" s="216"/>
      <c r="H621" s="216"/>
      <c r="I621" s="216"/>
      <c r="J621" s="216"/>
      <c r="K621" s="214"/>
      <c r="L621" s="215"/>
      <c r="M621" s="214"/>
      <c r="N621" s="215"/>
      <c r="O621" s="216"/>
      <c r="P621" s="214"/>
      <c r="Q621" s="215"/>
      <c r="R621" s="216"/>
      <c r="S621" s="216"/>
      <c r="T621" s="216"/>
      <c r="U621" s="214"/>
      <c r="V621" s="215"/>
      <c r="W621" s="214"/>
      <c r="X621" s="215"/>
      <c r="Y621" s="214"/>
      <c r="Z621" s="215"/>
      <c r="AA621" s="171"/>
      <c r="AB621" s="171"/>
      <c r="AC621" s="214"/>
      <c r="AD621" s="10"/>
      <c r="AE621" s="10"/>
      <c r="AF621" s="214"/>
      <c r="AG621" s="215"/>
    </row>
    <row r="622" spans="1:33" ht="12.75" customHeight="1" x14ac:dyDescent="0.25">
      <c r="A622" s="168"/>
      <c r="B622" s="168"/>
      <c r="C622" s="168"/>
      <c r="E622" s="214"/>
      <c r="F622" s="215"/>
      <c r="G622" s="216"/>
      <c r="H622" s="216"/>
      <c r="I622" s="216"/>
      <c r="J622" s="216"/>
      <c r="K622" s="214"/>
      <c r="L622" s="215"/>
      <c r="M622" s="214"/>
      <c r="N622" s="215"/>
      <c r="O622" s="216"/>
      <c r="P622" s="214"/>
      <c r="Q622" s="215"/>
      <c r="R622" s="216"/>
      <c r="S622" s="216"/>
      <c r="T622" s="216"/>
      <c r="U622" s="214"/>
      <c r="V622" s="215"/>
      <c r="W622" s="214"/>
      <c r="X622" s="215"/>
      <c r="Y622" s="214"/>
      <c r="Z622" s="215"/>
      <c r="AA622" s="171"/>
      <c r="AB622" s="171"/>
      <c r="AC622" s="214"/>
      <c r="AD622" s="10"/>
      <c r="AE622" s="10"/>
      <c r="AF622" s="214"/>
      <c r="AG622" s="215"/>
    </row>
    <row r="623" spans="1:33" ht="12.75" customHeight="1" x14ac:dyDescent="0.25">
      <c r="A623" s="168"/>
      <c r="B623" s="168"/>
      <c r="C623" s="168"/>
      <c r="E623" s="214"/>
      <c r="F623" s="215"/>
      <c r="G623" s="216"/>
      <c r="H623" s="216"/>
      <c r="I623" s="216"/>
      <c r="J623" s="216"/>
      <c r="K623" s="214"/>
      <c r="L623" s="215"/>
      <c r="M623" s="214"/>
      <c r="N623" s="215"/>
      <c r="O623" s="216"/>
      <c r="P623" s="214"/>
      <c r="Q623" s="215"/>
      <c r="R623" s="216"/>
      <c r="S623" s="216"/>
      <c r="T623" s="216"/>
      <c r="U623" s="214"/>
      <c r="V623" s="215"/>
      <c r="W623" s="214"/>
      <c r="X623" s="215"/>
      <c r="Y623" s="214"/>
      <c r="Z623" s="215"/>
      <c r="AA623" s="171"/>
      <c r="AB623" s="171"/>
      <c r="AC623" s="214"/>
      <c r="AD623" s="10"/>
      <c r="AE623" s="10"/>
      <c r="AF623" s="214"/>
      <c r="AG623" s="215"/>
    </row>
    <row r="624" spans="1:33" ht="12.75" customHeight="1" x14ac:dyDescent="0.25">
      <c r="A624" s="168"/>
      <c r="B624" s="168"/>
      <c r="C624" s="168"/>
      <c r="E624" s="214"/>
      <c r="F624" s="215"/>
      <c r="G624" s="216"/>
      <c r="H624" s="216"/>
      <c r="I624" s="216"/>
      <c r="J624" s="216"/>
      <c r="K624" s="214"/>
      <c r="L624" s="215"/>
      <c r="M624" s="214"/>
      <c r="N624" s="215"/>
      <c r="O624" s="216"/>
      <c r="P624" s="214"/>
      <c r="Q624" s="215"/>
      <c r="R624" s="216"/>
      <c r="S624" s="216"/>
      <c r="T624" s="216"/>
      <c r="U624" s="214"/>
      <c r="V624" s="215"/>
      <c r="W624" s="214"/>
      <c r="X624" s="215"/>
      <c r="Y624" s="214"/>
      <c r="Z624" s="215"/>
      <c r="AA624" s="171"/>
      <c r="AB624" s="171"/>
      <c r="AC624" s="214"/>
      <c r="AD624" s="10"/>
      <c r="AE624" s="10"/>
      <c r="AF624" s="214"/>
      <c r="AG624" s="215"/>
    </row>
    <row r="625" spans="1:33" ht="12.75" customHeight="1" x14ac:dyDescent="0.25">
      <c r="A625" s="168"/>
      <c r="B625" s="168"/>
      <c r="C625" s="168"/>
      <c r="E625" s="214"/>
      <c r="F625" s="215"/>
      <c r="G625" s="216"/>
      <c r="H625" s="216"/>
      <c r="I625" s="216"/>
      <c r="J625" s="216"/>
      <c r="K625" s="214"/>
      <c r="L625" s="215"/>
      <c r="M625" s="214"/>
      <c r="N625" s="215"/>
      <c r="O625" s="216"/>
      <c r="P625" s="214"/>
      <c r="Q625" s="215"/>
      <c r="R625" s="216"/>
      <c r="S625" s="216"/>
      <c r="T625" s="216"/>
      <c r="U625" s="214"/>
      <c r="V625" s="215"/>
      <c r="W625" s="214"/>
      <c r="X625" s="215"/>
      <c r="Y625" s="214"/>
      <c r="Z625" s="215"/>
      <c r="AA625" s="171"/>
      <c r="AB625" s="171"/>
      <c r="AC625" s="214"/>
      <c r="AD625" s="10"/>
      <c r="AE625" s="10"/>
      <c r="AF625" s="214"/>
      <c r="AG625" s="215"/>
    </row>
    <row r="626" spans="1:33" ht="12.75" customHeight="1" x14ac:dyDescent="0.25">
      <c r="A626" s="168"/>
      <c r="B626" s="168"/>
      <c r="C626" s="168"/>
      <c r="E626" s="214"/>
      <c r="F626" s="215"/>
      <c r="G626" s="216"/>
      <c r="H626" s="216"/>
      <c r="I626" s="216"/>
      <c r="J626" s="216"/>
      <c r="K626" s="214"/>
      <c r="L626" s="215"/>
      <c r="M626" s="214"/>
      <c r="N626" s="215"/>
      <c r="O626" s="216"/>
      <c r="P626" s="214"/>
      <c r="Q626" s="215"/>
      <c r="R626" s="216"/>
      <c r="S626" s="216"/>
      <c r="T626" s="216"/>
      <c r="U626" s="214"/>
      <c r="V626" s="215"/>
      <c r="W626" s="214"/>
      <c r="X626" s="215"/>
      <c r="Y626" s="214"/>
      <c r="Z626" s="215"/>
      <c r="AA626" s="171"/>
      <c r="AB626" s="171"/>
      <c r="AC626" s="214"/>
      <c r="AD626" s="10"/>
      <c r="AE626" s="10"/>
      <c r="AF626" s="214"/>
      <c r="AG626" s="215"/>
    </row>
    <row r="627" spans="1:33" ht="12.75" customHeight="1" x14ac:dyDescent="0.25">
      <c r="A627" s="168"/>
      <c r="B627" s="168"/>
      <c r="C627" s="168"/>
      <c r="E627" s="214"/>
      <c r="F627" s="215"/>
      <c r="G627" s="216"/>
      <c r="H627" s="216"/>
      <c r="I627" s="216"/>
      <c r="J627" s="216"/>
      <c r="K627" s="214"/>
      <c r="L627" s="215"/>
      <c r="M627" s="214"/>
      <c r="N627" s="215"/>
      <c r="O627" s="216"/>
      <c r="P627" s="214"/>
      <c r="Q627" s="215"/>
      <c r="R627" s="216"/>
      <c r="S627" s="216"/>
      <c r="T627" s="216"/>
      <c r="U627" s="214"/>
      <c r="V627" s="215"/>
      <c r="W627" s="214"/>
      <c r="X627" s="215"/>
      <c r="Y627" s="214"/>
      <c r="Z627" s="215"/>
      <c r="AA627" s="171"/>
      <c r="AB627" s="171"/>
      <c r="AC627" s="214"/>
      <c r="AD627" s="10"/>
      <c r="AE627" s="10"/>
      <c r="AF627" s="214"/>
      <c r="AG627" s="215"/>
    </row>
    <row r="628" spans="1:33" ht="12.75" customHeight="1" x14ac:dyDescent="0.25">
      <c r="A628" s="168"/>
      <c r="B628" s="168"/>
      <c r="C628" s="168"/>
      <c r="E628" s="214"/>
      <c r="F628" s="215"/>
      <c r="G628" s="216"/>
      <c r="H628" s="216"/>
      <c r="I628" s="216"/>
      <c r="J628" s="216"/>
      <c r="K628" s="214"/>
      <c r="L628" s="215"/>
      <c r="M628" s="214"/>
      <c r="N628" s="215"/>
      <c r="O628" s="216"/>
      <c r="P628" s="214"/>
      <c r="Q628" s="215"/>
      <c r="R628" s="216"/>
      <c r="S628" s="216"/>
      <c r="T628" s="216"/>
      <c r="U628" s="214"/>
      <c r="V628" s="215"/>
      <c r="W628" s="214"/>
      <c r="X628" s="215"/>
      <c r="Y628" s="214"/>
      <c r="Z628" s="215"/>
      <c r="AA628" s="171"/>
      <c r="AB628" s="171"/>
      <c r="AC628" s="214"/>
      <c r="AD628" s="10"/>
      <c r="AE628" s="10"/>
      <c r="AF628" s="214"/>
      <c r="AG628" s="215"/>
    </row>
    <row r="629" spans="1:33" ht="12.75" customHeight="1" x14ac:dyDescent="0.25">
      <c r="A629" s="168"/>
      <c r="B629" s="168"/>
      <c r="C629" s="168"/>
      <c r="E629" s="214"/>
      <c r="F629" s="215"/>
      <c r="G629" s="216"/>
      <c r="H629" s="216"/>
      <c r="I629" s="216"/>
      <c r="J629" s="216"/>
      <c r="K629" s="214"/>
      <c r="L629" s="215"/>
      <c r="M629" s="214"/>
      <c r="N629" s="215"/>
      <c r="O629" s="216"/>
      <c r="P629" s="214"/>
      <c r="Q629" s="215"/>
      <c r="R629" s="216"/>
      <c r="S629" s="216"/>
      <c r="T629" s="216"/>
      <c r="U629" s="214"/>
      <c r="V629" s="215"/>
      <c r="W629" s="214"/>
      <c r="X629" s="215"/>
      <c r="Y629" s="214"/>
      <c r="Z629" s="215"/>
      <c r="AA629" s="171"/>
      <c r="AB629" s="171"/>
      <c r="AC629" s="214"/>
      <c r="AD629" s="10"/>
      <c r="AE629" s="10"/>
      <c r="AF629" s="214"/>
      <c r="AG629" s="215"/>
    </row>
    <row r="630" spans="1:33" ht="12.75" customHeight="1" x14ac:dyDescent="0.25">
      <c r="A630" s="168"/>
      <c r="B630" s="168"/>
      <c r="C630" s="168"/>
      <c r="E630" s="214"/>
      <c r="F630" s="215"/>
      <c r="G630" s="216"/>
      <c r="H630" s="216"/>
      <c r="I630" s="216"/>
      <c r="J630" s="216"/>
      <c r="K630" s="214"/>
      <c r="L630" s="215"/>
      <c r="M630" s="214"/>
      <c r="N630" s="215"/>
      <c r="O630" s="216"/>
      <c r="P630" s="214"/>
      <c r="Q630" s="215"/>
      <c r="R630" s="216"/>
      <c r="S630" s="216"/>
      <c r="T630" s="216"/>
      <c r="U630" s="214"/>
      <c r="V630" s="215"/>
      <c r="W630" s="214"/>
      <c r="X630" s="215"/>
      <c r="Y630" s="214"/>
      <c r="Z630" s="215"/>
      <c r="AA630" s="171"/>
      <c r="AB630" s="171"/>
      <c r="AC630" s="214"/>
      <c r="AD630" s="10"/>
      <c r="AE630" s="10"/>
      <c r="AF630" s="214"/>
      <c r="AG630" s="215"/>
    </row>
    <row r="631" spans="1:33" ht="12.75" customHeight="1" x14ac:dyDescent="0.25">
      <c r="A631" s="168"/>
      <c r="B631" s="168"/>
      <c r="C631" s="168"/>
      <c r="E631" s="214"/>
      <c r="F631" s="215"/>
      <c r="G631" s="216"/>
      <c r="H631" s="216"/>
      <c r="I631" s="216"/>
      <c r="J631" s="216"/>
      <c r="K631" s="214"/>
      <c r="L631" s="215"/>
      <c r="M631" s="214"/>
      <c r="N631" s="215"/>
      <c r="O631" s="216"/>
      <c r="P631" s="214"/>
      <c r="Q631" s="215"/>
      <c r="R631" s="216"/>
      <c r="S631" s="216"/>
      <c r="T631" s="216"/>
      <c r="U631" s="214"/>
      <c r="V631" s="215"/>
      <c r="W631" s="214"/>
      <c r="X631" s="215"/>
      <c r="Y631" s="214"/>
      <c r="Z631" s="215"/>
      <c r="AA631" s="171"/>
      <c r="AB631" s="171"/>
      <c r="AC631" s="214"/>
      <c r="AD631" s="10"/>
      <c r="AE631" s="10"/>
      <c r="AF631" s="214"/>
      <c r="AG631" s="215"/>
    </row>
    <row r="632" spans="1:33" ht="12.75" customHeight="1" x14ac:dyDescent="0.25">
      <c r="A632" s="168"/>
      <c r="B632" s="168"/>
      <c r="C632" s="168"/>
      <c r="E632" s="214"/>
      <c r="F632" s="215"/>
      <c r="G632" s="216"/>
      <c r="H632" s="216"/>
      <c r="I632" s="216"/>
      <c r="J632" s="216"/>
      <c r="K632" s="214"/>
      <c r="L632" s="215"/>
      <c r="M632" s="214"/>
      <c r="N632" s="215"/>
      <c r="O632" s="216"/>
      <c r="P632" s="214"/>
      <c r="Q632" s="215"/>
      <c r="R632" s="216"/>
      <c r="S632" s="216"/>
      <c r="T632" s="216"/>
      <c r="U632" s="214"/>
      <c r="V632" s="215"/>
      <c r="W632" s="214"/>
      <c r="X632" s="215"/>
      <c r="Y632" s="214"/>
      <c r="Z632" s="215"/>
      <c r="AA632" s="171"/>
      <c r="AB632" s="171"/>
      <c r="AC632" s="214"/>
      <c r="AD632" s="10"/>
      <c r="AE632" s="10"/>
      <c r="AF632" s="214"/>
      <c r="AG632" s="215"/>
    </row>
    <row r="633" spans="1:33" ht="12.75" customHeight="1" x14ac:dyDescent="0.25">
      <c r="A633" s="168"/>
      <c r="B633" s="168"/>
      <c r="C633" s="168"/>
      <c r="E633" s="214"/>
      <c r="F633" s="215"/>
      <c r="G633" s="216"/>
      <c r="H633" s="216"/>
      <c r="I633" s="216"/>
      <c r="J633" s="216"/>
      <c r="K633" s="214"/>
      <c r="L633" s="215"/>
      <c r="M633" s="214"/>
      <c r="N633" s="215"/>
      <c r="O633" s="216"/>
      <c r="P633" s="214"/>
      <c r="Q633" s="215"/>
      <c r="R633" s="216"/>
      <c r="S633" s="216"/>
      <c r="T633" s="216"/>
      <c r="U633" s="214"/>
      <c r="V633" s="215"/>
      <c r="W633" s="214"/>
      <c r="X633" s="215"/>
      <c r="Y633" s="214"/>
      <c r="Z633" s="215"/>
      <c r="AA633" s="171"/>
      <c r="AB633" s="171"/>
      <c r="AC633" s="214"/>
      <c r="AD633" s="10"/>
      <c r="AE633" s="10"/>
      <c r="AF633" s="214"/>
      <c r="AG633" s="215"/>
    </row>
    <row r="634" spans="1:33" ht="12.75" customHeight="1" x14ac:dyDescent="0.25">
      <c r="A634" s="168"/>
      <c r="B634" s="168"/>
      <c r="C634" s="168"/>
      <c r="E634" s="214"/>
      <c r="F634" s="215"/>
      <c r="G634" s="216"/>
      <c r="H634" s="216"/>
      <c r="I634" s="216"/>
      <c r="J634" s="216"/>
      <c r="K634" s="214"/>
      <c r="L634" s="215"/>
      <c r="M634" s="214"/>
      <c r="N634" s="215"/>
      <c r="O634" s="216"/>
      <c r="P634" s="214"/>
      <c r="Q634" s="215"/>
      <c r="R634" s="216"/>
      <c r="S634" s="216"/>
      <c r="T634" s="216"/>
      <c r="U634" s="214"/>
      <c r="V634" s="215"/>
      <c r="W634" s="214"/>
      <c r="X634" s="215"/>
      <c r="Y634" s="214"/>
      <c r="Z634" s="215"/>
      <c r="AA634" s="171"/>
      <c r="AB634" s="171"/>
      <c r="AC634" s="214"/>
      <c r="AD634" s="10"/>
      <c r="AE634" s="10"/>
      <c r="AF634" s="214"/>
      <c r="AG634" s="215"/>
    </row>
    <row r="635" spans="1:33" ht="12.75" customHeight="1" x14ac:dyDescent="0.25">
      <c r="A635" s="168"/>
      <c r="B635" s="168"/>
      <c r="C635" s="168"/>
      <c r="E635" s="214"/>
      <c r="F635" s="215"/>
      <c r="G635" s="216"/>
      <c r="H635" s="216"/>
      <c r="I635" s="216"/>
      <c r="J635" s="216"/>
      <c r="K635" s="214"/>
      <c r="L635" s="215"/>
      <c r="M635" s="214"/>
      <c r="N635" s="215"/>
      <c r="O635" s="216"/>
      <c r="P635" s="214"/>
      <c r="Q635" s="215"/>
      <c r="R635" s="216"/>
      <c r="S635" s="216"/>
      <c r="T635" s="216"/>
      <c r="U635" s="214"/>
      <c r="V635" s="215"/>
      <c r="W635" s="214"/>
      <c r="X635" s="215"/>
      <c r="Y635" s="214"/>
      <c r="Z635" s="215"/>
      <c r="AA635" s="171"/>
      <c r="AB635" s="171"/>
      <c r="AC635" s="214"/>
      <c r="AD635" s="10"/>
      <c r="AE635" s="10"/>
      <c r="AF635" s="214"/>
      <c r="AG635" s="215"/>
    </row>
    <row r="636" spans="1:33" ht="12.75" customHeight="1" x14ac:dyDescent="0.25">
      <c r="A636" s="168"/>
      <c r="B636" s="168"/>
      <c r="C636" s="168"/>
      <c r="E636" s="214"/>
      <c r="F636" s="215"/>
      <c r="G636" s="216"/>
      <c r="H636" s="216"/>
      <c r="I636" s="216"/>
      <c r="J636" s="216"/>
      <c r="K636" s="214"/>
      <c r="L636" s="215"/>
      <c r="M636" s="214"/>
      <c r="N636" s="215"/>
      <c r="O636" s="216"/>
      <c r="P636" s="214"/>
      <c r="Q636" s="215"/>
      <c r="R636" s="216"/>
      <c r="S636" s="216"/>
      <c r="T636" s="216"/>
      <c r="U636" s="214"/>
      <c r="V636" s="215"/>
      <c r="W636" s="214"/>
      <c r="X636" s="215"/>
      <c r="Y636" s="214"/>
      <c r="Z636" s="215"/>
      <c r="AA636" s="171"/>
      <c r="AB636" s="171"/>
      <c r="AC636" s="214"/>
      <c r="AD636" s="10"/>
      <c r="AE636" s="10"/>
      <c r="AF636" s="214"/>
      <c r="AG636" s="215"/>
    </row>
    <row r="637" spans="1:33" ht="12.75" customHeight="1" x14ac:dyDescent="0.25">
      <c r="A637" s="168"/>
      <c r="B637" s="168"/>
      <c r="C637" s="168"/>
      <c r="E637" s="214"/>
      <c r="F637" s="215"/>
      <c r="G637" s="216"/>
      <c r="H637" s="216"/>
      <c r="I637" s="216"/>
      <c r="J637" s="216"/>
      <c r="K637" s="214"/>
      <c r="L637" s="215"/>
      <c r="M637" s="214"/>
      <c r="N637" s="215"/>
      <c r="O637" s="216"/>
      <c r="P637" s="214"/>
      <c r="Q637" s="215"/>
      <c r="R637" s="216"/>
      <c r="S637" s="216"/>
      <c r="T637" s="216"/>
      <c r="U637" s="214"/>
      <c r="V637" s="215"/>
      <c r="W637" s="214"/>
      <c r="X637" s="215"/>
      <c r="Y637" s="214"/>
      <c r="Z637" s="215"/>
      <c r="AA637" s="171"/>
      <c r="AB637" s="171"/>
      <c r="AC637" s="214"/>
      <c r="AD637" s="10"/>
      <c r="AE637" s="10"/>
      <c r="AF637" s="214"/>
      <c r="AG637" s="215"/>
    </row>
    <row r="638" spans="1:33" ht="12.75" customHeight="1" x14ac:dyDescent="0.25">
      <c r="A638" s="168"/>
      <c r="B638" s="168"/>
      <c r="C638" s="168"/>
      <c r="E638" s="214"/>
      <c r="F638" s="215"/>
      <c r="G638" s="216"/>
      <c r="H638" s="216"/>
      <c r="I638" s="216"/>
      <c r="J638" s="216"/>
      <c r="K638" s="214"/>
      <c r="L638" s="215"/>
      <c r="M638" s="214"/>
      <c r="N638" s="215"/>
      <c r="O638" s="216"/>
      <c r="P638" s="214"/>
      <c r="Q638" s="215"/>
      <c r="R638" s="216"/>
      <c r="S638" s="216"/>
      <c r="T638" s="216"/>
      <c r="U638" s="214"/>
      <c r="V638" s="215"/>
      <c r="W638" s="214"/>
      <c r="X638" s="215"/>
      <c r="Y638" s="214"/>
      <c r="Z638" s="215"/>
      <c r="AA638" s="171"/>
      <c r="AB638" s="171"/>
      <c r="AC638" s="214"/>
      <c r="AD638" s="10"/>
      <c r="AE638" s="10"/>
      <c r="AF638" s="214"/>
      <c r="AG638" s="215"/>
    </row>
    <row r="639" spans="1:33" ht="12.75" customHeight="1" x14ac:dyDescent="0.25">
      <c r="A639" s="168"/>
      <c r="B639" s="168"/>
      <c r="C639" s="168"/>
      <c r="E639" s="214"/>
      <c r="F639" s="215"/>
      <c r="G639" s="216"/>
      <c r="H639" s="216"/>
      <c r="I639" s="216"/>
      <c r="J639" s="216"/>
      <c r="K639" s="214"/>
      <c r="L639" s="215"/>
      <c r="M639" s="214"/>
      <c r="N639" s="215"/>
      <c r="O639" s="216"/>
      <c r="P639" s="214"/>
      <c r="Q639" s="215"/>
      <c r="R639" s="216"/>
      <c r="S639" s="216"/>
      <c r="T639" s="216"/>
      <c r="U639" s="214"/>
      <c r="V639" s="215"/>
      <c r="W639" s="214"/>
      <c r="X639" s="215"/>
      <c r="Y639" s="214"/>
      <c r="Z639" s="215"/>
      <c r="AA639" s="171"/>
      <c r="AB639" s="171"/>
      <c r="AC639" s="214"/>
      <c r="AD639" s="10"/>
      <c r="AE639" s="10"/>
      <c r="AF639" s="214"/>
      <c r="AG639" s="215"/>
    </row>
    <row r="640" spans="1:33" ht="12.75" customHeight="1" x14ac:dyDescent="0.25">
      <c r="A640" s="168"/>
      <c r="B640" s="168"/>
      <c r="C640" s="168"/>
      <c r="E640" s="214"/>
      <c r="F640" s="215"/>
      <c r="G640" s="216"/>
      <c r="H640" s="216"/>
      <c r="I640" s="216"/>
      <c r="J640" s="216"/>
      <c r="K640" s="214"/>
      <c r="L640" s="215"/>
      <c r="M640" s="214"/>
      <c r="N640" s="215"/>
      <c r="O640" s="216"/>
      <c r="P640" s="214"/>
      <c r="Q640" s="215"/>
      <c r="R640" s="216"/>
      <c r="S640" s="216"/>
      <c r="T640" s="216"/>
      <c r="U640" s="214"/>
      <c r="V640" s="215"/>
      <c r="W640" s="214"/>
      <c r="X640" s="215"/>
      <c r="Y640" s="214"/>
      <c r="Z640" s="215"/>
      <c r="AA640" s="171"/>
      <c r="AB640" s="171"/>
      <c r="AC640" s="214"/>
      <c r="AD640" s="10"/>
      <c r="AE640" s="10"/>
      <c r="AF640" s="214"/>
      <c r="AG640" s="215"/>
    </row>
    <row r="641" spans="1:33" ht="12.75" customHeight="1" x14ac:dyDescent="0.25">
      <c r="A641" s="168"/>
      <c r="B641" s="168"/>
      <c r="C641" s="168"/>
      <c r="E641" s="214"/>
      <c r="F641" s="215"/>
      <c r="G641" s="216"/>
      <c r="H641" s="216"/>
      <c r="I641" s="216"/>
      <c r="J641" s="216"/>
      <c r="K641" s="214"/>
      <c r="L641" s="215"/>
      <c r="M641" s="214"/>
      <c r="N641" s="215"/>
      <c r="O641" s="216"/>
      <c r="P641" s="214"/>
      <c r="Q641" s="215"/>
      <c r="R641" s="216"/>
      <c r="S641" s="216"/>
      <c r="T641" s="216"/>
      <c r="U641" s="214"/>
      <c r="V641" s="215"/>
      <c r="W641" s="214"/>
      <c r="X641" s="215"/>
      <c r="Y641" s="214"/>
      <c r="Z641" s="215"/>
      <c r="AA641" s="171"/>
      <c r="AB641" s="171"/>
      <c r="AC641" s="214"/>
      <c r="AD641" s="10"/>
      <c r="AE641" s="10"/>
      <c r="AF641" s="214"/>
      <c r="AG641" s="215"/>
    </row>
    <row r="642" spans="1:33" ht="12.75" customHeight="1" x14ac:dyDescent="0.25">
      <c r="A642" s="168"/>
      <c r="B642" s="168"/>
      <c r="C642" s="168"/>
      <c r="E642" s="214"/>
      <c r="F642" s="215"/>
      <c r="G642" s="216"/>
      <c r="H642" s="216"/>
      <c r="I642" s="216"/>
      <c r="J642" s="216"/>
      <c r="K642" s="214"/>
      <c r="L642" s="215"/>
      <c r="M642" s="214"/>
      <c r="N642" s="215"/>
      <c r="O642" s="216"/>
      <c r="P642" s="214"/>
      <c r="Q642" s="215"/>
      <c r="R642" s="216"/>
      <c r="S642" s="216"/>
      <c r="T642" s="216"/>
      <c r="U642" s="214"/>
      <c r="V642" s="215"/>
      <c r="W642" s="214"/>
      <c r="X642" s="215"/>
      <c r="Y642" s="214"/>
      <c r="Z642" s="215"/>
      <c r="AA642" s="171"/>
      <c r="AB642" s="171"/>
      <c r="AC642" s="214"/>
      <c r="AD642" s="10"/>
      <c r="AE642" s="10"/>
      <c r="AF642" s="214"/>
      <c r="AG642" s="215"/>
    </row>
    <row r="643" spans="1:33" ht="12.75" customHeight="1" x14ac:dyDescent="0.25">
      <c r="A643" s="168"/>
      <c r="B643" s="168"/>
      <c r="C643" s="168"/>
      <c r="E643" s="214"/>
      <c r="F643" s="215"/>
      <c r="G643" s="216"/>
      <c r="H643" s="216"/>
      <c r="I643" s="216"/>
      <c r="J643" s="216"/>
      <c r="K643" s="214"/>
      <c r="L643" s="215"/>
      <c r="M643" s="214"/>
      <c r="N643" s="215"/>
      <c r="O643" s="216"/>
      <c r="P643" s="214"/>
      <c r="Q643" s="215"/>
      <c r="R643" s="216"/>
      <c r="S643" s="216"/>
      <c r="T643" s="216"/>
      <c r="U643" s="214"/>
      <c r="V643" s="215"/>
      <c r="W643" s="214"/>
      <c r="X643" s="215"/>
      <c r="Y643" s="214"/>
      <c r="Z643" s="215"/>
      <c r="AA643" s="171"/>
      <c r="AB643" s="171"/>
      <c r="AC643" s="214"/>
      <c r="AD643" s="10"/>
      <c r="AE643" s="10"/>
      <c r="AF643" s="214"/>
      <c r="AG643" s="215"/>
    </row>
    <row r="644" spans="1:33" ht="12.75" customHeight="1" x14ac:dyDescent="0.25">
      <c r="A644" s="168"/>
      <c r="B644" s="168"/>
      <c r="C644" s="168"/>
      <c r="E644" s="214"/>
      <c r="F644" s="215"/>
      <c r="G644" s="216"/>
      <c r="H644" s="216"/>
      <c r="I644" s="216"/>
      <c r="J644" s="216"/>
      <c r="K644" s="214"/>
      <c r="L644" s="215"/>
      <c r="M644" s="214"/>
      <c r="N644" s="215"/>
      <c r="O644" s="216"/>
      <c r="P644" s="214"/>
      <c r="Q644" s="215"/>
      <c r="R644" s="216"/>
      <c r="S644" s="216"/>
      <c r="T644" s="216"/>
      <c r="U644" s="214"/>
      <c r="V644" s="215"/>
      <c r="W644" s="214"/>
      <c r="X644" s="215"/>
      <c r="Y644" s="214"/>
      <c r="Z644" s="215"/>
      <c r="AA644" s="171"/>
      <c r="AB644" s="171"/>
      <c r="AC644" s="214"/>
      <c r="AD644" s="10"/>
      <c r="AE644" s="10"/>
      <c r="AF644" s="214"/>
      <c r="AG644" s="215"/>
    </row>
    <row r="645" spans="1:33" ht="12.75" customHeight="1" x14ac:dyDescent="0.25">
      <c r="A645" s="168"/>
      <c r="B645" s="168"/>
      <c r="C645" s="168"/>
      <c r="E645" s="214"/>
      <c r="F645" s="215"/>
      <c r="G645" s="216"/>
      <c r="H645" s="216"/>
      <c r="I645" s="216"/>
      <c r="J645" s="216"/>
      <c r="K645" s="214"/>
      <c r="L645" s="215"/>
      <c r="M645" s="214"/>
      <c r="N645" s="215"/>
      <c r="O645" s="216"/>
      <c r="P645" s="214"/>
      <c r="Q645" s="215"/>
      <c r="R645" s="216"/>
      <c r="S645" s="216"/>
      <c r="T645" s="216"/>
      <c r="U645" s="214"/>
      <c r="V645" s="215"/>
      <c r="W645" s="214"/>
      <c r="X645" s="215"/>
      <c r="Y645" s="214"/>
      <c r="Z645" s="215"/>
      <c r="AA645" s="171"/>
      <c r="AB645" s="171"/>
      <c r="AC645" s="214"/>
      <c r="AD645" s="10"/>
      <c r="AE645" s="10"/>
      <c r="AF645" s="214"/>
      <c r="AG645" s="215"/>
    </row>
    <row r="646" spans="1:33" ht="12.75" customHeight="1" x14ac:dyDescent="0.25">
      <c r="A646" s="168"/>
      <c r="B646" s="168"/>
      <c r="C646" s="168"/>
      <c r="E646" s="214"/>
      <c r="F646" s="215"/>
      <c r="G646" s="216"/>
      <c r="H646" s="216"/>
      <c r="I646" s="216"/>
      <c r="J646" s="216"/>
      <c r="K646" s="214"/>
      <c r="L646" s="215"/>
      <c r="M646" s="214"/>
      <c r="N646" s="215"/>
      <c r="O646" s="216"/>
      <c r="P646" s="214"/>
      <c r="Q646" s="215"/>
      <c r="R646" s="216"/>
      <c r="S646" s="216"/>
      <c r="T646" s="216"/>
      <c r="U646" s="214"/>
      <c r="V646" s="215"/>
      <c r="W646" s="214"/>
      <c r="X646" s="215"/>
      <c r="Y646" s="214"/>
      <c r="Z646" s="215"/>
      <c r="AA646" s="171"/>
      <c r="AB646" s="171"/>
      <c r="AC646" s="214"/>
      <c r="AD646" s="10"/>
      <c r="AE646" s="10"/>
      <c r="AF646" s="214"/>
      <c r="AG646" s="215"/>
    </row>
    <row r="647" spans="1:33" ht="12.75" customHeight="1" x14ac:dyDescent="0.25">
      <c r="A647" s="168"/>
      <c r="B647" s="168"/>
      <c r="C647" s="168"/>
      <c r="E647" s="214"/>
      <c r="F647" s="215"/>
      <c r="G647" s="216"/>
      <c r="H647" s="216"/>
      <c r="I647" s="216"/>
      <c r="J647" s="216"/>
      <c r="K647" s="214"/>
      <c r="L647" s="215"/>
      <c r="M647" s="214"/>
      <c r="N647" s="215"/>
      <c r="O647" s="216"/>
      <c r="P647" s="214"/>
      <c r="Q647" s="215"/>
      <c r="R647" s="216"/>
      <c r="S647" s="216"/>
      <c r="T647" s="216"/>
      <c r="U647" s="214"/>
      <c r="V647" s="215"/>
      <c r="W647" s="214"/>
      <c r="X647" s="215"/>
      <c r="Y647" s="214"/>
      <c r="Z647" s="215"/>
      <c r="AA647" s="171"/>
      <c r="AB647" s="171"/>
      <c r="AC647" s="214"/>
      <c r="AD647" s="10"/>
      <c r="AE647" s="10"/>
      <c r="AF647" s="214"/>
      <c r="AG647" s="215"/>
    </row>
    <row r="648" spans="1:33" ht="12.75" customHeight="1" x14ac:dyDescent="0.25">
      <c r="A648" s="168"/>
      <c r="B648" s="168"/>
      <c r="C648" s="168"/>
      <c r="E648" s="214"/>
      <c r="F648" s="215"/>
      <c r="G648" s="216"/>
      <c r="H648" s="216"/>
      <c r="I648" s="216"/>
      <c r="J648" s="216"/>
      <c r="K648" s="214"/>
      <c r="L648" s="215"/>
      <c r="M648" s="214"/>
      <c r="N648" s="215"/>
      <c r="O648" s="216"/>
      <c r="P648" s="214"/>
      <c r="Q648" s="215"/>
      <c r="R648" s="216"/>
      <c r="S648" s="216"/>
      <c r="T648" s="216"/>
      <c r="U648" s="214"/>
      <c r="V648" s="215"/>
      <c r="W648" s="214"/>
      <c r="X648" s="215"/>
      <c r="Y648" s="214"/>
      <c r="Z648" s="215"/>
      <c r="AA648" s="171"/>
      <c r="AB648" s="171"/>
      <c r="AC648" s="214"/>
      <c r="AD648" s="10"/>
      <c r="AE648" s="10"/>
      <c r="AF648" s="214"/>
      <c r="AG648" s="215"/>
    </row>
    <row r="649" spans="1:33" ht="12.75" customHeight="1" x14ac:dyDescent="0.25">
      <c r="A649" s="168"/>
      <c r="B649" s="168"/>
      <c r="C649" s="168"/>
      <c r="E649" s="214"/>
      <c r="F649" s="215"/>
      <c r="G649" s="216"/>
      <c r="H649" s="216"/>
      <c r="I649" s="216"/>
      <c r="J649" s="216"/>
      <c r="K649" s="214"/>
      <c r="L649" s="215"/>
      <c r="M649" s="214"/>
      <c r="N649" s="215"/>
      <c r="O649" s="216"/>
      <c r="P649" s="214"/>
      <c r="Q649" s="215"/>
      <c r="R649" s="216"/>
      <c r="S649" s="216"/>
      <c r="T649" s="216"/>
      <c r="U649" s="214"/>
      <c r="V649" s="215"/>
      <c r="W649" s="214"/>
      <c r="X649" s="215"/>
      <c r="Y649" s="214"/>
      <c r="Z649" s="215"/>
      <c r="AA649" s="171"/>
      <c r="AB649" s="171"/>
      <c r="AC649" s="214"/>
      <c r="AD649" s="10"/>
      <c r="AE649" s="10"/>
      <c r="AF649" s="214"/>
      <c r="AG649" s="215"/>
    </row>
    <row r="650" spans="1:33" ht="12.75" customHeight="1" x14ac:dyDescent="0.25">
      <c r="A650" s="168"/>
      <c r="B650" s="168"/>
      <c r="C650" s="168"/>
      <c r="E650" s="214"/>
      <c r="F650" s="215"/>
      <c r="G650" s="216"/>
      <c r="H650" s="216"/>
      <c r="I650" s="216"/>
      <c r="J650" s="216"/>
      <c r="K650" s="214"/>
      <c r="L650" s="215"/>
      <c r="M650" s="214"/>
      <c r="N650" s="215"/>
      <c r="O650" s="216"/>
      <c r="P650" s="214"/>
      <c r="Q650" s="215"/>
      <c r="R650" s="216"/>
      <c r="S650" s="216"/>
      <c r="T650" s="216"/>
      <c r="U650" s="214"/>
      <c r="V650" s="215"/>
      <c r="W650" s="214"/>
      <c r="X650" s="215"/>
      <c r="Y650" s="214"/>
      <c r="Z650" s="215"/>
      <c r="AA650" s="171"/>
      <c r="AB650" s="171"/>
      <c r="AC650" s="214"/>
      <c r="AD650" s="10"/>
      <c r="AE650" s="10"/>
      <c r="AF650" s="214"/>
      <c r="AG650" s="215"/>
    </row>
    <row r="651" spans="1:33" ht="12.75" customHeight="1" x14ac:dyDescent="0.25">
      <c r="A651" s="168"/>
      <c r="B651" s="168"/>
      <c r="C651" s="168"/>
      <c r="E651" s="214"/>
      <c r="F651" s="215"/>
      <c r="G651" s="216"/>
      <c r="H651" s="216"/>
      <c r="I651" s="216"/>
      <c r="J651" s="216"/>
      <c r="K651" s="214"/>
      <c r="L651" s="215"/>
      <c r="M651" s="214"/>
      <c r="N651" s="215"/>
      <c r="O651" s="216"/>
      <c r="P651" s="214"/>
      <c r="Q651" s="215"/>
      <c r="R651" s="216"/>
      <c r="S651" s="216"/>
      <c r="T651" s="216"/>
      <c r="U651" s="214"/>
      <c r="V651" s="215"/>
      <c r="W651" s="214"/>
      <c r="X651" s="215"/>
      <c r="Y651" s="214"/>
      <c r="Z651" s="215"/>
      <c r="AA651" s="171"/>
      <c r="AB651" s="171"/>
      <c r="AC651" s="214"/>
      <c r="AD651" s="10"/>
      <c r="AE651" s="10"/>
      <c r="AF651" s="214"/>
      <c r="AG651" s="215"/>
    </row>
    <row r="652" spans="1:33" ht="12.75" customHeight="1" x14ac:dyDescent="0.25">
      <c r="A652" s="168"/>
      <c r="B652" s="168"/>
      <c r="C652" s="168"/>
      <c r="E652" s="214"/>
      <c r="F652" s="215"/>
      <c r="G652" s="216"/>
      <c r="H652" s="216"/>
      <c r="I652" s="216"/>
      <c r="J652" s="216"/>
      <c r="K652" s="214"/>
      <c r="L652" s="215"/>
      <c r="M652" s="214"/>
      <c r="N652" s="215"/>
      <c r="O652" s="216"/>
      <c r="P652" s="214"/>
      <c r="Q652" s="215"/>
      <c r="R652" s="216"/>
      <c r="S652" s="216"/>
      <c r="T652" s="216"/>
      <c r="U652" s="214"/>
      <c r="V652" s="215"/>
      <c r="W652" s="214"/>
      <c r="X652" s="215"/>
      <c r="Y652" s="214"/>
      <c r="Z652" s="215"/>
      <c r="AA652" s="171"/>
      <c r="AB652" s="171"/>
      <c r="AC652" s="214"/>
      <c r="AD652" s="10"/>
      <c r="AE652" s="10"/>
      <c r="AF652" s="214"/>
      <c r="AG652" s="215"/>
    </row>
    <row r="653" spans="1:33" ht="12.75" customHeight="1" x14ac:dyDescent="0.25">
      <c r="A653" s="168"/>
      <c r="B653" s="168"/>
      <c r="C653" s="168"/>
      <c r="E653" s="214"/>
      <c r="F653" s="215"/>
      <c r="G653" s="216"/>
      <c r="H653" s="216"/>
      <c r="I653" s="216"/>
      <c r="J653" s="216"/>
      <c r="K653" s="214"/>
      <c r="L653" s="215"/>
      <c r="M653" s="214"/>
      <c r="N653" s="215"/>
      <c r="O653" s="216"/>
      <c r="P653" s="214"/>
      <c r="Q653" s="215"/>
      <c r="R653" s="216"/>
      <c r="S653" s="216"/>
      <c r="T653" s="216"/>
      <c r="U653" s="214"/>
      <c r="V653" s="215"/>
      <c r="W653" s="214"/>
      <c r="X653" s="215"/>
      <c r="Y653" s="214"/>
      <c r="Z653" s="215"/>
      <c r="AA653" s="171"/>
      <c r="AB653" s="171"/>
      <c r="AC653" s="214"/>
      <c r="AD653" s="10"/>
      <c r="AE653" s="10"/>
      <c r="AF653" s="214"/>
      <c r="AG653" s="215"/>
    </row>
    <row r="654" spans="1:33" ht="12.75" customHeight="1" x14ac:dyDescent="0.25">
      <c r="A654" s="168"/>
      <c r="B654" s="168"/>
      <c r="C654" s="168"/>
      <c r="E654" s="214"/>
      <c r="F654" s="215"/>
      <c r="G654" s="216"/>
      <c r="H654" s="216"/>
      <c r="I654" s="216"/>
      <c r="J654" s="216"/>
      <c r="K654" s="214"/>
      <c r="L654" s="215"/>
      <c r="M654" s="214"/>
      <c r="N654" s="215"/>
      <c r="O654" s="216"/>
      <c r="P654" s="214"/>
      <c r="Q654" s="215"/>
      <c r="R654" s="216"/>
      <c r="S654" s="216"/>
      <c r="T654" s="216"/>
      <c r="U654" s="214"/>
      <c r="V654" s="215"/>
      <c r="W654" s="214"/>
      <c r="X654" s="215"/>
      <c r="Y654" s="214"/>
      <c r="Z654" s="215"/>
      <c r="AA654" s="171"/>
      <c r="AB654" s="171"/>
      <c r="AC654" s="214"/>
      <c r="AD654" s="10"/>
      <c r="AE654" s="10"/>
      <c r="AF654" s="214"/>
      <c r="AG654" s="215"/>
    </row>
    <row r="655" spans="1:33" ht="12.75" customHeight="1" x14ac:dyDescent="0.25">
      <c r="A655" s="168"/>
      <c r="B655" s="168"/>
      <c r="C655" s="168"/>
      <c r="E655" s="214"/>
      <c r="F655" s="215"/>
      <c r="G655" s="216"/>
      <c r="H655" s="216"/>
      <c r="I655" s="216"/>
      <c r="J655" s="216"/>
      <c r="K655" s="214"/>
      <c r="L655" s="215"/>
      <c r="M655" s="214"/>
      <c r="N655" s="215"/>
      <c r="O655" s="216"/>
      <c r="P655" s="214"/>
      <c r="Q655" s="215"/>
      <c r="R655" s="216"/>
      <c r="S655" s="216"/>
      <c r="T655" s="216"/>
      <c r="U655" s="214"/>
      <c r="V655" s="215"/>
      <c r="W655" s="214"/>
      <c r="X655" s="215"/>
      <c r="Y655" s="214"/>
      <c r="Z655" s="215"/>
      <c r="AA655" s="171"/>
      <c r="AB655" s="171"/>
      <c r="AC655" s="214"/>
      <c r="AD655" s="10"/>
      <c r="AE655" s="10"/>
      <c r="AF655" s="214"/>
      <c r="AG655" s="215"/>
    </row>
    <row r="656" spans="1:33" ht="12.75" customHeight="1" x14ac:dyDescent="0.25">
      <c r="A656" s="168"/>
      <c r="B656" s="168"/>
      <c r="C656" s="168"/>
      <c r="E656" s="214"/>
      <c r="F656" s="215"/>
      <c r="G656" s="216"/>
      <c r="H656" s="216"/>
      <c r="I656" s="216"/>
      <c r="J656" s="216"/>
      <c r="K656" s="214"/>
      <c r="L656" s="215"/>
      <c r="M656" s="214"/>
      <c r="N656" s="215"/>
      <c r="O656" s="216"/>
      <c r="P656" s="214"/>
      <c r="Q656" s="215"/>
      <c r="R656" s="216"/>
      <c r="S656" s="216"/>
      <c r="T656" s="216"/>
      <c r="U656" s="214"/>
      <c r="V656" s="215"/>
      <c r="W656" s="214"/>
      <c r="X656" s="215"/>
      <c r="Y656" s="214"/>
      <c r="Z656" s="215"/>
      <c r="AA656" s="171"/>
      <c r="AB656" s="171"/>
      <c r="AC656" s="214"/>
      <c r="AD656" s="10"/>
      <c r="AE656" s="10"/>
      <c r="AF656" s="214"/>
      <c r="AG656" s="215"/>
    </row>
    <row r="657" spans="1:33" ht="12.75" customHeight="1" x14ac:dyDescent="0.25">
      <c r="A657" s="168"/>
      <c r="B657" s="168"/>
      <c r="C657" s="168"/>
      <c r="E657" s="214"/>
      <c r="F657" s="215"/>
      <c r="G657" s="216"/>
      <c r="H657" s="216"/>
      <c r="I657" s="216"/>
      <c r="J657" s="216"/>
      <c r="K657" s="214"/>
      <c r="L657" s="215"/>
      <c r="M657" s="214"/>
      <c r="N657" s="215"/>
      <c r="O657" s="216"/>
      <c r="P657" s="214"/>
      <c r="Q657" s="215"/>
      <c r="R657" s="216"/>
      <c r="S657" s="216"/>
      <c r="T657" s="216"/>
      <c r="U657" s="214"/>
      <c r="V657" s="215"/>
      <c r="W657" s="214"/>
      <c r="X657" s="215"/>
      <c r="Y657" s="214"/>
      <c r="Z657" s="215"/>
      <c r="AA657" s="171"/>
      <c r="AB657" s="171"/>
      <c r="AC657" s="214"/>
      <c r="AD657" s="10"/>
      <c r="AE657" s="10"/>
      <c r="AF657" s="214"/>
      <c r="AG657" s="215"/>
    </row>
    <row r="658" spans="1:33" ht="12.75" customHeight="1" x14ac:dyDescent="0.25">
      <c r="A658" s="168"/>
      <c r="B658" s="168"/>
      <c r="C658" s="168"/>
      <c r="E658" s="214"/>
      <c r="F658" s="215"/>
      <c r="G658" s="216"/>
      <c r="H658" s="216"/>
      <c r="I658" s="216"/>
      <c r="J658" s="216"/>
      <c r="K658" s="214"/>
      <c r="L658" s="215"/>
      <c r="M658" s="214"/>
      <c r="N658" s="215"/>
      <c r="O658" s="216"/>
      <c r="P658" s="214"/>
      <c r="Q658" s="215"/>
      <c r="R658" s="216"/>
      <c r="S658" s="216"/>
      <c r="T658" s="216"/>
      <c r="U658" s="214"/>
      <c r="V658" s="215"/>
      <c r="W658" s="214"/>
      <c r="X658" s="215"/>
      <c r="Y658" s="214"/>
      <c r="Z658" s="215"/>
      <c r="AA658" s="171"/>
      <c r="AB658" s="171"/>
      <c r="AC658" s="214"/>
      <c r="AD658" s="10"/>
      <c r="AE658" s="10"/>
      <c r="AF658" s="214"/>
      <c r="AG658" s="215"/>
    </row>
    <row r="659" spans="1:33" ht="12.75" customHeight="1" x14ac:dyDescent="0.25">
      <c r="A659" s="168"/>
      <c r="B659" s="168"/>
      <c r="C659" s="168"/>
      <c r="E659" s="214"/>
      <c r="F659" s="215"/>
      <c r="G659" s="216"/>
      <c r="H659" s="216"/>
      <c r="I659" s="216"/>
      <c r="J659" s="216"/>
      <c r="K659" s="214"/>
      <c r="L659" s="215"/>
      <c r="M659" s="214"/>
      <c r="N659" s="215"/>
      <c r="O659" s="216"/>
      <c r="P659" s="214"/>
      <c r="Q659" s="215"/>
      <c r="R659" s="216"/>
      <c r="S659" s="216"/>
      <c r="T659" s="216"/>
      <c r="U659" s="214"/>
      <c r="V659" s="215"/>
      <c r="W659" s="214"/>
      <c r="X659" s="215"/>
      <c r="Y659" s="214"/>
      <c r="Z659" s="215"/>
      <c r="AA659" s="171"/>
      <c r="AB659" s="171"/>
      <c r="AC659" s="214"/>
      <c r="AD659" s="10"/>
      <c r="AE659" s="10"/>
      <c r="AF659" s="214"/>
      <c r="AG659" s="215"/>
    </row>
    <row r="660" spans="1:33" ht="12.75" customHeight="1" x14ac:dyDescent="0.25">
      <c r="A660" s="168"/>
      <c r="B660" s="168"/>
      <c r="C660" s="168"/>
      <c r="E660" s="214"/>
      <c r="F660" s="215"/>
      <c r="G660" s="216"/>
      <c r="H660" s="216"/>
      <c r="I660" s="216"/>
      <c r="J660" s="216"/>
      <c r="K660" s="214"/>
      <c r="L660" s="215"/>
      <c r="M660" s="214"/>
      <c r="N660" s="215"/>
      <c r="O660" s="216"/>
      <c r="P660" s="214"/>
      <c r="Q660" s="215"/>
      <c r="R660" s="216"/>
      <c r="S660" s="216"/>
      <c r="T660" s="216"/>
      <c r="U660" s="214"/>
      <c r="V660" s="215"/>
      <c r="W660" s="214"/>
      <c r="X660" s="215"/>
      <c r="Y660" s="214"/>
      <c r="Z660" s="215"/>
      <c r="AA660" s="171"/>
      <c r="AB660" s="171"/>
      <c r="AC660" s="214"/>
      <c r="AD660" s="10"/>
      <c r="AE660" s="10"/>
      <c r="AF660" s="214"/>
      <c r="AG660" s="215"/>
    </row>
    <row r="661" spans="1:33" ht="12.75" customHeight="1" x14ac:dyDescent="0.25">
      <c r="A661" s="168"/>
      <c r="B661" s="168"/>
      <c r="C661" s="168"/>
      <c r="E661" s="214"/>
      <c r="F661" s="215"/>
      <c r="G661" s="216"/>
      <c r="H661" s="216"/>
      <c r="I661" s="216"/>
      <c r="J661" s="216"/>
      <c r="K661" s="214"/>
      <c r="L661" s="215"/>
      <c r="M661" s="214"/>
      <c r="N661" s="215"/>
      <c r="O661" s="216"/>
      <c r="P661" s="214"/>
      <c r="Q661" s="215"/>
      <c r="R661" s="216"/>
      <c r="S661" s="216"/>
      <c r="T661" s="216"/>
      <c r="U661" s="214"/>
      <c r="V661" s="215"/>
      <c r="W661" s="214"/>
      <c r="X661" s="215"/>
      <c r="Y661" s="214"/>
      <c r="Z661" s="215"/>
      <c r="AA661" s="171"/>
      <c r="AB661" s="171"/>
      <c r="AC661" s="214"/>
      <c r="AD661" s="10"/>
      <c r="AE661" s="10"/>
      <c r="AF661" s="214"/>
      <c r="AG661" s="215"/>
    </row>
    <row r="662" spans="1:33" ht="12.75" customHeight="1" x14ac:dyDescent="0.25">
      <c r="A662" s="168"/>
      <c r="B662" s="168"/>
      <c r="C662" s="168"/>
      <c r="E662" s="214"/>
      <c r="F662" s="215"/>
      <c r="G662" s="216"/>
      <c r="H662" s="216"/>
      <c r="I662" s="216"/>
      <c r="J662" s="216"/>
      <c r="K662" s="214"/>
      <c r="L662" s="215"/>
      <c r="M662" s="214"/>
      <c r="N662" s="215"/>
      <c r="O662" s="216"/>
      <c r="P662" s="214"/>
      <c r="Q662" s="215"/>
      <c r="R662" s="216"/>
      <c r="S662" s="216"/>
      <c r="T662" s="216"/>
      <c r="U662" s="214"/>
      <c r="V662" s="215"/>
      <c r="W662" s="214"/>
      <c r="X662" s="215"/>
      <c r="Y662" s="214"/>
      <c r="Z662" s="215"/>
      <c r="AA662" s="171"/>
      <c r="AB662" s="171"/>
      <c r="AC662" s="214"/>
      <c r="AD662" s="10"/>
      <c r="AE662" s="10"/>
      <c r="AF662" s="214"/>
      <c r="AG662" s="215"/>
    </row>
    <row r="663" spans="1:33" ht="12.75" customHeight="1" x14ac:dyDescent="0.25">
      <c r="A663" s="168"/>
      <c r="B663" s="168"/>
      <c r="C663" s="168"/>
      <c r="E663" s="214"/>
      <c r="F663" s="215"/>
      <c r="G663" s="216"/>
      <c r="H663" s="216"/>
      <c r="I663" s="216"/>
      <c r="J663" s="216"/>
      <c r="K663" s="214"/>
      <c r="L663" s="215"/>
      <c r="M663" s="214"/>
      <c r="N663" s="215"/>
      <c r="O663" s="216"/>
      <c r="P663" s="214"/>
      <c r="Q663" s="215"/>
      <c r="R663" s="216"/>
      <c r="S663" s="216"/>
      <c r="T663" s="216"/>
      <c r="U663" s="214"/>
      <c r="V663" s="215"/>
      <c r="W663" s="214"/>
      <c r="X663" s="215"/>
      <c r="Y663" s="214"/>
      <c r="Z663" s="215"/>
      <c r="AA663" s="171"/>
      <c r="AB663" s="171"/>
      <c r="AC663" s="214"/>
      <c r="AD663" s="10"/>
      <c r="AE663" s="10"/>
      <c r="AF663" s="214"/>
      <c r="AG663" s="215"/>
    </row>
    <row r="664" spans="1:33" ht="12.75" customHeight="1" x14ac:dyDescent="0.25">
      <c r="A664" s="168"/>
      <c r="B664" s="168"/>
      <c r="C664" s="168"/>
      <c r="E664" s="214"/>
      <c r="F664" s="215"/>
      <c r="G664" s="216"/>
      <c r="H664" s="216"/>
      <c r="I664" s="216"/>
      <c r="J664" s="216"/>
      <c r="K664" s="214"/>
      <c r="L664" s="215"/>
      <c r="M664" s="214"/>
      <c r="N664" s="215"/>
      <c r="O664" s="216"/>
      <c r="P664" s="214"/>
      <c r="Q664" s="215"/>
      <c r="R664" s="216"/>
      <c r="S664" s="216"/>
      <c r="T664" s="216"/>
      <c r="U664" s="214"/>
      <c r="V664" s="215"/>
      <c r="W664" s="214"/>
      <c r="X664" s="215"/>
      <c r="Y664" s="214"/>
      <c r="Z664" s="215"/>
      <c r="AA664" s="171"/>
      <c r="AB664" s="171"/>
      <c r="AC664" s="214"/>
      <c r="AD664" s="10"/>
      <c r="AE664" s="10"/>
      <c r="AF664" s="214"/>
      <c r="AG664" s="215"/>
    </row>
    <row r="665" spans="1:33" ht="12.75" customHeight="1" x14ac:dyDescent="0.25">
      <c r="A665" s="168"/>
      <c r="B665" s="168"/>
      <c r="C665" s="168"/>
      <c r="E665" s="214"/>
      <c r="F665" s="215"/>
      <c r="G665" s="216"/>
      <c r="H665" s="216"/>
      <c r="I665" s="216"/>
      <c r="J665" s="216"/>
      <c r="K665" s="214"/>
      <c r="L665" s="215"/>
      <c r="M665" s="214"/>
      <c r="N665" s="215"/>
      <c r="O665" s="216"/>
      <c r="P665" s="214"/>
      <c r="Q665" s="215"/>
      <c r="R665" s="216"/>
      <c r="S665" s="216"/>
      <c r="T665" s="216"/>
      <c r="U665" s="214"/>
      <c r="V665" s="215"/>
      <c r="W665" s="214"/>
      <c r="X665" s="215"/>
      <c r="Y665" s="214"/>
      <c r="Z665" s="215"/>
      <c r="AA665" s="171"/>
      <c r="AB665" s="171"/>
      <c r="AC665" s="214"/>
      <c r="AD665" s="10"/>
      <c r="AE665" s="10"/>
      <c r="AF665" s="214"/>
      <c r="AG665" s="215"/>
    </row>
    <row r="666" spans="1:33" ht="12.75" customHeight="1" x14ac:dyDescent="0.25">
      <c r="A666" s="168"/>
      <c r="B666" s="168"/>
      <c r="C666" s="168"/>
      <c r="E666" s="214"/>
      <c r="F666" s="215"/>
      <c r="G666" s="216"/>
      <c r="H666" s="216"/>
      <c r="I666" s="216"/>
      <c r="J666" s="216"/>
      <c r="K666" s="214"/>
      <c r="L666" s="215"/>
      <c r="M666" s="214"/>
      <c r="N666" s="215"/>
      <c r="O666" s="216"/>
      <c r="P666" s="214"/>
      <c r="Q666" s="215"/>
      <c r="R666" s="216"/>
      <c r="S666" s="216"/>
      <c r="T666" s="216"/>
      <c r="U666" s="214"/>
      <c r="V666" s="215"/>
      <c r="W666" s="214"/>
      <c r="X666" s="215"/>
      <c r="Y666" s="214"/>
      <c r="Z666" s="215"/>
      <c r="AA666" s="171"/>
      <c r="AB666" s="171"/>
      <c r="AC666" s="214"/>
      <c r="AD666" s="10"/>
      <c r="AE666" s="10"/>
      <c r="AF666" s="214"/>
      <c r="AG666" s="215"/>
    </row>
    <row r="667" spans="1:33" ht="12.75" customHeight="1" x14ac:dyDescent="0.25">
      <c r="A667" s="168"/>
      <c r="B667" s="168"/>
      <c r="C667" s="168"/>
      <c r="E667" s="214"/>
      <c r="F667" s="215"/>
      <c r="G667" s="216"/>
      <c r="H667" s="216"/>
      <c r="I667" s="216"/>
      <c r="J667" s="216"/>
      <c r="K667" s="214"/>
      <c r="L667" s="215"/>
      <c r="M667" s="214"/>
      <c r="N667" s="215"/>
      <c r="O667" s="216"/>
      <c r="P667" s="214"/>
      <c r="Q667" s="215"/>
      <c r="R667" s="216"/>
      <c r="S667" s="216"/>
      <c r="T667" s="216"/>
      <c r="U667" s="214"/>
      <c r="V667" s="215"/>
      <c r="W667" s="214"/>
      <c r="X667" s="215"/>
      <c r="Y667" s="214"/>
      <c r="Z667" s="215"/>
      <c r="AA667" s="171"/>
      <c r="AB667" s="171"/>
      <c r="AC667" s="214"/>
      <c r="AD667" s="10"/>
      <c r="AE667" s="10"/>
      <c r="AF667" s="214"/>
      <c r="AG667" s="215"/>
    </row>
    <row r="668" spans="1:33" ht="12.75" customHeight="1" x14ac:dyDescent="0.25">
      <c r="A668" s="168"/>
      <c r="B668" s="168"/>
      <c r="C668" s="168"/>
      <c r="E668" s="214"/>
      <c r="F668" s="215"/>
      <c r="G668" s="216"/>
      <c r="H668" s="216"/>
      <c r="I668" s="216"/>
      <c r="J668" s="216"/>
      <c r="K668" s="214"/>
      <c r="L668" s="215"/>
      <c r="M668" s="214"/>
      <c r="N668" s="215"/>
      <c r="O668" s="216"/>
      <c r="P668" s="214"/>
      <c r="Q668" s="215"/>
      <c r="R668" s="216"/>
      <c r="S668" s="216"/>
      <c r="T668" s="216"/>
      <c r="U668" s="214"/>
      <c r="V668" s="215"/>
      <c r="W668" s="214"/>
      <c r="X668" s="215"/>
      <c r="Y668" s="214"/>
      <c r="Z668" s="215"/>
      <c r="AA668" s="171"/>
      <c r="AB668" s="171"/>
      <c r="AC668" s="214"/>
      <c r="AD668" s="10"/>
      <c r="AE668" s="10"/>
      <c r="AF668" s="214"/>
      <c r="AG668" s="215"/>
    </row>
    <row r="669" spans="1:33" ht="12.75" customHeight="1" x14ac:dyDescent="0.25">
      <c r="A669" s="168"/>
      <c r="B669" s="168"/>
      <c r="C669" s="168"/>
      <c r="E669" s="214"/>
      <c r="F669" s="215"/>
      <c r="G669" s="216"/>
      <c r="H669" s="216"/>
      <c r="I669" s="216"/>
      <c r="J669" s="216"/>
      <c r="K669" s="214"/>
      <c r="L669" s="215"/>
      <c r="M669" s="214"/>
      <c r="N669" s="215"/>
      <c r="O669" s="216"/>
      <c r="P669" s="214"/>
      <c r="Q669" s="215"/>
      <c r="R669" s="216"/>
      <c r="S669" s="216"/>
      <c r="T669" s="216"/>
      <c r="U669" s="214"/>
      <c r="V669" s="215"/>
      <c r="W669" s="214"/>
      <c r="X669" s="215"/>
      <c r="Y669" s="214"/>
      <c r="Z669" s="215"/>
      <c r="AA669" s="171"/>
      <c r="AB669" s="171"/>
      <c r="AC669" s="214"/>
      <c r="AD669" s="10"/>
      <c r="AE669" s="10"/>
      <c r="AF669" s="214"/>
      <c r="AG669" s="215"/>
    </row>
    <row r="670" spans="1:33" ht="12.75" customHeight="1" x14ac:dyDescent="0.25">
      <c r="A670" s="168"/>
      <c r="B670" s="168"/>
      <c r="C670" s="168"/>
      <c r="E670" s="214"/>
      <c r="F670" s="215"/>
      <c r="G670" s="216"/>
      <c r="H670" s="216"/>
      <c r="I670" s="216"/>
      <c r="J670" s="216"/>
      <c r="K670" s="214"/>
      <c r="L670" s="215"/>
      <c r="M670" s="214"/>
      <c r="N670" s="215"/>
      <c r="O670" s="216"/>
      <c r="P670" s="214"/>
      <c r="Q670" s="215"/>
      <c r="R670" s="216"/>
      <c r="S670" s="216"/>
      <c r="T670" s="216"/>
      <c r="U670" s="214"/>
      <c r="V670" s="215"/>
      <c r="W670" s="214"/>
      <c r="X670" s="215"/>
      <c r="Y670" s="214"/>
      <c r="Z670" s="215"/>
      <c r="AA670" s="171"/>
      <c r="AB670" s="171"/>
      <c r="AC670" s="214"/>
      <c r="AD670" s="10"/>
      <c r="AE670" s="10"/>
      <c r="AF670" s="214"/>
      <c r="AG670" s="215"/>
    </row>
    <row r="671" spans="1:33" ht="12.75" customHeight="1" x14ac:dyDescent="0.25">
      <c r="A671" s="168"/>
      <c r="B671" s="168"/>
      <c r="C671" s="168"/>
      <c r="E671" s="214"/>
      <c r="F671" s="215"/>
      <c r="G671" s="216"/>
      <c r="H671" s="216"/>
      <c r="I671" s="216"/>
      <c r="J671" s="216"/>
      <c r="K671" s="214"/>
      <c r="L671" s="215"/>
      <c r="M671" s="214"/>
      <c r="N671" s="215"/>
      <c r="O671" s="216"/>
      <c r="P671" s="214"/>
      <c r="Q671" s="215"/>
      <c r="R671" s="216"/>
      <c r="S671" s="216"/>
      <c r="T671" s="216"/>
      <c r="U671" s="214"/>
      <c r="V671" s="215"/>
      <c r="W671" s="214"/>
      <c r="X671" s="215"/>
      <c r="Y671" s="214"/>
      <c r="Z671" s="215"/>
      <c r="AA671" s="171"/>
      <c r="AB671" s="171"/>
      <c r="AC671" s="214"/>
      <c r="AD671" s="10"/>
      <c r="AE671" s="10"/>
      <c r="AF671" s="214"/>
      <c r="AG671" s="215"/>
    </row>
    <row r="672" spans="1:33" ht="12.75" customHeight="1" x14ac:dyDescent="0.25">
      <c r="A672" s="168"/>
      <c r="B672" s="168"/>
      <c r="C672" s="168"/>
      <c r="E672" s="214"/>
      <c r="F672" s="215"/>
      <c r="G672" s="216"/>
      <c r="H672" s="216"/>
      <c r="I672" s="216"/>
      <c r="J672" s="216"/>
      <c r="K672" s="214"/>
      <c r="L672" s="215"/>
      <c r="M672" s="214"/>
      <c r="N672" s="215"/>
      <c r="O672" s="216"/>
      <c r="P672" s="214"/>
      <c r="Q672" s="215"/>
      <c r="R672" s="216"/>
      <c r="S672" s="216"/>
      <c r="T672" s="216"/>
      <c r="U672" s="214"/>
      <c r="V672" s="215"/>
      <c r="W672" s="214"/>
      <c r="X672" s="215"/>
      <c r="Y672" s="214"/>
      <c r="Z672" s="215"/>
      <c r="AA672" s="171"/>
      <c r="AB672" s="171"/>
      <c r="AC672" s="214"/>
      <c r="AD672" s="10"/>
      <c r="AE672" s="10"/>
      <c r="AF672" s="214"/>
      <c r="AG672" s="215"/>
    </row>
    <row r="673" spans="1:33" ht="12.75" customHeight="1" x14ac:dyDescent="0.25">
      <c r="A673" s="168"/>
      <c r="B673" s="168"/>
      <c r="C673" s="168"/>
      <c r="E673" s="214"/>
      <c r="F673" s="215"/>
      <c r="G673" s="216"/>
      <c r="H673" s="216"/>
      <c r="I673" s="216"/>
      <c r="J673" s="216"/>
      <c r="K673" s="214"/>
      <c r="L673" s="215"/>
      <c r="M673" s="214"/>
      <c r="N673" s="215"/>
      <c r="O673" s="216"/>
      <c r="P673" s="214"/>
      <c r="Q673" s="215"/>
      <c r="R673" s="216"/>
      <c r="S673" s="216"/>
      <c r="T673" s="216"/>
      <c r="U673" s="214"/>
      <c r="V673" s="215"/>
      <c r="W673" s="214"/>
      <c r="X673" s="215"/>
      <c r="Y673" s="214"/>
      <c r="Z673" s="215"/>
      <c r="AA673" s="171"/>
      <c r="AB673" s="171"/>
      <c r="AC673" s="214"/>
      <c r="AD673" s="10"/>
      <c r="AE673" s="10"/>
      <c r="AF673" s="214"/>
      <c r="AG673" s="215"/>
    </row>
    <row r="674" spans="1:33" ht="12.75" customHeight="1" x14ac:dyDescent="0.25">
      <c r="A674" s="168"/>
      <c r="B674" s="168"/>
      <c r="C674" s="168"/>
      <c r="E674" s="214"/>
      <c r="F674" s="215"/>
      <c r="G674" s="216"/>
      <c r="H674" s="216"/>
      <c r="I674" s="216"/>
      <c r="J674" s="216"/>
      <c r="K674" s="214"/>
      <c r="L674" s="215"/>
      <c r="M674" s="214"/>
      <c r="N674" s="215"/>
      <c r="O674" s="216"/>
      <c r="P674" s="214"/>
      <c r="Q674" s="215"/>
      <c r="R674" s="216"/>
      <c r="S674" s="216"/>
      <c r="T674" s="216"/>
      <c r="U674" s="214"/>
      <c r="V674" s="215"/>
      <c r="W674" s="214"/>
      <c r="X674" s="215"/>
      <c r="Y674" s="214"/>
      <c r="Z674" s="215"/>
      <c r="AA674" s="171"/>
      <c r="AB674" s="171"/>
      <c r="AC674" s="214"/>
      <c r="AD674" s="10"/>
      <c r="AE674" s="10"/>
      <c r="AF674" s="214"/>
      <c r="AG674" s="215"/>
    </row>
    <row r="675" spans="1:33" ht="12.75" customHeight="1" x14ac:dyDescent="0.25">
      <c r="A675" s="168"/>
      <c r="B675" s="168"/>
      <c r="C675" s="168"/>
      <c r="E675" s="214"/>
      <c r="F675" s="215"/>
      <c r="G675" s="216"/>
      <c r="H675" s="216"/>
      <c r="I675" s="216"/>
      <c r="J675" s="216"/>
      <c r="K675" s="214"/>
      <c r="L675" s="215"/>
      <c r="M675" s="214"/>
      <c r="N675" s="215"/>
      <c r="O675" s="216"/>
      <c r="P675" s="214"/>
      <c r="Q675" s="215"/>
      <c r="R675" s="216"/>
      <c r="S675" s="216"/>
      <c r="T675" s="216"/>
      <c r="U675" s="214"/>
      <c r="V675" s="215"/>
      <c r="W675" s="214"/>
      <c r="X675" s="215"/>
      <c r="Y675" s="214"/>
      <c r="Z675" s="215"/>
      <c r="AA675" s="171"/>
      <c r="AB675" s="171"/>
      <c r="AC675" s="214"/>
      <c r="AD675" s="10"/>
      <c r="AE675" s="10"/>
      <c r="AF675" s="214"/>
      <c r="AG675" s="215"/>
    </row>
    <row r="676" spans="1:33" ht="12.75" customHeight="1" x14ac:dyDescent="0.25">
      <c r="A676" s="168"/>
      <c r="B676" s="168"/>
      <c r="C676" s="168"/>
      <c r="E676" s="214"/>
      <c r="F676" s="215"/>
      <c r="G676" s="216"/>
      <c r="H676" s="216"/>
      <c r="I676" s="216"/>
      <c r="J676" s="216"/>
      <c r="K676" s="214"/>
      <c r="L676" s="215"/>
      <c r="M676" s="214"/>
      <c r="N676" s="215"/>
      <c r="O676" s="216"/>
      <c r="P676" s="214"/>
      <c r="Q676" s="215"/>
      <c r="R676" s="216"/>
      <c r="S676" s="216"/>
      <c r="T676" s="216"/>
      <c r="U676" s="214"/>
      <c r="V676" s="215"/>
      <c r="W676" s="214"/>
      <c r="X676" s="215"/>
      <c r="Y676" s="214"/>
      <c r="Z676" s="215"/>
      <c r="AA676" s="171"/>
      <c r="AB676" s="171"/>
      <c r="AC676" s="214"/>
      <c r="AD676" s="10"/>
      <c r="AE676" s="10"/>
      <c r="AF676" s="214"/>
      <c r="AG676" s="215"/>
    </row>
    <row r="677" spans="1:33" ht="12.75" customHeight="1" x14ac:dyDescent="0.25">
      <c r="A677" s="168"/>
      <c r="B677" s="168"/>
      <c r="C677" s="168"/>
      <c r="E677" s="214"/>
      <c r="F677" s="215"/>
      <c r="G677" s="216"/>
      <c r="H677" s="216"/>
      <c r="I677" s="216"/>
      <c r="J677" s="216"/>
      <c r="K677" s="214"/>
      <c r="L677" s="215"/>
      <c r="M677" s="214"/>
      <c r="N677" s="215"/>
      <c r="O677" s="216"/>
      <c r="P677" s="214"/>
      <c r="Q677" s="215"/>
      <c r="R677" s="216"/>
      <c r="S677" s="216"/>
      <c r="T677" s="216"/>
      <c r="U677" s="214"/>
      <c r="V677" s="215"/>
      <c r="W677" s="214"/>
      <c r="X677" s="215"/>
      <c r="Y677" s="214"/>
      <c r="Z677" s="215"/>
      <c r="AA677" s="171"/>
      <c r="AB677" s="171"/>
      <c r="AC677" s="214"/>
      <c r="AD677" s="10"/>
      <c r="AE677" s="10"/>
      <c r="AF677" s="214"/>
      <c r="AG677" s="215"/>
    </row>
    <row r="678" spans="1:33" ht="12.75" customHeight="1" x14ac:dyDescent="0.25">
      <c r="A678" s="168"/>
      <c r="B678" s="168"/>
      <c r="C678" s="168"/>
      <c r="E678" s="214"/>
      <c r="F678" s="215"/>
      <c r="G678" s="216"/>
      <c r="H678" s="216"/>
      <c r="I678" s="216"/>
      <c r="J678" s="216"/>
      <c r="K678" s="214"/>
      <c r="L678" s="215"/>
      <c r="M678" s="214"/>
      <c r="N678" s="215"/>
      <c r="O678" s="216"/>
      <c r="P678" s="214"/>
      <c r="Q678" s="215"/>
      <c r="R678" s="216"/>
      <c r="S678" s="216"/>
      <c r="T678" s="216"/>
      <c r="U678" s="214"/>
      <c r="V678" s="215"/>
      <c r="W678" s="214"/>
      <c r="X678" s="215"/>
      <c r="Y678" s="214"/>
      <c r="Z678" s="215"/>
      <c r="AA678" s="171"/>
      <c r="AB678" s="171"/>
      <c r="AC678" s="214"/>
      <c r="AD678" s="10"/>
      <c r="AE678" s="10"/>
      <c r="AF678" s="214"/>
      <c r="AG678" s="215"/>
    </row>
    <row r="679" spans="1:33" ht="12.75" customHeight="1" x14ac:dyDescent="0.25">
      <c r="A679" s="168"/>
      <c r="B679" s="168"/>
      <c r="C679" s="168"/>
      <c r="E679" s="214"/>
      <c r="F679" s="215"/>
      <c r="G679" s="216"/>
      <c r="H679" s="216"/>
      <c r="I679" s="216"/>
      <c r="J679" s="216"/>
      <c r="K679" s="214"/>
      <c r="L679" s="215"/>
      <c r="M679" s="214"/>
      <c r="N679" s="215"/>
      <c r="O679" s="216"/>
      <c r="P679" s="214"/>
      <c r="Q679" s="215"/>
      <c r="R679" s="216"/>
      <c r="S679" s="216"/>
      <c r="T679" s="216"/>
      <c r="U679" s="214"/>
      <c r="V679" s="215"/>
      <c r="W679" s="214"/>
      <c r="X679" s="215"/>
      <c r="Y679" s="214"/>
      <c r="Z679" s="215"/>
      <c r="AA679" s="171"/>
      <c r="AB679" s="171"/>
      <c r="AC679" s="214"/>
      <c r="AD679" s="10"/>
      <c r="AE679" s="10"/>
      <c r="AF679" s="214"/>
      <c r="AG679" s="215"/>
    </row>
    <row r="680" spans="1:33" ht="12.75" customHeight="1" x14ac:dyDescent="0.25">
      <c r="A680" s="168"/>
      <c r="B680" s="168"/>
      <c r="C680" s="168"/>
      <c r="E680" s="214"/>
      <c r="F680" s="215"/>
      <c r="G680" s="216"/>
      <c r="H680" s="216"/>
      <c r="I680" s="216"/>
      <c r="J680" s="216"/>
      <c r="K680" s="214"/>
      <c r="L680" s="215"/>
      <c r="M680" s="214"/>
      <c r="N680" s="215"/>
      <c r="O680" s="216"/>
      <c r="P680" s="214"/>
      <c r="Q680" s="215"/>
      <c r="R680" s="216"/>
      <c r="S680" s="216"/>
      <c r="T680" s="216"/>
      <c r="U680" s="214"/>
      <c r="V680" s="215"/>
      <c r="W680" s="214"/>
      <c r="X680" s="215"/>
      <c r="Y680" s="214"/>
      <c r="Z680" s="215"/>
      <c r="AA680" s="171"/>
      <c r="AB680" s="171"/>
      <c r="AC680" s="214"/>
      <c r="AD680" s="10"/>
      <c r="AE680" s="10"/>
      <c r="AF680" s="214"/>
      <c r="AG680" s="215"/>
    </row>
    <row r="681" spans="1:33" ht="12.75" customHeight="1" x14ac:dyDescent="0.25">
      <c r="A681" s="168"/>
      <c r="B681" s="168"/>
      <c r="C681" s="168"/>
      <c r="E681" s="214"/>
      <c r="F681" s="215"/>
      <c r="G681" s="216"/>
      <c r="H681" s="216"/>
      <c r="I681" s="216"/>
      <c r="J681" s="216"/>
      <c r="K681" s="214"/>
      <c r="L681" s="215"/>
      <c r="M681" s="214"/>
      <c r="N681" s="215"/>
      <c r="O681" s="216"/>
      <c r="P681" s="214"/>
      <c r="Q681" s="215"/>
      <c r="R681" s="216"/>
      <c r="S681" s="216"/>
      <c r="T681" s="216"/>
      <c r="U681" s="214"/>
      <c r="V681" s="215"/>
      <c r="W681" s="214"/>
      <c r="X681" s="215"/>
      <c r="Y681" s="214"/>
      <c r="Z681" s="215"/>
      <c r="AA681" s="171"/>
      <c r="AB681" s="171"/>
      <c r="AC681" s="214"/>
      <c r="AD681" s="10"/>
      <c r="AE681" s="10"/>
      <c r="AF681" s="214"/>
      <c r="AG681" s="215"/>
    </row>
    <row r="682" spans="1:33" ht="12.75" customHeight="1" x14ac:dyDescent="0.25">
      <c r="A682" s="168"/>
      <c r="B682" s="168"/>
      <c r="C682" s="168"/>
      <c r="E682" s="214"/>
      <c r="F682" s="215"/>
      <c r="G682" s="216"/>
      <c r="H682" s="216"/>
      <c r="I682" s="216"/>
      <c r="J682" s="216"/>
      <c r="K682" s="214"/>
      <c r="L682" s="215"/>
      <c r="M682" s="214"/>
      <c r="N682" s="215"/>
      <c r="O682" s="216"/>
      <c r="P682" s="214"/>
      <c r="Q682" s="215"/>
      <c r="R682" s="216"/>
      <c r="S682" s="216"/>
      <c r="T682" s="216"/>
      <c r="U682" s="214"/>
      <c r="V682" s="215"/>
      <c r="W682" s="214"/>
      <c r="X682" s="215"/>
      <c r="Y682" s="214"/>
      <c r="Z682" s="215"/>
      <c r="AA682" s="171"/>
      <c r="AB682" s="171"/>
      <c r="AC682" s="214"/>
      <c r="AD682" s="10"/>
      <c r="AE682" s="10"/>
      <c r="AF682" s="214"/>
      <c r="AG682" s="215"/>
    </row>
    <row r="683" spans="1:33" ht="12.75" customHeight="1" x14ac:dyDescent="0.25">
      <c r="A683" s="168"/>
      <c r="B683" s="168"/>
      <c r="C683" s="168"/>
      <c r="E683" s="214"/>
      <c r="F683" s="215"/>
      <c r="G683" s="216"/>
      <c r="H683" s="216"/>
      <c r="I683" s="216"/>
      <c r="J683" s="216"/>
      <c r="K683" s="214"/>
      <c r="L683" s="215"/>
      <c r="M683" s="214"/>
      <c r="N683" s="215"/>
      <c r="O683" s="216"/>
      <c r="P683" s="214"/>
      <c r="Q683" s="215"/>
      <c r="R683" s="216"/>
      <c r="S683" s="216"/>
      <c r="T683" s="216"/>
      <c r="U683" s="214"/>
      <c r="V683" s="215"/>
      <c r="W683" s="214"/>
      <c r="X683" s="215"/>
      <c r="Y683" s="214"/>
      <c r="Z683" s="215"/>
      <c r="AA683" s="171"/>
      <c r="AB683" s="171"/>
      <c r="AC683" s="214"/>
      <c r="AD683" s="10"/>
      <c r="AE683" s="10"/>
      <c r="AF683" s="214"/>
      <c r="AG683" s="215"/>
    </row>
    <row r="684" spans="1:33" ht="12.75" customHeight="1" x14ac:dyDescent="0.25">
      <c r="A684" s="168"/>
      <c r="B684" s="168"/>
      <c r="C684" s="168"/>
      <c r="E684" s="214"/>
      <c r="F684" s="215"/>
      <c r="G684" s="216"/>
      <c r="H684" s="216"/>
      <c r="I684" s="216"/>
      <c r="J684" s="216"/>
      <c r="K684" s="214"/>
      <c r="L684" s="215"/>
      <c r="M684" s="214"/>
      <c r="N684" s="215"/>
      <c r="O684" s="216"/>
      <c r="P684" s="214"/>
      <c r="Q684" s="215"/>
      <c r="R684" s="216"/>
      <c r="S684" s="216"/>
      <c r="T684" s="216"/>
      <c r="U684" s="214"/>
      <c r="V684" s="215"/>
      <c r="W684" s="214"/>
      <c r="X684" s="215"/>
      <c r="Y684" s="214"/>
      <c r="Z684" s="215"/>
      <c r="AA684" s="171"/>
      <c r="AB684" s="171"/>
      <c r="AC684" s="214"/>
      <c r="AD684" s="10"/>
      <c r="AE684" s="10"/>
      <c r="AF684" s="214"/>
      <c r="AG684" s="215"/>
    </row>
    <row r="685" spans="1:33" ht="12.75" customHeight="1" x14ac:dyDescent="0.25">
      <c r="A685" s="168"/>
      <c r="B685" s="168"/>
      <c r="C685" s="168"/>
      <c r="E685" s="214"/>
      <c r="F685" s="215"/>
      <c r="G685" s="216"/>
      <c r="H685" s="216"/>
      <c r="I685" s="216"/>
      <c r="J685" s="216"/>
      <c r="K685" s="214"/>
      <c r="L685" s="215"/>
      <c r="M685" s="214"/>
      <c r="N685" s="215"/>
      <c r="O685" s="216"/>
      <c r="P685" s="214"/>
      <c r="Q685" s="215"/>
      <c r="R685" s="216"/>
      <c r="S685" s="216"/>
      <c r="T685" s="216"/>
      <c r="U685" s="214"/>
      <c r="V685" s="215"/>
      <c r="W685" s="214"/>
      <c r="X685" s="215"/>
      <c r="Y685" s="214"/>
      <c r="Z685" s="215"/>
      <c r="AA685" s="171"/>
      <c r="AB685" s="171"/>
      <c r="AC685" s="214"/>
      <c r="AD685" s="10"/>
      <c r="AE685" s="10"/>
      <c r="AF685" s="214"/>
      <c r="AG685" s="215"/>
    </row>
    <row r="686" spans="1:33" ht="12.75" customHeight="1" x14ac:dyDescent="0.25">
      <c r="A686" s="168"/>
      <c r="B686" s="168"/>
      <c r="C686" s="168"/>
      <c r="E686" s="214"/>
      <c r="F686" s="215"/>
      <c r="G686" s="216"/>
      <c r="H686" s="216"/>
      <c r="I686" s="216"/>
      <c r="J686" s="216"/>
      <c r="K686" s="214"/>
      <c r="L686" s="215"/>
      <c r="M686" s="214"/>
      <c r="N686" s="215"/>
      <c r="O686" s="216"/>
      <c r="P686" s="214"/>
      <c r="Q686" s="215"/>
      <c r="R686" s="216"/>
      <c r="S686" s="216"/>
      <c r="T686" s="216"/>
      <c r="U686" s="214"/>
      <c r="V686" s="215"/>
      <c r="W686" s="214"/>
      <c r="X686" s="215"/>
      <c r="Y686" s="214"/>
      <c r="Z686" s="215"/>
      <c r="AA686" s="171"/>
      <c r="AB686" s="171"/>
      <c r="AC686" s="214"/>
      <c r="AD686" s="10"/>
      <c r="AE686" s="10"/>
      <c r="AF686" s="214"/>
      <c r="AG686" s="215"/>
    </row>
    <row r="687" spans="1:33" ht="12.75" customHeight="1" x14ac:dyDescent="0.25">
      <c r="A687" s="168"/>
      <c r="B687" s="168"/>
      <c r="C687" s="168"/>
      <c r="E687" s="214"/>
      <c r="F687" s="215"/>
      <c r="G687" s="216"/>
      <c r="H687" s="216"/>
      <c r="I687" s="216"/>
      <c r="J687" s="216"/>
      <c r="K687" s="214"/>
      <c r="L687" s="215"/>
      <c r="M687" s="214"/>
      <c r="N687" s="215"/>
      <c r="O687" s="216"/>
      <c r="P687" s="214"/>
      <c r="Q687" s="215"/>
      <c r="R687" s="216"/>
      <c r="S687" s="216"/>
      <c r="T687" s="216"/>
      <c r="U687" s="214"/>
      <c r="V687" s="215"/>
      <c r="W687" s="214"/>
      <c r="X687" s="215"/>
      <c r="Y687" s="214"/>
      <c r="Z687" s="215"/>
      <c r="AA687" s="171"/>
      <c r="AB687" s="171"/>
      <c r="AC687" s="214"/>
      <c r="AD687" s="10"/>
      <c r="AE687" s="10"/>
      <c r="AF687" s="214"/>
      <c r="AG687" s="215"/>
    </row>
    <row r="688" spans="1:33" ht="12.75" customHeight="1" x14ac:dyDescent="0.25">
      <c r="A688" s="168"/>
      <c r="B688" s="168"/>
      <c r="C688" s="168"/>
      <c r="E688" s="214"/>
      <c r="F688" s="215"/>
      <c r="G688" s="216"/>
      <c r="H688" s="216"/>
      <c r="I688" s="216"/>
      <c r="J688" s="216"/>
      <c r="K688" s="214"/>
      <c r="L688" s="215"/>
      <c r="M688" s="214"/>
      <c r="N688" s="215"/>
      <c r="O688" s="216"/>
      <c r="P688" s="214"/>
      <c r="Q688" s="215"/>
      <c r="R688" s="216"/>
      <c r="S688" s="216"/>
      <c r="T688" s="216"/>
      <c r="U688" s="214"/>
      <c r="V688" s="215"/>
      <c r="W688" s="214"/>
      <c r="X688" s="215"/>
      <c r="Y688" s="214"/>
      <c r="Z688" s="215"/>
      <c r="AA688" s="171"/>
      <c r="AB688" s="171"/>
      <c r="AC688" s="214"/>
      <c r="AD688" s="10"/>
      <c r="AE688" s="10"/>
      <c r="AF688" s="214"/>
      <c r="AG688" s="215"/>
    </row>
    <row r="689" spans="1:33" ht="12.75" customHeight="1" x14ac:dyDescent="0.25">
      <c r="A689" s="168"/>
      <c r="B689" s="168"/>
      <c r="C689" s="168"/>
      <c r="E689" s="214"/>
      <c r="F689" s="215"/>
      <c r="G689" s="216"/>
      <c r="H689" s="216"/>
      <c r="I689" s="216"/>
      <c r="J689" s="216"/>
      <c r="K689" s="214"/>
      <c r="L689" s="215"/>
      <c r="M689" s="214"/>
      <c r="N689" s="215"/>
      <c r="O689" s="216"/>
      <c r="P689" s="214"/>
      <c r="Q689" s="215"/>
      <c r="R689" s="216"/>
      <c r="S689" s="216"/>
      <c r="T689" s="216"/>
      <c r="U689" s="214"/>
      <c r="V689" s="215"/>
      <c r="W689" s="214"/>
      <c r="X689" s="215"/>
      <c r="Y689" s="214"/>
      <c r="Z689" s="215"/>
      <c r="AA689" s="171"/>
      <c r="AB689" s="171"/>
      <c r="AC689" s="214"/>
      <c r="AD689" s="10"/>
      <c r="AE689" s="10"/>
      <c r="AF689" s="214"/>
      <c r="AG689" s="215"/>
    </row>
    <row r="690" spans="1:33" ht="12.75" customHeight="1" x14ac:dyDescent="0.25">
      <c r="A690" s="168"/>
      <c r="B690" s="168"/>
      <c r="C690" s="168"/>
      <c r="E690" s="214"/>
      <c r="F690" s="215"/>
      <c r="G690" s="216"/>
      <c r="H690" s="216"/>
      <c r="I690" s="216"/>
      <c r="J690" s="216"/>
      <c r="K690" s="214"/>
      <c r="L690" s="215"/>
      <c r="M690" s="214"/>
      <c r="N690" s="215"/>
      <c r="O690" s="216"/>
      <c r="P690" s="214"/>
      <c r="Q690" s="215"/>
      <c r="R690" s="216"/>
      <c r="S690" s="216"/>
      <c r="T690" s="216"/>
      <c r="U690" s="214"/>
      <c r="V690" s="215"/>
      <c r="W690" s="214"/>
      <c r="X690" s="215"/>
      <c r="Y690" s="214"/>
      <c r="Z690" s="215"/>
      <c r="AA690" s="171"/>
      <c r="AB690" s="171"/>
      <c r="AC690" s="214"/>
      <c r="AD690" s="10"/>
      <c r="AE690" s="10"/>
      <c r="AF690" s="214"/>
      <c r="AG690" s="215"/>
    </row>
    <row r="691" spans="1:33" ht="12.75" customHeight="1" x14ac:dyDescent="0.25">
      <c r="A691" s="168"/>
      <c r="B691" s="168"/>
      <c r="C691" s="168"/>
      <c r="E691" s="214"/>
      <c r="F691" s="215"/>
      <c r="G691" s="216"/>
      <c r="H691" s="216"/>
      <c r="I691" s="216"/>
      <c r="J691" s="216"/>
      <c r="K691" s="214"/>
      <c r="L691" s="215"/>
      <c r="M691" s="214"/>
      <c r="N691" s="215"/>
      <c r="O691" s="216"/>
      <c r="P691" s="214"/>
      <c r="Q691" s="215"/>
      <c r="R691" s="216"/>
      <c r="S691" s="216"/>
      <c r="T691" s="216"/>
      <c r="U691" s="214"/>
      <c r="V691" s="215"/>
      <c r="W691" s="214"/>
      <c r="X691" s="215"/>
      <c r="Y691" s="214"/>
      <c r="Z691" s="215"/>
      <c r="AA691" s="171"/>
      <c r="AB691" s="171"/>
      <c r="AC691" s="214"/>
      <c r="AD691" s="10"/>
      <c r="AE691" s="10"/>
      <c r="AF691" s="214"/>
      <c r="AG691" s="215"/>
    </row>
    <row r="692" spans="1:33" ht="12.75" customHeight="1" x14ac:dyDescent="0.25">
      <c r="A692" s="168"/>
      <c r="B692" s="168"/>
      <c r="C692" s="168"/>
      <c r="E692" s="214"/>
      <c r="F692" s="215"/>
      <c r="G692" s="216"/>
      <c r="H692" s="216"/>
      <c r="I692" s="216"/>
      <c r="J692" s="216"/>
      <c r="K692" s="214"/>
      <c r="L692" s="215"/>
      <c r="M692" s="214"/>
      <c r="N692" s="215"/>
      <c r="O692" s="216"/>
      <c r="P692" s="214"/>
      <c r="Q692" s="215"/>
      <c r="R692" s="216"/>
      <c r="S692" s="216"/>
      <c r="T692" s="216"/>
      <c r="U692" s="214"/>
      <c r="V692" s="215"/>
      <c r="W692" s="214"/>
      <c r="X692" s="215"/>
      <c r="Y692" s="214"/>
      <c r="Z692" s="215"/>
      <c r="AA692" s="171"/>
      <c r="AB692" s="171"/>
      <c r="AC692" s="214"/>
      <c r="AD692" s="10"/>
      <c r="AE692" s="10"/>
      <c r="AF692" s="214"/>
      <c r="AG692" s="215"/>
    </row>
    <row r="693" spans="1:33" ht="12.75" customHeight="1" x14ac:dyDescent="0.25">
      <c r="A693" s="168"/>
      <c r="B693" s="168"/>
      <c r="C693" s="168"/>
      <c r="E693" s="214"/>
      <c r="F693" s="215"/>
      <c r="G693" s="216"/>
      <c r="H693" s="216"/>
      <c r="I693" s="216"/>
      <c r="J693" s="216"/>
      <c r="K693" s="214"/>
      <c r="L693" s="215"/>
      <c r="M693" s="214"/>
      <c r="N693" s="215"/>
      <c r="O693" s="216"/>
      <c r="P693" s="214"/>
      <c r="Q693" s="215"/>
      <c r="R693" s="216"/>
      <c r="S693" s="216"/>
      <c r="T693" s="216"/>
      <c r="U693" s="214"/>
      <c r="V693" s="215"/>
      <c r="W693" s="214"/>
      <c r="X693" s="215"/>
      <c r="Y693" s="214"/>
      <c r="Z693" s="215"/>
      <c r="AA693" s="171"/>
      <c r="AB693" s="171"/>
      <c r="AC693" s="214"/>
      <c r="AD693" s="10"/>
      <c r="AE693" s="10"/>
      <c r="AF693" s="214"/>
      <c r="AG693" s="215"/>
    </row>
    <row r="694" spans="1:33" ht="12.75" customHeight="1" x14ac:dyDescent="0.25">
      <c r="A694" s="168"/>
      <c r="B694" s="168"/>
      <c r="C694" s="168"/>
      <c r="E694" s="214"/>
      <c r="F694" s="215"/>
      <c r="G694" s="216"/>
      <c r="H694" s="216"/>
      <c r="I694" s="216"/>
      <c r="J694" s="216"/>
      <c r="K694" s="214"/>
      <c r="L694" s="215"/>
      <c r="M694" s="214"/>
      <c r="N694" s="215"/>
      <c r="O694" s="216"/>
      <c r="P694" s="214"/>
      <c r="Q694" s="215"/>
      <c r="R694" s="216"/>
      <c r="S694" s="216"/>
      <c r="T694" s="216"/>
      <c r="U694" s="214"/>
      <c r="V694" s="215"/>
      <c r="W694" s="214"/>
      <c r="X694" s="215"/>
      <c r="Y694" s="214"/>
      <c r="Z694" s="215"/>
      <c r="AA694" s="171"/>
      <c r="AB694" s="171"/>
      <c r="AC694" s="214"/>
      <c r="AD694" s="10"/>
      <c r="AE694" s="10"/>
      <c r="AF694" s="214"/>
      <c r="AG694" s="215"/>
    </row>
    <row r="695" spans="1:33" ht="12.75" customHeight="1" x14ac:dyDescent="0.25">
      <c r="A695" s="168"/>
      <c r="B695" s="168"/>
      <c r="C695" s="168"/>
      <c r="E695" s="214"/>
      <c r="F695" s="215"/>
      <c r="G695" s="216"/>
      <c r="H695" s="216"/>
      <c r="I695" s="216"/>
      <c r="J695" s="216"/>
      <c r="K695" s="214"/>
      <c r="L695" s="215"/>
      <c r="M695" s="214"/>
      <c r="N695" s="215"/>
      <c r="O695" s="216"/>
      <c r="P695" s="214"/>
      <c r="Q695" s="215"/>
      <c r="R695" s="216"/>
      <c r="S695" s="216"/>
      <c r="T695" s="216"/>
      <c r="U695" s="214"/>
      <c r="V695" s="215"/>
      <c r="W695" s="214"/>
      <c r="X695" s="215"/>
      <c r="Y695" s="214"/>
      <c r="Z695" s="215"/>
      <c r="AA695" s="171"/>
      <c r="AB695" s="171"/>
      <c r="AC695" s="214"/>
      <c r="AD695" s="10"/>
      <c r="AE695" s="10"/>
      <c r="AF695" s="214"/>
      <c r="AG695" s="215"/>
    </row>
    <row r="696" spans="1:33" ht="12.75" customHeight="1" x14ac:dyDescent="0.25">
      <c r="A696" s="168"/>
      <c r="B696" s="168"/>
      <c r="C696" s="168"/>
      <c r="E696" s="214"/>
      <c r="F696" s="215"/>
      <c r="G696" s="216"/>
      <c r="H696" s="216"/>
      <c r="I696" s="216"/>
      <c r="J696" s="216"/>
      <c r="K696" s="214"/>
      <c r="L696" s="215"/>
      <c r="M696" s="214"/>
      <c r="N696" s="215"/>
      <c r="O696" s="216"/>
      <c r="P696" s="214"/>
      <c r="Q696" s="215"/>
      <c r="R696" s="216"/>
      <c r="S696" s="216"/>
      <c r="T696" s="216"/>
      <c r="U696" s="214"/>
      <c r="V696" s="215"/>
      <c r="W696" s="214"/>
      <c r="X696" s="215"/>
      <c r="Y696" s="214"/>
      <c r="Z696" s="215"/>
      <c r="AA696" s="171"/>
      <c r="AB696" s="171"/>
      <c r="AC696" s="214"/>
      <c r="AD696" s="10"/>
      <c r="AE696" s="10"/>
      <c r="AF696" s="214"/>
      <c r="AG696" s="215"/>
    </row>
    <row r="697" spans="1:33" ht="12.75" customHeight="1" x14ac:dyDescent="0.25">
      <c r="A697" s="168"/>
      <c r="B697" s="168"/>
      <c r="C697" s="168"/>
      <c r="E697" s="214"/>
      <c r="F697" s="215"/>
      <c r="G697" s="216"/>
      <c r="H697" s="216"/>
      <c r="I697" s="216"/>
      <c r="J697" s="216"/>
      <c r="K697" s="214"/>
      <c r="L697" s="215"/>
      <c r="M697" s="214"/>
      <c r="N697" s="215"/>
      <c r="O697" s="216"/>
      <c r="P697" s="214"/>
      <c r="Q697" s="215"/>
      <c r="R697" s="216"/>
      <c r="S697" s="216"/>
      <c r="T697" s="216"/>
      <c r="U697" s="214"/>
      <c r="V697" s="215"/>
      <c r="W697" s="214"/>
      <c r="X697" s="215"/>
      <c r="Y697" s="214"/>
      <c r="Z697" s="215"/>
      <c r="AA697" s="171"/>
      <c r="AB697" s="171"/>
      <c r="AC697" s="214"/>
      <c r="AD697" s="10"/>
      <c r="AE697" s="10"/>
      <c r="AF697" s="214"/>
      <c r="AG697" s="215"/>
    </row>
    <row r="698" spans="1:33" ht="12.75" customHeight="1" x14ac:dyDescent="0.25">
      <c r="A698" s="168"/>
      <c r="B698" s="168"/>
      <c r="C698" s="168"/>
      <c r="E698" s="214"/>
      <c r="F698" s="215"/>
      <c r="G698" s="216"/>
      <c r="H698" s="216"/>
      <c r="I698" s="216"/>
      <c r="J698" s="216"/>
      <c r="K698" s="214"/>
      <c r="L698" s="215"/>
      <c r="M698" s="214"/>
      <c r="N698" s="215"/>
      <c r="O698" s="216"/>
      <c r="P698" s="214"/>
      <c r="Q698" s="215"/>
      <c r="R698" s="216"/>
      <c r="S698" s="216"/>
      <c r="T698" s="216"/>
      <c r="U698" s="214"/>
      <c r="V698" s="215"/>
      <c r="W698" s="214"/>
      <c r="X698" s="215"/>
      <c r="Y698" s="214"/>
      <c r="Z698" s="215"/>
      <c r="AA698" s="171"/>
      <c r="AB698" s="171"/>
      <c r="AC698" s="214"/>
      <c r="AD698" s="10"/>
      <c r="AE698" s="10"/>
      <c r="AF698" s="214"/>
      <c r="AG698" s="215"/>
    </row>
    <row r="699" spans="1:33" ht="12.75" customHeight="1" x14ac:dyDescent="0.25">
      <c r="A699" s="168"/>
      <c r="B699" s="168"/>
      <c r="C699" s="168"/>
      <c r="E699" s="214"/>
      <c r="F699" s="215"/>
      <c r="G699" s="216"/>
      <c r="H699" s="216"/>
      <c r="I699" s="216"/>
      <c r="J699" s="216"/>
      <c r="K699" s="214"/>
      <c r="L699" s="215"/>
      <c r="M699" s="214"/>
      <c r="N699" s="215"/>
      <c r="O699" s="216"/>
      <c r="P699" s="214"/>
      <c r="Q699" s="215"/>
      <c r="R699" s="216"/>
      <c r="S699" s="216"/>
      <c r="T699" s="216"/>
      <c r="U699" s="214"/>
      <c r="V699" s="215"/>
      <c r="W699" s="214"/>
      <c r="X699" s="215"/>
      <c r="Y699" s="214"/>
      <c r="Z699" s="215"/>
      <c r="AA699" s="171"/>
      <c r="AB699" s="171"/>
      <c r="AC699" s="214"/>
      <c r="AD699" s="10"/>
      <c r="AE699" s="10"/>
      <c r="AF699" s="214"/>
      <c r="AG699" s="215"/>
    </row>
    <row r="700" spans="1:33" ht="12.75" customHeight="1" x14ac:dyDescent="0.25">
      <c r="A700" s="168"/>
      <c r="B700" s="168"/>
      <c r="C700" s="168"/>
      <c r="E700" s="214"/>
      <c r="F700" s="215"/>
      <c r="G700" s="216"/>
      <c r="H700" s="216"/>
      <c r="I700" s="216"/>
      <c r="J700" s="216"/>
      <c r="K700" s="214"/>
      <c r="L700" s="215"/>
      <c r="M700" s="214"/>
      <c r="N700" s="215"/>
      <c r="O700" s="216"/>
      <c r="P700" s="214"/>
      <c r="Q700" s="215"/>
      <c r="R700" s="216"/>
      <c r="S700" s="216"/>
      <c r="T700" s="216"/>
      <c r="U700" s="214"/>
      <c r="V700" s="215"/>
      <c r="W700" s="214"/>
      <c r="X700" s="215"/>
      <c r="Y700" s="214"/>
      <c r="Z700" s="215"/>
      <c r="AA700" s="171"/>
      <c r="AB700" s="171"/>
      <c r="AC700" s="214"/>
      <c r="AD700" s="10"/>
      <c r="AE700" s="10"/>
      <c r="AF700" s="214"/>
      <c r="AG700" s="215"/>
    </row>
    <row r="701" spans="1:33" ht="12.75" customHeight="1" x14ac:dyDescent="0.25">
      <c r="A701" s="168"/>
      <c r="B701" s="168"/>
      <c r="C701" s="168"/>
      <c r="E701" s="214"/>
      <c r="F701" s="215"/>
      <c r="G701" s="216"/>
      <c r="H701" s="216"/>
      <c r="I701" s="216"/>
      <c r="J701" s="216"/>
      <c r="K701" s="214"/>
      <c r="L701" s="215"/>
      <c r="M701" s="214"/>
      <c r="N701" s="215"/>
      <c r="O701" s="216"/>
      <c r="P701" s="214"/>
      <c r="Q701" s="215"/>
      <c r="R701" s="216"/>
      <c r="S701" s="216"/>
      <c r="T701" s="216"/>
      <c r="U701" s="214"/>
      <c r="V701" s="215"/>
      <c r="W701" s="214"/>
      <c r="X701" s="215"/>
      <c r="Y701" s="214"/>
      <c r="Z701" s="215"/>
      <c r="AA701" s="171"/>
      <c r="AB701" s="171"/>
      <c r="AC701" s="214"/>
      <c r="AD701" s="10"/>
      <c r="AE701" s="10"/>
      <c r="AF701" s="214"/>
      <c r="AG701" s="215"/>
    </row>
    <row r="702" spans="1:33" ht="12.75" customHeight="1" x14ac:dyDescent="0.25">
      <c r="A702" s="168"/>
      <c r="B702" s="168"/>
      <c r="C702" s="168"/>
      <c r="E702" s="214"/>
      <c r="F702" s="215"/>
      <c r="G702" s="216"/>
      <c r="H702" s="216"/>
      <c r="I702" s="216"/>
      <c r="J702" s="216"/>
      <c r="K702" s="214"/>
      <c r="L702" s="215"/>
      <c r="M702" s="214"/>
      <c r="N702" s="215"/>
      <c r="O702" s="216"/>
      <c r="P702" s="214"/>
      <c r="Q702" s="215"/>
      <c r="R702" s="216"/>
      <c r="S702" s="216"/>
      <c r="T702" s="216"/>
      <c r="U702" s="214"/>
      <c r="V702" s="215"/>
      <c r="W702" s="214"/>
      <c r="X702" s="215"/>
      <c r="Y702" s="214"/>
      <c r="Z702" s="215"/>
      <c r="AA702" s="171"/>
      <c r="AB702" s="171"/>
      <c r="AC702" s="214"/>
      <c r="AD702" s="10"/>
      <c r="AE702" s="10"/>
      <c r="AF702" s="214"/>
      <c r="AG702" s="215"/>
    </row>
    <row r="703" spans="1:33" ht="12.75" customHeight="1" x14ac:dyDescent="0.25">
      <c r="A703" s="168"/>
      <c r="B703" s="168"/>
      <c r="C703" s="168"/>
      <c r="E703" s="214"/>
      <c r="F703" s="215"/>
      <c r="G703" s="216"/>
      <c r="H703" s="216"/>
      <c r="I703" s="216"/>
      <c r="J703" s="216"/>
      <c r="K703" s="214"/>
      <c r="L703" s="215"/>
      <c r="M703" s="214"/>
      <c r="N703" s="215"/>
      <c r="O703" s="216"/>
      <c r="P703" s="214"/>
      <c r="Q703" s="215"/>
      <c r="R703" s="216"/>
      <c r="S703" s="216"/>
      <c r="T703" s="216"/>
      <c r="U703" s="214"/>
      <c r="V703" s="215"/>
      <c r="W703" s="214"/>
      <c r="X703" s="215"/>
      <c r="Y703" s="214"/>
      <c r="Z703" s="215"/>
      <c r="AA703" s="171"/>
      <c r="AB703" s="171"/>
      <c r="AC703" s="214"/>
      <c r="AD703" s="10"/>
      <c r="AE703" s="10"/>
      <c r="AF703" s="214"/>
      <c r="AG703" s="215"/>
    </row>
    <row r="704" spans="1:33" ht="12.75" customHeight="1" x14ac:dyDescent="0.25">
      <c r="A704" s="168"/>
      <c r="B704" s="168"/>
      <c r="C704" s="168"/>
      <c r="E704" s="214"/>
      <c r="F704" s="215"/>
      <c r="G704" s="216"/>
      <c r="H704" s="216"/>
      <c r="I704" s="216"/>
      <c r="J704" s="216"/>
      <c r="K704" s="214"/>
      <c r="L704" s="215"/>
      <c r="M704" s="214"/>
      <c r="N704" s="215"/>
      <c r="O704" s="216"/>
      <c r="P704" s="214"/>
      <c r="Q704" s="215"/>
      <c r="R704" s="216"/>
      <c r="S704" s="216"/>
      <c r="T704" s="216"/>
      <c r="U704" s="214"/>
      <c r="V704" s="215"/>
      <c r="W704" s="214"/>
      <c r="X704" s="215"/>
      <c r="Y704" s="214"/>
      <c r="Z704" s="215"/>
      <c r="AA704" s="171"/>
      <c r="AB704" s="171"/>
      <c r="AC704" s="214"/>
      <c r="AD704" s="10"/>
      <c r="AE704" s="10"/>
      <c r="AF704" s="214"/>
      <c r="AG704" s="215"/>
    </row>
    <row r="705" spans="1:33" ht="12.75" customHeight="1" x14ac:dyDescent="0.25">
      <c r="A705" s="168"/>
      <c r="B705" s="168"/>
      <c r="C705" s="168"/>
      <c r="E705" s="214"/>
      <c r="F705" s="215"/>
      <c r="G705" s="216"/>
      <c r="H705" s="216"/>
      <c r="I705" s="216"/>
      <c r="J705" s="216"/>
      <c r="K705" s="214"/>
      <c r="L705" s="215"/>
      <c r="M705" s="214"/>
      <c r="N705" s="215"/>
      <c r="O705" s="216"/>
      <c r="P705" s="214"/>
      <c r="Q705" s="215"/>
      <c r="R705" s="216"/>
      <c r="S705" s="216"/>
      <c r="T705" s="216"/>
      <c r="U705" s="214"/>
      <c r="V705" s="215"/>
      <c r="W705" s="214"/>
      <c r="X705" s="215"/>
      <c r="Y705" s="214"/>
      <c r="Z705" s="215"/>
      <c r="AA705" s="171"/>
      <c r="AB705" s="171"/>
      <c r="AC705" s="214"/>
      <c r="AD705" s="10"/>
      <c r="AE705" s="10"/>
      <c r="AF705" s="214"/>
      <c r="AG705" s="215"/>
    </row>
    <row r="706" spans="1:33" ht="12.75" customHeight="1" x14ac:dyDescent="0.25">
      <c r="A706" s="168"/>
      <c r="B706" s="168"/>
      <c r="C706" s="168"/>
      <c r="E706" s="214"/>
      <c r="F706" s="215"/>
      <c r="G706" s="216"/>
      <c r="H706" s="216"/>
      <c r="I706" s="216"/>
      <c r="J706" s="216"/>
      <c r="K706" s="214"/>
      <c r="L706" s="215"/>
      <c r="M706" s="214"/>
      <c r="N706" s="215"/>
      <c r="O706" s="216"/>
      <c r="P706" s="214"/>
      <c r="Q706" s="215"/>
      <c r="R706" s="216"/>
      <c r="S706" s="216"/>
      <c r="T706" s="216"/>
      <c r="U706" s="214"/>
      <c r="V706" s="215"/>
      <c r="W706" s="214"/>
      <c r="X706" s="215"/>
      <c r="Y706" s="214"/>
      <c r="Z706" s="215"/>
      <c r="AA706" s="171"/>
      <c r="AB706" s="171"/>
      <c r="AC706" s="214"/>
      <c r="AD706" s="10"/>
      <c r="AE706" s="10"/>
      <c r="AF706" s="214"/>
      <c r="AG706" s="215"/>
    </row>
    <row r="707" spans="1:33" ht="12.75" customHeight="1" x14ac:dyDescent="0.25">
      <c r="A707" s="168"/>
      <c r="B707" s="168"/>
      <c r="C707" s="168"/>
      <c r="E707" s="214"/>
      <c r="F707" s="215"/>
      <c r="G707" s="216"/>
      <c r="H707" s="216"/>
      <c r="I707" s="216"/>
      <c r="J707" s="216"/>
      <c r="K707" s="214"/>
      <c r="L707" s="215"/>
      <c r="M707" s="214"/>
      <c r="N707" s="215"/>
      <c r="O707" s="216"/>
      <c r="P707" s="214"/>
      <c r="Q707" s="215"/>
      <c r="R707" s="216"/>
      <c r="S707" s="216"/>
      <c r="T707" s="216"/>
      <c r="U707" s="214"/>
      <c r="V707" s="215"/>
      <c r="W707" s="214"/>
      <c r="X707" s="215"/>
      <c r="Y707" s="214"/>
      <c r="Z707" s="215"/>
      <c r="AA707" s="171"/>
      <c r="AB707" s="171"/>
      <c r="AC707" s="214"/>
      <c r="AD707" s="10"/>
      <c r="AE707" s="10"/>
      <c r="AF707" s="214"/>
      <c r="AG707" s="215"/>
    </row>
    <row r="708" spans="1:33" ht="12.75" customHeight="1" x14ac:dyDescent="0.25">
      <c r="A708" s="168"/>
      <c r="B708" s="168"/>
      <c r="C708" s="168"/>
      <c r="E708" s="214"/>
      <c r="F708" s="215"/>
      <c r="G708" s="216"/>
      <c r="H708" s="216"/>
      <c r="I708" s="216"/>
      <c r="J708" s="216"/>
      <c r="K708" s="214"/>
      <c r="L708" s="215"/>
      <c r="M708" s="214"/>
      <c r="N708" s="215"/>
      <c r="O708" s="216"/>
      <c r="P708" s="214"/>
      <c r="Q708" s="215"/>
      <c r="R708" s="216"/>
      <c r="S708" s="216"/>
      <c r="T708" s="216"/>
      <c r="U708" s="214"/>
      <c r="V708" s="215"/>
      <c r="W708" s="214"/>
      <c r="X708" s="215"/>
      <c r="Y708" s="214"/>
      <c r="Z708" s="215"/>
      <c r="AA708" s="171"/>
      <c r="AB708" s="171"/>
      <c r="AC708" s="214"/>
      <c r="AD708" s="10"/>
      <c r="AE708" s="10"/>
      <c r="AF708" s="214"/>
      <c r="AG708" s="215"/>
    </row>
    <row r="709" spans="1:33" ht="12.75" customHeight="1" x14ac:dyDescent="0.25">
      <c r="A709" s="168"/>
      <c r="B709" s="168"/>
      <c r="C709" s="168"/>
      <c r="E709" s="214"/>
      <c r="F709" s="215"/>
      <c r="G709" s="216"/>
      <c r="H709" s="216"/>
      <c r="I709" s="216"/>
      <c r="J709" s="216"/>
      <c r="K709" s="214"/>
      <c r="L709" s="215"/>
      <c r="M709" s="214"/>
      <c r="N709" s="215"/>
      <c r="O709" s="216"/>
      <c r="P709" s="214"/>
      <c r="Q709" s="215"/>
      <c r="R709" s="216"/>
      <c r="S709" s="216"/>
      <c r="T709" s="216"/>
      <c r="U709" s="214"/>
      <c r="V709" s="215"/>
      <c r="W709" s="214"/>
      <c r="X709" s="215"/>
      <c r="Y709" s="214"/>
      <c r="Z709" s="215"/>
      <c r="AA709" s="171"/>
      <c r="AB709" s="171"/>
      <c r="AC709" s="214"/>
      <c r="AD709" s="10"/>
      <c r="AE709" s="10"/>
      <c r="AF709" s="214"/>
      <c r="AG709" s="215"/>
    </row>
    <row r="710" spans="1:33" ht="12.75" customHeight="1" x14ac:dyDescent="0.25">
      <c r="A710" s="168"/>
      <c r="B710" s="168"/>
      <c r="C710" s="168"/>
      <c r="E710" s="214"/>
      <c r="F710" s="215"/>
      <c r="G710" s="216"/>
      <c r="H710" s="216"/>
      <c r="I710" s="216"/>
      <c r="J710" s="216"/>
      <c r="K710" s="214"/>
      <c r="L710" s="215"/>
      <c r="M710" s="214"/>
      <c r="N710" s="215"/>
      <c r="O710" s="216"/>
      <c r="P710" s="214"/>
      <c r="Q710" s="215"/>
      <c r="R710" s="216"/>
      <c r="S710" s="216"/>
      <c r="T710" s="216"/>
      <c r="U710" s="214"/>
      <c r="V710" s="215"/>
      <c r="W710" s="214"/>
      <c r="X710" s="215"/>
      <c r="Y710" s="214"/>
      <c r="Z710" s="215"/>
      <c r="AA710" s="171"/>
      <c r="AB710" s="171"/>
      <c r="AC710" s="214"/>
      <c r="AD710" s="10"/>
      <c r="AE710" s="10"/>
      <c r="AF710" s="214"/>
      <c r="AG710" s="215"/>
    </row>
    <row r="711" spans="1:33" ht="12.75" customHeight="1" x14ac:dyDescent="0.25">
      <c r="A711" s="168"/>
      <c r="B711" s="168"/>
      <c r="C711" s="168"/>
      <c r="E711" s="214"/>
      <c r="F711" s="215"/>
      <c r="G711" s="216"/>
      <c r="H711" s="216"/>
      <c r="I711" s="216"/>
      <c r="J711" s="216"/>
      <c r="K711" s="214"/>
      <c r="L711" s="215"/>
      <c r="M711" s="214"/>
      <c r="N711" s="215"/>
      <c r="O711" s="216"/>
      <c r="P711" s="214"/>
      <c r="Q711" s="215"/>
      <c r="R711" s="216"/>
      <c r="S711" s="216"/>
      <c r="T711" s="216"/>
      <c r="U711" s="214"/>
      <c r="V711" s="215"/>
      <c r="W711" s="214"/>
      <c r="X711" s="215"/>
      <c r="Y711" s="214"/>
      <c r="Z711" s="215"/>
      <c r="AA711" s="171"/>
      <c r="AB711" s="171"/>
      <c r="AC711" s="214"/>
      <c r="AD711" s="10"/>
      <c r="AE711" s="10"/>
      <c r="AF711" s="214"/>
      <c r="AG711" s="215"/>
    </row>
    <row r="712" spans="1:33" ht="12.75" customHeight="1" x14ac:dyDescent="0.25">
      <c r="A712" s="168"/>
      <c r="B712" s="168"/>
      <c r="C712" s="168"/>
      <c r="E712" s="214"/>
      <c r="F712" s="215"/>
      <c r="G712" s="216"/>
      <c r="H712" s="216"/>
      <c r="I712" s="216"/>
      <c r="J712" s="216"/>
      <c r="K712" s="214"/>
      <c r="L712" s="215"/>
      <c r="M712" s="214"/>
      <c r="N712" s="215"/>
      <c r="O712" s="216"/>
      <c r="P712" s="214"/>
      <c r="Q712" s="215"/>
      <c r="R712" s="216"/>
      <c r="S712" s="216"/>
      <c r="T712" s="216"/>
      <c r="U712" s="214"/>
      <c r="V712" s="215"/>
      <c r="W712" s="214"/>
      <c r="X712" s="215"/>
      <c r="Y712" s="214"/>
      <c r="Z712" s="215"/>
      <c r="AA712" s="171"/>
      <c r="AB712" s="171"/>
      <c r="AC712" s="214"/>
      <c r="AD712" s="10"/>
      <c r="AE712" s="10"/>
      <c r="AF712" s="214"/>
      <c r="AG712" s="215"/>
    </row>
    <row r="713" spans="1:33" ht="12.75" customHeight="1" x14ac:dyDescent="0.25">
      <c r="A713" s="168"/>
      <c r="B713" s="168"/>
      <c r="C713" s="168"/>
      <c r="E713" s="214"/>
      <c r="F713" s="215"/>
      <c r="G713" s="216"/>
      <c r="H713" s="216"/>
      <c r="I713" s="216"/>
      <c r="J713" s="216"/>
      <c r="K713" s="214"/>
      <c r="L713" s="215"/>
      <c r="M713" s="214"/>
      <c r="N713" s="215"/>
      <c r="O713" s="216"/>
      <c r="P713" s="214"/>
      <c r="Q713" s="215"/>
      <c r="R713" s="216"/>
      <c r="S713" s="216"/>
      <c r="T713" s="216"/>
      <c r="U713" s="214"/>
      <c r="V713" s="215"/>
      <c r="W713" s="214"/>
      <c r="X713" s="215"/>
      <c r="Y713" s="214"/>
      <c r="Z713" s="215"/>
      <c r="AA713" s="171"/>
      <c r="AB713" s="171"/>
      <c r="AC713" s="214"/>
      <c r="AD713" s="10"/>
      <c r="AE713" s="10"/>
      <c r="AF713" s="214"/>
      <c r="AG713" s="215"/>
    </row>
    <row r="714" spans="1:33" ht="12.75" customHeight="1" x14ac:dyDescent="0.25">
      <c r="A714" s="168"/>
      <c r="B714" s="168"/>
      <c r="C714" s="168"/>
      <c r="E714" s="214"/>
      <c r="F714" s="215"/>
      <c r="G714" s="216"/>
      <c r="H714" s="216"/>
      <c r="I714" s="216"/>
      <c r="J714" s="216"/>
      <c r="K714" s="214"/>
      <c r="L714" s="215"/>
      <c r="M714" s="214"/>
      <c r="N714" s="215"/>
      <c r="O714" s="216"/>
      <c r="P714" s="214"/>
      <c r="Q714" s="215"/>
      <c r="R714" s="216"/>
      <c r="S714" s="216"/>
      <c r="T714" s="216"/>
      <c r="U714" s="214"/>
      <c r="V714" s="215"/>
      <c r="W714" s="214"/>
      <c r="X714" s="215"/>
      <c r="Y714" s="214"/>
      <c r="Z714" s="215"/>
      <c r="AA714" s="171"/>
      <c r="AB714" s="171"/>
      <c r="AC714" s="214"/>
      <c r="AD714" s="10"/>
      <c r="AE714" s="10"/>
      <c r="AF714" s="214"/>
      <c r="AG714" s="215"/>
    </row>
    <row r="715" spans="1:33" ht="12.75" customHeight="1" x14ac:dyDescent="0.25">
      <c r="A715" s="168"/>
      <c r="B715" s="168"/>
      <c r="C715" s="168"/>
      <c r="E715" s="214"/>
      <c r="F715" s="215"/>
      <c r="G715" s="216"/>
      <c r="H715" s="216"/>
      <c r="I715" s="216"/>
      <c r="J715" s="216"/>
      <c r="K715" s="214"/>
      <c r="L715" s="215"/>
      <c r="M715" s="214"/>
      <c r="N715" s="215"/>
      <c r="O715" s="216"/>
      <c r="P715" s="214"/>
      <c r="Q715" s="215"/>
      <c r="R715" s="216"/>
      <c r="S715" s="216"/>
      <c r="T715" s="216"/>
      <c r="U715" s="214"/>
      <c r="V715" s="215"/>
      <c r="W715" s="214"/>
      <c r="X715" s="215"/>
      <c r="Y715" s="214"/>
      <c r="Z715" s="215"/>
      <c r="AA715" s="171"/>
      <c r="AB715" s="171"/>
      <c r="AC715" s="214"/>
      <c r="AD715" s="10"/>
      <c r="AE715" s="10"/>
      <c r="AF715" s="214"/>
      <c r="AG715" s="215"/>
    </row>
    <row r="716" spans="1:33" ht="12.75" customHeight="1" x14ac:dyDescent="0.25">
      <c r="A716" s="168"/>
      <c r="B716" s="168"/>
      <c r="C716" s="168"/>
      <c r="E716" s="214"/>
      <c r="F716" s="215"/>
      <c r="G716" s="216"/>
      <c r="H716" s="216"/>
      <c r="I716" s="216"/>
      <c r="J716" s="216"/>
      <c r="K716" s="214"/>
      <c r="L716" s="215"/>
      <c r="M716" s="214"/>
      <c r="N716" s="215"/>
      <c r="O716" s="216"/>
      <c r="P716" s="214"/>
      <c r="Q716" s="215"/>
      <c r="R716" s="216"/>
      <c r="S716" s="216"/>
      <c r="T716" s="216"/>
      <c r="U716" s="214"/>
      <c r="V716" s="215"/>
      <c r="W716" s="214"/>
      <c r="X716" s="215"/>
      <c r="Y716" s="214"/>
      <c r="Z716" s="215"/>
      <c r="AA716" s="171"/>
      <c r="AB716" s="171"/>
      <c r="AC716" s="214"/>
      <c r="AD716" s="10"/>
      <c r="AE716" s="10"/>
      <c r="AF716" s="214"/>
      <c r="AG716" s="215"/>
    </row>
    <row r="717" spans="1:33" ht="12.75" customHeight="1" x14ac:dyDescent="0.25">
      <c r="A717" s="168"/>
      <c r="B717" s="168"/>
      <c r="C717" s="168"/>
      <c r="E717" s="214"/>
      <c r="F717" s="215"/>
      <c r="G717" s="216"/>
      <c r="H717" s="216"/>
      <c r="I717" s="216"/>
      <c r="J717" s="216"/>
      <c r="K717" s="214"/>
      <c r="L717" s="215"/>
      <c r="M717" s="214"/>
      <c r="N717" s="215"/>
      <c r="O717" s="216"/>
      <c r="P717" s="214"/>
      <c r="Q717" s="215"/>
      <c r="R717" s="216"/>
      <c r="S717" s="216"/>
      <c r="T717" s="216"/>
      <c r="U717" s="214"/>
      <c r="V717" s="215"/>
      <c r="W717" s="214"/>
      <c r="X717" s="215"/>
      <c r="Y717" s="214"/>
      <c r="Z717" s="215"/>
      <c r="AA717" s="171"/>
      <c r="AB717" s="171"/>
      <c r="AC717" s="214"/>
      <c r="AD717" s="10"/>
      <c r="AE717" s="10"/>
      <c r="AF717" s="214"/>
      <c r="AG717" s="215"/>
    </row>
    <row r="718" spans="1:33" ht="12.75" customHeight="1" x14ac:dyDescent="0.25">
      <c r="A718" s="168"/>
      <c r="B718" s="168"/>
      <c r="C718" s="168"/>
      <c r="E718" s="214"/>
      <c r="F718" s="215"/>
      <c r="G718" s="216"/>
      <c r="H718" s="216"/>
      <c r="I718" s="216"/>
      <c r="J718" s="216"/>
      <c r="K718" s="214"/>
      <c r="L718" s="215"/>
      <c r="M718" s="214"/>
      <c r="N718" s="215"/>
      <c r="O718" s="216"/>
      <c r="P718" s="214"/>
      <c r="Q718" s="215"/>
      <c r="R718" s="216"/>
      <c r="S718" s="216"/>
      <c r="T718" s="216"/>
      <c r="U718" s="214"/>
      <c r="V718" s="215"/>
      <c r="W718" s="214"/>
      <c r="X718" s="215"/>
      <c r="Y718" s="214"/>
      <c r="Z718" s="215"/>
      <c r="AA718" s="171"/>
      <c r="AB718" s="171"/>
      <c r="AC718" s="214"/>
      <c r="AD718" s="10"/>
      <c r="AE718" s="10"/>
      <c r="AF718" s="214"/>
      <c r="AG718" s="215"/>
    </row>
    <row r="719" spans="1:33" ht="12.75" customHeight="1" x14ac:dyDescent="0.25">
      <c r="A719" s="168"/>
      <c r="B719" s="168"/>
      <c r="C719" s="168"/>
      <c r="E719" s="214"/>
      <c r="F719" s="215"/>
      <c r="G719" s="216"/>
      <c r="H719" s="216"/>
      <c r="I719" s="216"/>
      <c r="J719" s="216"/>
      <c r="K719" s="214"/>
      <c r="L719" s="215"/>
      <c r="M719" s="214"/>
      <c r="N719" s="215"/>
      <c r="O719" s="216"/>
      <c r="P719" s="214"/>
      <c r="Q719" s="215"/>
      <c r="R719" s="216"/>
      <c r="S719" s="216"/>
      <c r="T719" s="216"/>
      <c r="U719" s="214"/>
      <c r="V719" s="215"/>
      <c r="W719" s="214"/>
      <c r="X719" s="215"/>
      <c r="Y719" s="214"/>
      <c r="Z719" s="215"/>
      <c r="AA719" s="171"/>
      <c r="AB719" s="171"/>
      <c r="AC719" s="214"/>
      <c r="AD719" s="10"/>
      <c r="AE719" s="10"/>
      <c r="AF719" s="214"/>
      <c r="AG719" s="215"/>
    </row>
    <row r="720" spans="1:33" ht="12.75" customHeight="1" x14ac:dyDescent="0.25">
      <c r="A720" s="168"/>
      <c r="B720" s="168"/>
      <c r="C720" s="168"/>
      <c r="E720" s="214"/>
      <c r="F720" s="215"/>
      <c r="G720" s="216"/>
      <c r="H720" s="216"/>
      <c r="I720" s="216"/>
      <c r="J720" s="216"/>
      <c r="K720" s="214"/>
      <c r="L720" s="215"/>
      <c r="M720" s="214"/>
      <c r="N720" s="215"/>
      <c r="O720" s="216"/>
      <c r="P720" s="214"/>
      <c r="Q720" s="215"/>
      <c r="R720" s="216"/>
      <c r="S720" s="216"/>
      <c r="T720" s="216"/>
      <c r="U720" s="214"/>
      <c r="V720" s="215"/>
      <c r="W720" s="214"/>
      <c r="X720" s="215"/>
      <c r="Y720" s="214"/>
      <c r="Z720" s="215"/>
      <c r="AA720" s="171"/>
      <c r="AB720" s="171"/>
      <c r="AC720" s="214"/>
      <c r="AD720" s="10"/>
      <c r="AE720" s="10"/>
      <c r="AF720" s="214"/>
      <c r="AG720" s="215"/>
    </row>
    <row r="721" spans="1:33" ht="12.75" customHeight="1" x14ac:dyDescent="0.25">
      <c r="A721" s="168"/>
      <c r="B721" s="168"/>
      <c r="C721" s="168"/>
      <c r="E721" s="214"/>
      <c r="F721" s="215"/>
      <c r="G721" s="216"/>
      <c r="H721" s="216"/>
      <c r="I721" s="216"/>
      <c r="J721" s="216"/>
      <c r="K721" s="214"/>
      <c r="L721" s="215"/>
      <c r="M721" s="214"/>
      <c r="N721" s="215"/>
      <c r="O721" s="216"/>
      <c r="P721" s="214"/>
      <c r="Q721" s="215"/>
      <c r="R721" s="216"/>
      <c r="S721" s="216"/>
      <c r="T721" s="216"/>
      <c r="U721" s="214"/>
      <c r="V721" s="215"/>
      <c r="W721" s="214"/>
      <c r="X721" s="215"/>
      <c r="Y721" s="214"/>
      <c r="Z721" s="215"/>
      <c r="AA721" s="171"/>
      <c r="AB721" s="171"/>
      <c r="AC721" s="214"/>
      <c r="AD721" s="10"/>
      <c r="AE721" s="10"/>
      <c r="AF721" s="214"/>
      <c r="AG721" s="215"/>
    </row>
    <row r="722" spans="1:33" ht="12.75" customHeight="1" x14ac:dyDescent="0.25">
      <c r="A722" s="168"/>
      <c r="B722" s="168"/>
      <c r="C722" s="168"/>
      <c r="E722" s="214"/>
      <c r="F722" s="215"/>
      <c r="G722" s="216"/>
      <c r="H722" s="216"/>
      <c r="I722" s="216"/>
      <c r="J722" s="216"/>
      <c r="K722" s="214"/>
      <c r="L722" s="215"/>
      <c r="M722" s="214"/>
      <c r="N722" s="215"/>
      <c r="O722" s="216"/>
      <c r="P722" s="214"/>
      <c r="Q722" s="215"/>
      <c r="R722" s="216"/>
      <c r="S722" s="216"/>
      <c r="T722" s="216"/>
      <c r="U722" s="214"/>
      <c r="V722" s="215"/>
      <c r="W722" s="214"/>
      <c r="X722" s="215"/>
      <c r="Y722" s="214"/>
      <c r="Z722" s="215"/>
      <c r="AA722" s="171"/>
      <c r="AB722" s="171"/>
      <c r="AC722" s="214"/>
      <c r="AD722" s="10"/>
      <c r="AE722" s="10"/>
      <c r="AF722" s="214"/>
      <c r="AG722" s="215"/>
    </row>
    <row r="723" spans="1:33" ht="12.75" customHeight="1" x14ac:dyDescent="0.25">
      <c r="A723" s="168"/>
      <c r="B723" s="168"/>
      <c r="C723" s="168"/>
      <c r="E723" s="214"/>
      <c r="F723" s="215"/>
      <c r="G723" s="216"/>
      <c r="H723" s="216"/>
      <c r="I723" s="216"/>
      <c r="J723" s="216"/>
      <c r="K723" s="214"/>
      <c r="L723" s="215"/>
      <c r="M723" s="214"/>
      <c r="N723" s="215"/>
      <c r="O723" s="216"/>
      <c r="P723" s="214"/>
      <c r="Q723" s="215"/>
      <c r="R723" s="216"/>
      <c r="S723" s="216"/>
      <c r="T723" s="216"/>
      <c r="U723" s="214"/>
      <c r="V723" s="215"/>
      <c r="W723" s="214"/>
      <c r="X723" s="215"/>
      <c r="Y723" s="214"/>
      <c r="Z723" s="215"/>
      <c r="AA723" s="171"/>
      <c r="AB723" s="171"/>
      <c r="AC723" s="214"/>
      <c r="AD723" s="10"/>
      <c r="AE723" s="10"/>
      <c r="AF723" s="214"/>
      <c r="AG723" s="215"/>
    </row>
    <row r="724" spans="1:33" ht="12.75" customHeight="1" x14ac:dyDescent="0.25">
      <c r="A724" s="168"/>
      <c r="B724" s="168"/>
      <c r="C724" s="168"/>
      <c r="E724" s="214"/>
      <c r="F724" s="215"/>
      <c r="G724" s="216"/>
      <c r="H724" s="216"/>
      <c r="I724" s="216"/>
      <c r="J724" s="216"/>
      <c r="K724" s="214"/>
      <c r="L724" s="215"/>
      <c r="M724" s="214"/>
      <c r="N724" s="215"/>
      <c r="O724" s="216"/>
      <c r="P724" s="214"/>
      <c r="Q724" s="215"/>
      <c r="R724" s="216"/>
      <c r="S724" s="216"/>
      <c r="T724" s="216"/>
      <c r="U724" s="214"/>
      <c r="V724" s="215"/>
      <c r="W724" s="214"/>
      <c r="X724" s="215"/>
      <c r="Y724" s="214"/>
      <c r="Z724" s="215"/>
      <c r="AA724" s="171"/>
      <c r="AB724" s="171"/>
      <c r="AC724" s="214"/>
      <c r="AD724" s="10"/>
      <c r="AE724" s="10"/>
      <c r="AF724" s="214"/>
      <c r="AG724" s="215"/>
    </row>
    <row r="725" spans="1:33" ht="12.75" customHeight="1" x14ac:dyDescent="0.25">
      <c r="A725" s="168"/>
      <c r="B725" s="168"/>
      <c r="C725" s="168"/>
      <c r="E725" s="214"/>
      <c r="F725" s="215"/>
      <c r="G725" s="216"/>
      <c r="H725" s="216"/>
      <c r="I725" s="216"/>
      <c r="J725" s="216"/>
      <c r="K725" s="214"/>
      <c r="L725" s="215"/>
      <c r="M725" s="214"/>
      <c r="N725" s="215"/>
      <c r="O725" s="216"/>
      <c r="P725" s="214"/>
      <c r="Q725" s="215"/>
      <c r="R725" s="216"/>
      <c r="S725" s="216"/>
      <c r="T725" s="216"/>
      <c r="U725" s="214"/>
      <c r="V725" s="215"/>
      <c r="W725" s="214"/>
      <c r="X725" s="215"/>
      <c r="Y725" s="214"/>
      <c r="Z725" s="215"/>
      <c r="AA725" s="171"/>
      <c r="AB725" s="171"/>
      <c r="AC725" s="214"/>
      <c r="AD725" s="10"/>
      <c r="AE725" s="10"/>
      <c r="AF725" s="214"/>
      <c r="AG725" s="215"/>
    </row>
    <row r="726" spans="1:33" ht="12.75" customHeight="1" x14ac:dyDescent="0.25">
      <c r="A726" s="168"/>
      <c r="B726" s="168"/>
      <c r="C726" s="168"/>
      <c r="E726" s="214"/>
      <c r="F726" s="215"/>
      <c r="G726" s="216"/>
      <c r="H726" s="216"/>
      <c r="I726" s="216"/>
      <c r="J726" s="216"/>
      <c r="K726" s="214"/>
      <c r="L726" s="215"/>
      <c r="M726" s="214"/>
      <c r="N726" s="215"/>
      <c r="O726" s="216"/>
      <c r="P726" s="214"/>
      <c r="Q726" s="215"/>
      <c r="R726" s="216"/>
      <c r="S726" s="216"/>
      <c r="T726" s="216"/>
      <c r="U726" s="214"/>
      <c r="V726" s="215"/>
      <c r="W726" s="214"/>
      <c r="X726" s="215"/>
      <c r="Y726" s="214"/>
      <c r="Z726" s="215"/>
      <c r="AA726" s="171"/>
      <c r="AB726" s="171"/>
      <c r="AC726" s="214"/>
      <c r="AD726" s="10"/>
      <c r="AE726" s="10"/>
      <c r="AF726" s="214"/>
      <c r="AG726" s="215"/>
    </row>
    <row r="727" spans="1:33" ht="12.75" customHeight="1" x14ac:dyDescent="0.25">
      <c r="A727" s="168"/>
      <c r="B727" s="168"/>
      <c r="C727" s="168"/>
      <c r="E727" s="214"/>
      <c r="F727" s="215"/>
      <c r="G727" s="216"/>
      <c r="H727" s="216"/>
      <c r="I727" s="216"/>
      <c r="J727" s="216"/>
      <c r="K727" s="214"/>
      <c r="L727" s="215"/>
      <c r="M727" s="214"/>
      <c r="N727" s="215"/>
      <c r="O727" s="216"/>
      <c r="P727" s="214"/>
      <c r="Q727" s="215"/>
      <c r="R727" s="216"/>
      <c r="S727" s="216"/>
      <c r="T727" s="216"/>
      <c r="U727" s="214"/>
      <c r="V727" s="215"/>
      <c r="W727" s="214"/>
      <c r="X727" s="215"/>
      <c r="Y727" s="214"/>
      <c r="Z727" s="215"/>
      <c r="AA727" s="171"/>
      <c r="AB727" s="171"/>
      <c r="AC727" s="214"/>
      <c r="AD727" s="10"/>
      <c r="AE727" s="10"/>
      <c r="AF727" s="214"/>
      <c r="AG727" s="215"/>
    </row>
    <row r="728" spans="1:33" ht="12.75" customHeight="1" x14ac:dyDescent="0.25">
      <c r="A728" s="168"/>
      <c r="B728" s="168"/>
      <c r="C728" s="168"/>
      <c r="E728" s="214"/>
      <c r="F728" s="215"/>
      <c r="G728" s="216"/>
      <c r="H728" s="216"/>
      <c r="I728" s="216"/>
      <c r="J728" s="216"/>
      <c r="K728" s="214"/>
      <c r="L728" s="215"/>
      <c r="M728" s="214"/>
      <c r="N728" s="215"/>
      <c r="O728" s="216"/>
      <c r="P728" s="214"/>
      <c r="Q728" s="215"/>
      <c r="R728" s="216"/>
      <c r="S728" s="216"/>
      <c r="T728" s="216"/>
      <c r="U728" s="214"/>
      <c r="V728" s="215"/>
      <c r="W728" s="214"/>
      <c r="X728" s="215"/>
      <c r="Y728" s="214"/>
      <c r="Z728" s="215"/>
      <c r="AA728" s="171"/>
      <c r="AB728" s="171"/>
      <c r="AC728" s="214"/>
      <c r="AD728" s="10"/>
      <c r="AE728" s="10"/>
      <c r="AF728" s="214"/>
      <c r="AG728" s="215"/>
    </row>
    <row r="729" spans="1:33" ht="12.75" customHeight="1" x14ac:dyDescent="0.25">
      <c r="A729" s="168"/>
      <c r="B729" s="168"/>
      <c r="C729" s="168"/>
      <c r="E729" s="214"/>
      <c r="F729" s="215"/>
      <c r="G729" s="216"/>
      <c r="H729" s="216"/>
      <c r="I729" s="216"/>
      <c r="J729" s="216"/>
      <c r="K729" s="214"/>
      <c r="L729" s="215"/>
      <c r="M729" s="214"/>
      <c r="N729" s="215"/>
      <c r="O729" s="216"/>
      <c r="P729" s="214"/>
      <c r="Q729" s="215"/>
      <c r="R729" s="216"/>
      <c r="S729" s="216"/>
      <c r="T729" s="216"/>
      <c r="U729" s="214"/>
      <c r="V729" s="215"/>
      <c r="W729" s="214"/>
      <c r="X729" s="215"/>
      <c r="Y729" s="214"/>
      <c r="Z729" s="215"/>
      <c r="AA729" s="171"/>
      <c r="AB729" s="171"/>
      <c r="AC729" s="214"/>
      <c r="AD729" s="10"/>
      <c r="AE729" s="10"/>
      <c r="AF729" s="214"/>
      <c r="AG729" s="215"/>
    </row>
    <row r="730" spans="1:33" ht="12.75" customHeight="1" x14ac:dyDescent="0.25">
      <c r="A730" s="168"/>
      <c r="B730" s="168"/>
      <c r="C730" s="168"/>
      <c r="E730" s="214"/>
      <c r="F730" s="215"/>
      <c r="G730" s="216"/>
      <c r="H730" s="216"/>
      <c r="I730" s="216"/>
      <c r="J730" s="216"/>
      <c r="K730" s="214"/>
      <c r="L730" s="215"/>
      <c r="M730" s="214"/>
      <c r="N730" s="215"/>
      <c r="O730" s="216"/>
      <c r="P730" s="214"/>
      <c r="Q730" s="215"/>
      <c r="R730" s="216"/>
      <c r="S730" s="216"/>
      <c r="T730" s="216"/>
      <c r="U730" s="214"/>
      <c r="V730" s="215"/>
      <c r="W730" s="214"/>
      <c r="X730" s="215"/>
      <c r="Y730" s="214"/>
      <c r="Z730" s="215"/>
      <c r="AA730" s="171"/>
      <c r="AB730" s="171"/>
      <c r="AC730" s="214"/>
      <c r="AD730" s="10"/>
      <c r="AE730" s="10"/>
      <c r="AF730" s="214"/>
      <c r="AG730" s="215"/>
    </row>
    <row r="731" spans="1:33" ht="12.75" customHeight="1" x14ac:dyDescent="0.25">
      <c r="A731" s="168"/>
      <c r="B731" s="168"/>
      <c r="C731" s="168"/>
      <c r="E731" s="214"/>
      <c r="F731" s="215"/>
      <c r="G731" s="216"/>
      <c r="H731" s="216"/>
      <c r="I731" s="216"/>
      <c r="J731" s="216"/>
      <c r="K731" s="214"/>
      <c r="L731" s="215"/>
      <c r="M731" s="214"/>
      <c r="N731" s="215"/>
      <c r="O731" s="216"/>
      <c r="P731" s="214"/>
      <c r="Q731" s="215"/>
      <c r="R731" s="216"/>
      <c r="S731" s="216"/>
      <c r="T731" s="216"/>
      <c r="U731" s="214"/>
      <c r="V731" s="215"/>
      <c r="W731" s="214"/>
      <c r="X731" s="215"/>
      <c r="Y731" s="214"/>
      <c r="Z731" s="215"/>
      <c r="AA731" s="171"/>
      <c r="AB731" s="171"/>
      <c r="AC731" s="214"/>
      <c r="AD731" s="10"/>
      <c r="AE731" s="10"/>
      <c r="AF731" s="214"/>
      <c r="AG731" s="215"/>
    </row>
    <row r="732" spans="1:33" ht="12.75" customHeight="1" x14ac:dyDescent="0.25">
      <c r="A732" s="168"/>
      <c r="B732" s="168"/>
      <c r="C732" s="168"/>
      <c r="E732" s="214"/>
      <c r="F732" s="215"/>
      <c r="G732" s="216"/>
      <c r="H732" s="216"/>
      <c r="I732" s="216"/>
      <c r="J732" s="216"/>
      <c r="K732" s="214"/>
      <c r="L732" s="215"/>
      <c r="M732" s="214"/>
      <c r="N732" s="215"/>
      <c r="O732" s="216"/>
      <c r="P732" s="214"/>
      <c r="Q732" s="215"/>
      <c r="R732" s="216"/>
      <c r="S732" s="216"/>
      <c r="T732" s="216"/>
      <c r="U732" s="214"/>
      <c r="V732" s="215"/>
      <c r="W732" s="214"/>
      <c r="X732" s="215"/>
      <c r="Y732" s="214"/>
      <c r="Z732" s="215"/>
      <c r="AA732" s="171"/>
      <c r="AB732" s="171"/>
      <c r="AC732" s="214"/>
      <c r="AD732" s="10"/>
      <c r="AE732" s="10"/>
      <c r="AF732" s="214"/>
      <c r="AG732" s="215"/>
    </row>
    <row r="733" spans="1:33" ht="12.75" customHeight="1" x14ac:dyDescent="0.25">
      <c r="A733" s="168"/>
      <c r="B733" s="168"/>
      <c r="C733" s="168"/>
      <c r="E733" s="214"/>
      <c r="F733" s="215"/>
      <c r="G733" s="216"/>
      <c r="H733" s="216"/>
      <c r="I733" s="216"/>
      <c r="J733" s="216"/>
      <c r="K733" s="214"/>
      <c r="L733" s="215"/>
      <c r="M733" s="214"/>
      <c r="N733" s="215"/>
      <c r="O733" s="216"/>
      <c r="P733" s="214"/>
      <c r="Q733" s="215"/>
      <c r="R733" s="216"/>
      <c r="S733" s="216"/>
      <c r="T733" s="216"/>
      <c r="U733" s="214"/>
      <c r="V733" s="215"/>
      <c r="W733" s="214"/>
      <c r="X733" s="215"/>
      <c r="Y733" s="214"/>
      <c r="Z733" s="215"/>
      <c r="AA733" s="171"/>
      <c r="AB733" s="171"/>
      <c r="AC733" s="214"/>
      <c r="AD733" s="10"/>
      <c r="AE733" s="10"/>
      <c r="AF733" s="214"/>
      <c r="AG733" s="215"/>
    </row>
    <row r="734" spans="1:33" ht="12.75" customHeight="1" x14ac:dyDescent="0.25">
      <c r="A734" s="168"/>
      <c r="B734" s="168"/>
      <c r="C734" s="168"/>
      <c r="E734" s="214"/>
      <c r="F734" s="215"/>
      <c r="G734" s="216"/>
      <c r="H734" s="216"/>
      <c r="I734" s="216"/>
      <c r="J734" s="216"/>
      <c r="K734" s="214"/>
      <c r="L734" s="215"/>
      <c r="M734" s="214"/>
      <c r="N734" s="215"/>
      <c r="O734" s="216"/>
      <c r="P734" s="214"/>
      <c r="Q734" s="215"/>
      <c r="R734" s="216"/>
      <c r="S734" s="216"/>
      <c r="T734" s="216"/>
      <c r="U734" s="214"/>
      <c r="V734" s="215"/>
      <c r="W734" s="214"/>
      <c r="X734" s="215"/>
      <c r="Y734" s="214"/>
      <c r="Z734" s="215"/>
      <c r="AA734" s="171"/>
      <c r="AB734" s="171"/>
      <c r="AC734" s="214"/>
      <c r="AD734" s="10"/>
      <c r="AE734" s="10"/>
      <c r="AF734" s="214"/>
      <c r="AG734" s="215"/>
    </row>
    <row r="735" spans="1:33" ht="12.75" customHeight="1" x14ac:dyDescent="0.25">
      <c r="A735" s="168"/>
      <c r="B735" s="168"/>
      <c r="C735" s="168"/>
      <c r="E735" s="214"/>
      <c r="F735" s="215"/>
      <c r="G735" s="216"/>
      <c r="H735" s="216"/>
      <c r="I735" s="216"/>
      <c r="J735" s="216"/>
      <c r="K735" s="214"/>
      <c r="L735" s="215"/>
      <c r="M735" s="214"/>
      <c r="N735" s="215"/>
      <c r="O735" s="216"/>
      <c r="P735" s="214"/>
      <c r="Q735" s="215"/>
      <c r="R735" s="216"/>
      <c r="S735" s="216"/>
      <c r="T735" s="216"/>
      <c r="U735" s="214"/>
      <c r="V735" s="215"/>
      <c r="W735" s="214"/>
      <c r="X735" s="215"/>
      <c r="Y735" s="214"/>
      <c r="Z735" s="215"/>
      <c r="AA735" s="171"/>
      <c r="AB735" s="171"/>
      <c r="AC735" s="214"/>
      <c r="AD735" s="10"/>
      <c r="AE735" s="10"/>
      <c r="AF735" s="214"/>
      <c r="AG735" s="215"/>
    </row>
    <row r="736" spans="1:33" ht="12.75" customHeight="1" x14ac:dyDescent="0.25">
      <c r="A736" s="168"/>
      <c r="B736" s="168"/>
      <c r="C736" s="168"/>
      <c r="E736" s="214"/>
      <c r="F736" s="215"/>
      <c r="G736" s="216"/>
      <c r="H736" s="216"/>
      <c r="I736" s="216"/>
      <c r="J736" s="216"/>
      <c r="K736" s="214"/>
      <c r="L736" s="215"/>
      <c r="M736" s="214"/>
      <c r="N736" s="215"/>
      <c r="O736" s="216"/>
      <c r="P736" s="214"/>
      <c r="Q736" s="215"/>
      <c r="R736" s="216"/>
      <c r="S736" s="216"/>
      <c r="T736" s="216"/>
      <c r="U736" s="214"/>
      <c r="V736" s="215"/>
      <c r="W736" s="214"/>
      <c r="X736" s="215"/>
      <c r="Y736" s="214"/>
      <c r="Z736" s="215"/>
      <c r="AA736" s="171"/>
      <c r="AB736" s="171"/>
      <c r="AC736" s="214"/>
      <c r="AD736" s="10"/>
      <c r="AE736" s="10"/>
      <c r="AF736" s="214"/>
      <c r="AG736" s="215"/>
    </row>
    <row r="737" spans="1:33" ht="12.75" customHeight="1" x14ac:dyDescent="0.25">
      <c r="A737" s="168"/>
      <c r="B737" s="168"/>
      <c r="C737" s="168"/>
      <c r="E737" s="214"/>
      <c r="F737" s="215"/>
      <c r="G737" s="216"/>
      <c r="H737" s="216"/>
      <c r="I737" s="216"/>
      <c r="J737" s="216"/>
      <c r="K737" s="214"/>
      <c r="L737" s="215"/>
      <c r="M737" s="214"/>
      <c r="N737" s="215"/>
      <c r="O737" s="216"/>
      <c r="P737" s="214"/>
      <c r="Q737" s="215"/>
      <c r="R737" s="216"/>
      <c r="S737" s="216"/>
      <c r="T737" s="216"/>
      <c r="U737" s="214"/>
      <c r="V737" s="215"/>
      <c r="W737" s="214"/>
      <c r="X737" s="215"/>
      <c r="Y737" s="214"/>
      <c r="Z737" s="215"/>
      <c r="AA737" s="171"/>
      <c r="AB737" s="171"/>
      <c r="AC737" s="214"/>
      <c r="AD737" s="10"/>
      <c r="AE737" s="10"/>
      <c r="AF737" s="214"/>
      <c r="AG737" s="215"/>
    </row>
    <row r="738" spans="1:33" ht="12.75" customHeight="1" x14ac:dyDescent="0.25">
      <c r="A738" s="168"/>
      <c r="B738" s="168"/>
      <c r="C738" s="168"/>
      <c r="E738" s="214"/>
      <c r="F738" s="215"/>
      <c r="G738" s="216"/>
      <c r="H738" s="216"/>
      <c r="I738" s="216"/>
      <c r="J738" s="216"/>
      <c r="K738" s="214"/>
      <c r="L738" s="215"/>
      <c r="M738" s="214"/>
      <c r="N738" s="215"/>
      <c r="O738" s="216"/>
      <c r="P738" s="214"/>
      <c r="Q738" s="215"/>
      <c r="R738" s="216"/>
      <c r="S738" s="216"/>
      <c r="T738" s="216"/>
      <c r="U738" s="214"/>
      <c r="V738" s="215"/>
      <c r="W738" s="214"/>
      <c r="X738" s="215"/>
      <c r="Y738" s="214"/>
      <c r="Z738" s="215"/>
      <c r="AA738" s="171"/>
      <c r="AB738" s="171"/>
      <c r="AC738" s="214"/>
      <c r="AD738" s="10"/>
      <c r="AE738" s="10"/>
      <c r="AF738" s="214"/>
      <c r="AG738" s="215"/>
    </row>
    <row r="739" spans="1:33" ht="12.75" customHeight="1" x14ac:dyDescent="0.25">
      <c r="A739" s="168"/>
      <c r="B739" s="168"/>
      <c r="C739" s="168"/>
      <c r="E739" s="214"/>
      <c r="F739" s="215"/>
      <c r="G739" s="216"/>
      <c r="H739" s="216"/>
      <c r="I739" s="216"/>
      <c r="J739" s="216"/>
      <c r="K739" s="214"/>
      <c r="L739" s="215"/>
      <c r="M739" s="214"/>
      <c r="N739" s="215"/>
      <c r="O739" s="216"/>
      <c r="P739" s="214"/>
      <c r="Q739" s="215"/>
      <c r="R739" s="216"/>
      <c r="S739" s="216"/>
      <c r="T739" s="216"/>
      <c r="U739" s="214"/>
      <c r="V739" s="215"/>
      <c r="W739" s="214"/>
      <c r="X739" s="215"/>
      <c r="Y739" s="214"/>
      <c r="Z739" s="215"/>
      <c r="AA739" s="171"/>
      <c r="AB739" s="171"/>
      <c r="AC739" s="214"/>
      <c r="AD739" s="10"/>
      <c r="AE739" s="10"/>
      <c r="AF739" s="214"/>
      <c r="AG739" s="215"/>
    </row>
    <row r="740" spans="1:33" ht="12.75" customHeight="1" x14ac:dyDescent="0.25">
      <c r="A740" s="168"/>
      <c r="B740" s="168"/>
      <c r="C740" s="168"/>
      <c r="E740" s="214"/>
      <c r="F740" s="215"/>
      <c r="G740" s="216"/>
      <c r="H740" s="216"/>
      <c r="I740" s="216"/>
      <c r="J740" s="216"/>
      <c r="K740" s="214"/>
      <c r="L740" s="215"/>
      <c r="M740" s="214"/>
      <c r="N740" s="215"/>
      <c r="O740" s="216"/>
      <c r="P740" s="214"/>
      <c r="Q740" s="215"/>
      <c r="R740" s="216"/>
      <c r="S740" s="216"/>
      <c r="T740" s="216"/>
      <c r="U740" s="214"/>
      <c r="V740" s="215"/>
      <c r="W740" s="214"/>
      <c r="X740" s="215"/>
      <c r="Y740" s="214"/>
      <c r="Z740" s="215"/>
      <c r="AA740" s="171"/>
      <c r="AB740" s="171"/>
      <c r="AC740" s="214"/>
      <c r="AD740" s="10"/>
      <c r="AE740" s="10"/>
      <c r="AF740" s="214"/>
      <c r="AG740" s="215"/>
    </row>
    <row r="741" spans="1:33" ht="12.75" customHeight="1" x14ac:dyDescent="0.25">
      <c r="A741" s="168"/>
      <c r="B741" s="168"/>
      <c r="C741" s="168"/>
      <c r="E741" s="214"/>
      <c r="F741" s="215"/>
      <c r="G741" s="216"/>
      <c r="H741" s="216"/>
      <c r="I741" s="216"/>
      <c r="J741" s="216"/>
      <c r="K741" s="214"/>
      <c r="L741" s="215"/>
      <c r="M741" s="214"/>
      <c r="N741" s="215"/>
      <c r="O741" s="216"/>
      <c r="P741" s="214"/>
      <c r="Q741" s="215"/>
      <c r="R741" s="216"/>
      <c r="S741" s="216"/>
      <c r="T741" s="216"/>
      <c r="U741" s="214"/>
      <c r="V741" s="215"/>
      <c r="W741" s="214"/>
      <c r="X741" s="215"/>
      <c r="Y741" s="214"/>
      <c r="Z741" s="215"/>
      <c r="AA741" s="171"/>
      <c r="AB741" s="171"/>
      <c r="AC741" s="214"/>
      <c r="AD741" s="10"/>
      <c r="AE741" s="10"/>
      <c r="AF741" s="214"/>
      <c r="AG741" s="215"/>
    </row>
    <row r="742" spans="1:33" ht="12.75" customHeight="1" x14ac:dyDescent="0.25">
      <c r="A742" s="168"/>
      <c r="B742" s="168"/>
      <c r="C742" s="168"/>
      <c r="E742" s="214"/>
      <c r="F742" s="215"/>
      <c r="G742" s="216"/>
      <c r="H742" s="216"/>
      <c r="I742" s="216"/>
      <c r="J742" s="216"/>
      <c r="K742" s="214"/>
      <c r="L742" s="215"/>
      <c r="M742" s="214"/>
      <c r="N742" s="215"/>
      <c r="O742" s="216"/>
      <c r="P742" s="214"/>
      <c r="Q742" s="215"/>
      <c r="R742" s="216"/>
      <c r="S742" s="216"/>
      <c r="T742" s="216"/>
      <c r="U742" s="214"/>
      <c r="V742" s="215"/>
      <c r="W742" s="214"/>
      <c r="X742" s="215"/>
      <c r="Y742" s="214"/>
      <c r="Z742" s="215"/>
      <c r="AA742" s="171"/>
      <c r="AB742" s="171"/>
      <c r="AC742" s="214"/>
      <c r="AD742" s="10"/>
      <c r="AE742" s="10"/>
      <c r="AF742" s="214"/>
      <c r="AG742" s="215"/>
    </row>
    <row r="743" spans="1:33" ht="12.75" customHeight="1" x14ac:dyDescent="0.25">
      <c r="A743" s="168"/>
      <c r="B743" s="168"/>
      <c r="C743" s="168"/>
      <c r="E743" s="214"/>
      <c r="F743" s="215"/>
      <c r="G743" s="216"/>
      <c r="H743" s="216"/>
      <c r="I743" s="216"/>
      <c r="J743" s="216"/>
      <c r="K743" s="214"/>
      <c r="L743" s="215"/>
      <c r="M743" s="214"/>
      <c r="N743" s="215"/>
      <c r="O743" s="216"/>
      <c r="P743" s="214"/>
      <c r="Q743" s="215"/>
      <c r="R743" s="216"/>
      <c r="S743" s="216"/>
      <c r="T743" s="216"/>
      <c r="U743" s="214"/>
      <c r="V743" s="215"/>
      <c r="W743" s="214"/>
      <c r="X743" s="215"/>
      <c r="Y743" s="214"/>
      <c r="Z743" s="215"/>
      <c r="AA743" s="171"/>
      <c r="AB743" s="171"/>
      <c r="AC743" s="214"/>
      <c r="AD743" s="10"/>
      <c r="AE743" s="10"/>
      <c r="AF743" s="214"/>
      <c r="AG743" s="215"/>
    </row>
    <row r="744" spans="1:33" ht="12.75" customHeight="1" x14ac:dyDescent="0.25">
      <c r="A744" s="168"/>
      <c r="B744" s="168"/>
      <c r="C744" s="168"/>
      <c r="E744" s="214"/>
      <c r="F744" s="215"/>
      <c r="G744" s="216"/>
      <c r="H744" s="216"/>
      <c r="I744" s="216"/>
      <c r="J744" s="216"/>
      <c r="K744" s="214"/>
      <c r="L744" s="215"/>
      <c r="M744" s="214"/>
      <c r="N744" s="215"/>
      <c r="O744" s="216"/>
      <c r="P744" s="214"/>
      <c r="Q744" s="215"/>
      <c r="R744" s="216"/>
      <c r="S744" s="216"/>
      <c r="T744" s="216"/>
      <c r="U744" s="214"/>
      <c r="V744" s="215"/>
      <c r="W744" s="214"/>
      <c r="X744" s="215"/>
      <c r="Y744" s="214"/>
      <c r="Z744" s="215"/>
      <c r="AA744" s="171"/>
      <c r="AB744" s="171"/>
      <c r="AC744" s="214"/>
      <c r="AD744" s="10"/>
      <c r="AE744" s="10"/>
      <c r="AF744" s="214"/>
      <c r="AG744" s="215"/>
    </row>
    <row r="745" spans="1:33" ht="12.75" customHeight="1" x14ac:dyDescent="0.25">
      <c r="A745" s="168"/>
      <c r="B745" s="168"/>
      <c r="C745" s="168"/>
      <c r="E745" s="214"/>
      <c r="F745" s="215"/>
      <c r="G745" s="216"/>
      <c r="H745" s="216"/>
      <c r="I745" s="216"/>
      <c r="J745" s="216"/>
      <c r="K745" s="214"/>
      <c r="L745" s="215"/>
      <c r="M745" s="214"/>
      <c r="N745" s="215"/>
      <c r="O745" s="216"/>
      <c r="P745" s="214"/>
      <c r="Q745" s="215"/>
      <c r="R745" s="216"/>
      <c r="S745" s="216"/>
      <c r="T745" s="216"/>
      <c r="U745" s="214"/>
      <c r="V745" s="215"/>
      <c r="W745" s="214"/>
      <c r="X745" s="215"/>
      <c r="Y745" s="214"/>
      <c r="Z745" s="215"/>
      <c r="AA745" s="171"/>
      <c r="AB745" s="171"/>
      <c r="AC745" s="214"/>
      <c r="AD745" s="10"/>
      <c r="AE745" s="10"/>
      <c r="AF745" s="214"/>
      <c r="AG745" s="215"/>
    </row>
    <row r="746" spans="1:33" ht="12.75" customHeight="1" x14ac:dyDescent="0.25">
      <c r="A746" s="168"/>
      <c r="B746" s="168"/>
      <c r="C746" s="168"/>
      <c r="E746" s="214"/>
      <c r="F746" s="215"/>
      <c r="G746" s="216"/>
      <c r="H746" s="216"/>
      <c r="I746" s="216"/>
      <c r="J746" s="216"/>
      <c r="K746" s="214"/>
      <c r="L746" s="215"/>
      <c r="M746" s="214"/>
      <c r="N746" s="215"/>
      <c r="O746" s="216"/>
      <c r="P746" s="214"/>
      <c r="Q746" s="215"/>
      <c r="R746" s="216"/>
      <c r="S746" s="216"/>
      <c r="T746" s="216"/>
      <c r="U746" s="214"/>
      <c r="V746" s="215"/>
      <c r="W746" s="214"/>
      <c r="X746" s="215"/>
      <c r="Y746" s="214"/>
      <c r="Z746" s="215"/>
      <c r="AA746" s="171"/>
      <c r="AB746" s="171"/>
      <c r="AC746" s="214"/>
      <c r="AD746" s="10"/>
      <c r="AE746" s="10"/>
      <c r="AF746" s="214"/>
      <c r="AG746" s="215"/>
    </row>
    <row r="747" spans="1:33" ht="12.75" customHeight="1" x14ac:dyDescent="0.25">
      <c r="A747" s="168"/>
      <c r="B747" s="168"/>
      <c r="C747" s="168"/>
      <c r="E747" s="214"/>
      <c r="F747" s="215"/>
      <c r="G747" s="216"/>
      <c r="H747" s="216"/>
      <c r="I747" s="216"/>
      <c r="J747" s="216"/>
      <c r="K747" s="214"/>
      <c r="L747" s="215"/>
      <c r="M747" s="214"/>
      <c r="N747" s="215"/>
      <c r="O747" s="216"/>
      <c r="P747" s="214"/>
      <c r="Q747" s="215"/>
      <c r="R747" s="216"/>
      <c r="S747" s="216"/>
      <c r="T747" s="216"/>
      <c r="U747" s="214"/>
      <c r="V747" s="215"/>
      <c r="W747" s="214"/>
      <c r="X747" s="215"/>
      <c r="Y747" s="214"/>
      <c r="Z747" s="215"/>
      <c r="AA747" s="171"/>
      <c r="AB747" s="171"/>
      <c r="AC747" s="214"/>
      <c r="AD747" s="10"/>
      <c r="AE747" s="10"/>
      <c r="AF747" s="214"/>
      <c r="AG747" s="215"/>
    </row>
    <row r="748" spans="1:33" ht="12.75" customHeight="1" x14ac:dyDescent="0.25">
      <c r="A748" s="168"/>
      <c r="B748" s="168"/>
      <c r="C748" s="168"/>
      <c r="E748" s="214"/>
      <c r="F748" s="215"/>
      <c r="G748" s="216"/>
      <c r="H748" s="216"/>
      <c r="I748" s="216"/>
      <c r="J748" s="216"/>
      <c r="K748" s="214"/>
      <c r="L748" s="215"/>
      <c r="M748" s="214"/>
      <c r="N748" s="215"/>
      <c r="O748" s="216"/>
      <c r="P748" s="214"/>
      <c r="Q748" s="215"/>
      <c r="R748" s="216"/>
      <c r="S748" s="216"/>
      <c r="T748" s="216"/>
      <c r="U748" s="214"/>
      <c r="V748" s="215"/>
      <c r="W748" s="214"/>
      <c r="X748" s="215"/>
      <c r="Y748" s="214"/>
      <c r="Z748" s="215"/>
      <c r="AA748" s="171"/>
      <c r="AB748" s="171"/>
      <c r="AC748" s="214"/>
      <c r="AD748" s="10"/>
      <c r="AE748" s="10"/>
      <c r="AF748" s="214"/>
      <c r="AG748" s="215"/>
    </row>
    <row r="749" spans="1:33" ht="12.75" customHeight="1" x14ac:dyDescent="0.25">
      <c r="A749" s="168"/>
      <c r="B749" s="168"/>
      <c r="C749" s="168"/>
      <c r="E749" s="214"/>
      <c r="F749" s="215"/>
      <c r="G749" s="216"/>
      <c r="H749" s="216"/>
      <c r="I749" s="216"/>
      <c r="J749" s="216"/>
      <c r="K749" s="214"/>
      <c r="L749" s="215"/>
      <c r="M749" s="214"/>
      <c r="N749" s="215"/>
      <c r="O749" s="216"/>
      <c r="P749" s="214"/>
      <c r="Q749" s="215"/>
      <c r="R749" s="216"/>
      <c r="S749" s="216"/>
      <c r="T749" s="216"/>
      <c r="U749" s="214"/>
      <c r="V749" s="215"/>
      <c r="W749" s="214"/>
      <c r="X749" s="215"/>
      <c r="Y749" s="214"/>
      <c r="Z749" s="215"/>
      <c r="AA749" s="171"/>
      <c r="AB749" s="171"/>
      <c r="AC749" s="214"/>
      <c r="AD749" s="10"/>
      <c r="AE749" s="10"/>
      <c r="AF749" s="214"/>
      <c r="AG749" s="215"/>
    </row>
    <row r="750" spans="1:33" ht="12.75" customHeight="1" x14ac:dyDescent="0.25">
      <c r="A750" s="168"/>
      <c r="B750" s="168"/>
      <c r="C750" s="168"/>
      <c r="E750" s="214"/>
      <c r="F750" s="215"/>
      <c r="G750" s="216"/>
      <c r="H750" s="216"/>
      <c r="I750" s="216"/>
      <c r="J750" s="216"/>
      <c r="K750" s="214"/>
      <c r="L750" s="215"/>
      <c r="M750" s="214"/>
      <c r="N750" s="215"/>
      <c r="O750" s="216"/>
      <c r="P750" s="214"/>
      <c r="Q750" s="215"/>
      <c r="R750" s="216"/>
      <c r="S750" s="216"/>
      <c r="T750" s="216"/>
      <c r="U750" s="214"/>
      <c r="V750" s="215"/>
      <c r="W750" s="214"/>
      <c r="X750" s="215"/>
      <c r="Y750" s="214"/>
      <c r="Z750" s="215"/>
      <c r="AA750" s="171"/>
      <c r="AB750" s="171"/>
      <c r="AC750" s="214"/>
      <c r="AD750" s="10"/>
      <c r="AE750" s="10"/>
      <c r="AF750" s="214"/>
      <c r="AG750" s="215"/>
    </row>
    <row r="751" spans="1:33" ht="12.75" customHeight="1" x14ac:dyDescent="0.25">
      <c r="A751" s="168"/>
      <c r="B751" s="168"/>
      <c r="C751" s="168"/>
      <c r="E751" s="214"/>
      <c r="F751" s="215"/>
      <c r="G751" s="216"/>
      <c r="H751" s="216"/>
      <c r="I751" s="216"/>
      <c r="J751" s="216"/>
      <c r="K751" s="214"/>
      <c r="L751" s="215"/>
      <c r="M751" s="214"/>
      <c r="N751" s="215"/>
      <c r="O751" s="216"/>
      <c r="P751" s="214"/>
      <c r="Q751" s="215"/>
      <c r="R751" s="216"/>
      <c r="S751" s="216"/>
      <c r="T751" s="216"/>
      <c r="U751" s="214"/>
      <c r="V751" s="215"/>
      <c r="W751" s="214"/>
      <c r="X751" s="215"/>
      <c r="Y751" s="214"/>
      <c r="Z751" s="215"/>
      <c r="AA751" s="171"/>
      <c r="AB751" s="171"/>
      <c r="AC751" s="214"/>
      <c r="AD751" s="10"/>
      <c r="AE751" s="10"/>
      <c r="AF751" s="214"/>
      <c r="AG751" s="215"/>
    </row>
    <row r="752" spans="1:33" ht="12.75" customHeight="1" x14ac:dyDescent="0.25">
      <c r="A752" s="168"/>
      <c r="B752" s="168"/>
      <c r="C752" s="168"/>
      <c r="E752" s="214"/>
      <c r="F752" s="215"/>
      <c r="G752" s="216"/>
      <c r="H752" s="216"/>
      <c r="I752" s="216"/>
      <c r="J752" s="216"/>
      <c r="K752" s="214"/>
      <c r="L752" s="215"/>
      <c r="M752" s="214"/>
      <c r="N752" s="215"/>
      <c r="O752" s="216"/>
      <c r="P752" s="214"/>
      <c r="Q752" s="215"/>
      <c r="R752" s="216"/>
      <c r="S752" s="216"/>
      <c r="T752" s="216"/>
      <c r="U752" s="214"/>
      <c r="V752" s="215"/>
      <c r="W752" s="214"/>
      <c r="X752" s="215"/>
      <c r="Y752" s="214"/>
      <c r="Z752" s="215"/>
      <c r="AA752" s="171"/>
      <c r="AB752" s="171"/>
      <c r="AC752" s="214"/>
      <c r="AD752" s="10"/>
      <c r="AE752" s="10"/>
      <c r="AF752" s="214"/>
      <c r="AG752" s="215"/>
    </row>
    <row r="753" spans="1:33" ht="12.75" customHeight="1" x14ac:dyDescent="0.25">
      <c r="A753" s="168"/>
      <c r="B753" s="168"/>
      <c r="C753" s="168"/>
      <c r="E753" s="214"/>
      <c r="F753" s="215"/>
      <c r="G753" s="216"/>
      <c r="H753" s="216"/>
      <c r="I753" s="216"/>
      <c r="J753" s="216"/>
      <c r="K753" s="214"/>
      <c r="L753" s="215"/>
      <c r="M753" s="214"/>
      <c r="N753" s="215"/>
      <c r="O753" s="216"/>
      <c r="P753" s="214"/>
      <c r="Q753" s="215"/>
      <c r="R753" s="216"/>
      <c r="S753" s="216"/>
      <c r="T753" s="216"/>
      <c r="U753" s="214"/>
      <c r="V753" s="215"/>
      <c r="W753" s="214"/>
      <c r="X753" s="215"/>
      <c r="Y753" s="214"/>
      <c r="Z753" s="215"/>
      <c r="AA753" s="171"/>
      <c r="AB753" s="171"/>
      <c r="AC753" s="214"/>
      <c r="AD753" s="10"/>
      <c r="AE753" s="10"/>
      <c r="AF753" s="214"/>
      <c r="AG753" s="215"/>
    </row>
    <row r="754" spans="1:33" ht="12.75" customHeight="1" x14ac:dyDescent="0.25">
      <c r="A754" s="168"/>
      <c r="B754" s="168"/>
      <c r="C754" s="168"/>
      <c r="E754" s="214"/>
      <c r="F754" s="215"/>
      <c r="G754" s="216"/>
      <c r="H754" s="216"/>
      <c r="I754" s="216"/>
      <c r="J754" s="216"/>
      <c r="K754" s="214"/>
      <c r="L754" s="215"/>
      <c r="M754" s="214"/>
      <c r="N754" s="215"/>
      <c r="O754" s="216"/>
      <c r="P754" s="214"/>
      <c r="Q754" s="215"/>
      <c r="R754" s="216"/>
      <c r="S754" s="216"/>
      <c r="T754" s="216"/>
      <c r="U754" s="214"/>
      <c r="V754" s="215"/>
      <c r="W754" s="214"/>
      <c r="X754" s="215"/>
      <c r="Y754" s="214"/>
      <c r="Z754" s="215"/>
      <c r="AA754" s="171"/>
      <c r="AB754" s="171"/>
      <c r="AC754" s="214"/>
      <c r="AD754" s="10"/>
      <c r="AE754" s="10"/>
      <c r="AF754" s="214"/>
      <c r="AG754" s="215"/>
    </row>
    <row r="755" spans="1:33" ht="12.75" customHeight="1" x14ac:dyDescent="0.25">
      <c r="A755" s="168"/>
      <c r="B755" s="168"/>
      <c r="C755" s="168"/>
      <c r="E755" s="214"/>
      <c r="F755" s="215"/>
      <c r="G755" s="216"/>
      <c r="H755" s="216"/>
      <c r="I755" s="216"/>
      <c r="J755" s="216"/>
      <c r="K755" s="214"/>
      <c r="L755" s="215"/>
      <c r="M755" s="214"/>
      <c r="N755" s="215"/>
      <c r="O755" s="216"/>
      <c r="P755" s="214"/>
      <c r="Q755" s="215"/>
      <c r="R755" s="216"/>
      <c r="S755" s="216"/>
      <c r="T755" s="216"/>
      <c r="U755" s="214"/>
      <c r="V755" s="215"/>
      <c r="W755" s="214"/>
      <c r="X755" s="215"/>
      <c r="Y755" s="214"/>
      <c r="Z755" s="215"/>
      <c r="AA755" s="171"/>
      <c r="AB755" s="171"/>
      <c r="AC755" s="214"/>
      <c r="AD755" s="10"/>
      <c r="AE755" s="10"/>
      <c r="AF755" s="214"/>
      <c r="AG755" s="215"/>
    </row>
    <row r="756" spans="1:33" ht="12.75" customHeight="1" x14ac:dyDescent="0.25">
      <c r="A756" s="168"/>
      <c r="B756" s="168"/>
      <c r="C756" s="168"/>
      <c r="E756" s="214"/>
      <c r="F756" s="215"/>
      <c r="G756" s="216"/>
      <c r="H756" s="216"/>
      <c r="I756" s="216"/>
      <c r="J756" s="216"/>
      <c r="K756" s="214"/>
      <c r="L756" s="215"/>
      <c r="M756" s="214"/>
      <c r="N756" s="215"/>
      <c r="O756" s="216"/>
      <c r="P756" s="214"/>
      <c r="Q756" s="215"/>
      <c r="R756" s="216"/>
      <c r="S756" s="216"/>
      <c r="T756" s="216"/>
      <c r="U756" s="214"/>
      <c r="V756" s="215"/>
      <c r="W756" s="214"/>
      <c r="X756" s="215"/>
      <c r="Y756" s="214"/>
      <c r="Z756" s="215"/>
      <c r="AA756" s="171"/>
      <c r="AB756" s="171"/>
      <c r="AC756" s="214"/>
      <c r="AD756" s="10"/>
      <c r="AE756" s="10"/>
      <c r="AF756" s="214"/>
      <c r="AG756" s="215"/>
    </row>
    <row r="757" spans="1:33" ht="12.75" customHeight="1" x14ac:dyDescent="0.25">
      <c r="A757" s="168"/>
      <c r="B757" s="168"/>
      <c r="C757" s="168"/>
      <c r="E757" s="214"/>
      <c r="F757" s="215"/>
      <c r="G757" s="216"/>
      <c r="H757" s="216"/>
      <c r="I757" s="216"/>
      <c r="J757" s="216"/>
      <c r="K757" s="214"/>
      <c r="L757" s="215"/>
      <c r="M757" s="214"/>
      <c r="N757" s="215"/>
      <c r="O757" s="216"/>
      <c r="P757" s="214"/>
      <c r="Q757" s="215"/>
      <c r="R757" s="216"/>
      <c r="S757" s="216"/>
      <c r="T757" s="216"/>
      <c r="U757" s="214"/>
      <c r="V757" s="215"/>
      <c r="W757" s="214"/>
      <c r="X757" s="215"/>
      <c r="Y757" s="214"/>
      <c r="Z757" s="215"/>
      <c r="AA757" s="171"/>
      <c r="AB757" s="171"/>
      <c r="AC757" s="214"/>
      <c r="AD757" s="10"/>
      <c r="AE757" s="10"/>
      <c r="AF757" s="214"/>
      <c r="AG757" s="215"/>
    </row>
    <row r="758" spans="1:33" ht="12.75" customHeight="1" x14ac:dyDescent="0.25">
      <c r="A758" s="168"/>
      <c r="B758" s="168"/>
      <c r="C758" s="168"/>
      <c r="E758" s="214"/>
      <c r="F758" s="215"/>
      <c r="G758" s="216"/>
      <c r="H758" s="216"/>
      <c r="I758" s="216"/>
      <c r="J758" s="216"/>
      <c r="K758" s="214"/>
      <c r="L758" s="215"/>
      <c r="M758" s="214"/>
      <c r="N758" s="215"/>
      <c r="O758" s="216"/>
      <c r="P758" s="214"/>
      <c r="Q758" s="215"/>
      <c r="R758" s="216"/>
      <c r="S758" s="216"/>
      <c r="T758" s="216"/>
      <c r="U758" s="214"/>
      <c r="V758" s="215"/>
      <c r="W758" s="214"/>
      <c r="X758" s="215"/>
      <c r="Y758" s="214"/>
      <c r="Z758" s="215"/>
      <c r="AA758" s="171"/>
      <c r="AB758" s="171"/>
      <c r="AC758" s="214"/>
      <c r="AD758" s="10"/>
      <c r="AE758" s="10"/>
      <c r="AF758" s="214"/>
      <c r="AG758" s="215"/>
    </row>
    <row r="759" spans="1:33" ht="12.75" customHeight="1" x14ac:dyDescent="0.25">
      <c r="A759" s="168"/>
      <c r="B759" s="168"/>
      <c r="C759" s="168"/>
      <c r="E759" s="214"/>
      <c r="F759" s="215"/>
      <c r="G759" s="216"/>
      <c r="H759" s="216"/>
      <c r="I759" s="216"/>
      <c r="J759" s="216"/>
      <c r="K759" s="214"/>
      <c r="L759" s="215"/>
      <c r="M759" s="214"/>
      <c r="N759" s="215"/>
      <c r="O759" s="216"/>
      <c r="P759" s="214"/>
      <c r="Q759" s="215"/>
      <c r="R759" s="216"/>
      <c r="S759" s="216"/>
      <c r="T759" s="216"/>
      <c r="U759" s="214"/>
      <c r="V759" s="215"/>
      <c r="W759" s="214"/>
      <c r="X759" s="215"/>
      <c r="Y759" s="214"/>
      <c r="Z759" s="215"/>
      <c r="AA759" s="171"/>
      <c r="AB759" s="171"/>
      <c r="AC759" s="214"/>
      <c r="AD759" s="10"/>
      <c r="AE759" s="10"/>
      <c r="AF759" s="214"/>
      <c r="AG759" s="215"/>
    </row>
    <row r="760" spans="1:33" ht="12.75" customHeight="1" x14ac:dyDescent="0.25">
      <c r="A760" s="168"/>
      <c r="B760" s="168"/>
      <c r="C760" s="168"/>
      <c r="E760" s="214"/>
      <c r="F760" s="215"/>
      <c r="G760" s="216"/>
      <c r="H760" s="216"/>
      <c r="I760" s="216"/>
      <c r="J760" s="216"/>
      <c r="K760" s="214"/>
      <c r="L760" s="215"/>
      <c r="M760" s="214"/>
      <c r="N760" s="215"/>
      <c r="O760" s="216"/>
      <c r="P760" s="214"/>
      <c r="Q760" s="215"/>
      <c r="R760" s="216"/>
      <c r="S760" s="216"/>
      <c r="T760" s="216"/>
      <c r="U760" s="214"/>
      <c r="V760" s="215"/>
      <c r="W760" s="214"/>
      <c r="X760" s="215"/>
      <c r="Y760" s="214"/>
      <c r="Z760" s="215"/>
      <c r="AA760" s="171"/>
      <c r="AB760" s="171"/>
      <c r="AC760" s="214"/>
      <c r="AD760" s="10"/>
      <c r="AE760" s="10"/>
      <c r="AF760" s="214"/>
      <c r="AG760" s="215"/>
    </row>
    <row r="761" spans="1:33" ht="12.75" customHeight="1" x14ac:dyDescent="0.25">
      <c r="A761" s="168"/>
      <c r="B761" s="168"/>
      <c r="C761" s="168"/>
      <c r="E761" s="214"/>
      <c r="F761" s="215"/>
      <c r="G761" s="216"/>
      <c r="H761" s="216"/>
      <c r="I761" s="216"/>
      <c r="J761" s="216"/>
      <c r="K761" s="214"/>
      <c r="L761" s="215"/>
      <c r="M761" s="214"/>
      <c r="N761" s="215"/>
      <c r="O761" s="216"/>
      <c r="P761" s="214"/>
      <c r="Q761" s="215"/>
      <c r="R761" s="216"/>
      <c r="S761" s="216"/>
      <c r="T761" s="216"/>
      <c r="U761" s="214"/>
      <c r="V761" s="215"/>
      <c r="W761" s="214"/>
      <c r="X761" s="215"/>
      <c r="Y761" s="214"/>
      <c r="Z761" s="215"/>
      <c r="AA761" s="171"/>
      <c r="AB761" s="171"/>
      <c r="AC761" s="214"/>
      <c r="AD761" s="10"/>
      <c r="AE761" s="10"/>
      <c r="AF761" s="214"/>
      <c r="AG761" s="215"/>
    </row>
    <row r="762" spans="1:33" ht="12.75" customHeight="1" x14ac:dyDescent="0.25">
      <c r="A762" s="168"/>
      <c r="B762" s="168"/>
      <c r="C762" s="168"/>
      <c r="E762" s="214"/>
      <c r="F762" s="215"/>
      <c r="G762" s="216"/>
      <c r="H762" s="216"/>
      <c r="I762" s="216"/>
      <c r="J762" s="216"/>
      <c r="K762" s="214"/>
      <c r="L762" s="215"/>
      <c r="M762" s="214"/>
      <c r="N762" s="215"/>
      <c r="O762" s="216"/>
      <c r="P762" s="214"/>
      <c r="Q762" s="215"/>
      <c r="R762" s="216"/>
      <c r="S762" s="216"/>
      <c r="T762" s="216"/>
      <c r="U762" s="214"/>
      <c r="V762" s="215"/>
      <c r="W762" s="214"/>
      <c r="X762" s="215"/>
      <c r="Y762" s="214"/>
      <c r="Z762" s="215"/>
      <c r="AA762" s="171"/>
      <c r="AB762" s="171"/>
      <c r="AC762" s="214"/>
      <c r="AD762" s="10"/>
      <c r="AE762" s="10"/>
      <c r="AF762" s="214"/>
      <c r="AG762" s="215"/>
    </row>
    <row r="763" spans="1:33" ht="12.75" customHeight="1" x14ac:dyDescent="0.25">
      <c r="A763" s="168"/>
      <c r="B763" s="168"/>
      <c r="C763" s="168"/>
      <c r="E763" s="214"/>
      <c r="F763" s="215"/>
      <c r="G763" s="216"/>
      <c r="H763" s="216"/>
      <c r="I763" s="216"/>
      <c r="J763" s="216"/>
      <c r="K763" s="214"/>
      <c r="L763" s="215"/>
      <c r="M763" s="214"/>
      <c r="N763" s="215"/>
      <c r="O763" s="216"/>
      <c r="P763" s="214"/>
      <c r="Q763" s="215"/>
      <c r="R763" s="216"/>
      <c r="S763" s="216"/>
      <c r="T763" s="216"/>
      <c r="U763" s="214"/>
      <c r="V763" s="215"/>
      <c r="W763" s="214"/>
      <c r="X763" s="215"/>
      <c r="Y763" s="214"/>
      <c r="Z763" s="215"/>
      <c r="AA763" s="171"/>
      <c r="AB763" s="171"/>
      <c r="AC763" s="214"/>
      <c r="AD763" s="10"/>
      <c r="AE763" s="10"/>
      <c r="AF763" s="214"/>
      <c r="AG763" s="215"/>
    </row>
    <row r="764" spans="1:33" ht="12.75" customHeight="1" x14ac:dyDescent="0.25">
      <c r="A764" s="168"/>
      <c r="B764" s="168"/>
      <c r="C764" s="168"/>
      <c r="E764" s="214"/>
      <c r="F764" s="215"/>
      <c r="G764" s="216"/>
      <c r="H764" s="216"/>
      <c r="I764" s="216"/>
      <c r="J764" s="216"/>
      <c r="K764" s="214"/>
      <c r="L764" s="215"/>
      <c r="M764" s="214"/>
      <c r="N764" s="215"/>
      <c r="O764" s="216"/>
      <c r="P764" s="214"/>
      <c r="Q764" s="215"/>
      <c r="R764" s="216"/>
      <c r="S764" s="216"/>
      <c r="T764" s="216"/>
      <c r="U764" s="214"/>
      <c r="V764" s="215"/>
      <c r="W764" s="214"/>
      <c r="X764" s="215"/>
      <c r="Y764" s="214"/>
      <c r="Z764" s="215"/>
      <c r="AA764" s="171"/>
      <c r="AB764" s="171"/>
      <c r="AC764" s="214"/>
      <c r="AD764" s="10"/>
      <c r="AE764" s="10"/>
      <c r="AF764" s="214"/>
      <c r="AG764" s="215"/>
    </row>
    <row r="765" spans="1:33" ht="12.75" customHeight="1" x14ac:dyDescent="0.25">
      <c r="A765" s="168"/>
      <c r="B765" s="168"/>
      <c r="C765" s="168"/>
      <c r="E765" s="214"/>
      <c r="F765" s="215"/>
      <c r="G765" s="216"/>
      <c r="H765" s="216"/>
      <c r="I765" s="216"/>
      <c r="J765" s="216"/>
      <c r="K765" s="214"/>
      <c r="L765" s="215"/>
      <c r="M765" s="214"/>
      <c r="N765" s="215"/>
      <c r="O765" s="216"/>
      <c r="P765" s="214"/>
      <c r="Q765" s="215"/>
      <c r="R765" s="216"/>
      <c r="S765" s="216"/>
      <c r="T765" s="216"/>
      <c r="U765" s="214"/>
      <c r="V765" s="215"/>
      <c r="W765" s="214"/>
      <c r="X765" s="215"/>
      <c r="Y765" s="214"/>
      <c r="Z765" s="215"/>
      <c r="AA765" s="171"/>
      <c r="AB765" s="171"/>
      <c r="AC765" s="214"/>
      <c r="AD765" s="10"/>
      <c r="AE765" s="10"/>
      <c r="AF765" s="214"/>
      <c r="AG765" s="215"/>
    </row>
    <row r="766" spans="1:33" ht="12.75" customHeight="1" x14ac:dyDescent="0.25">
      <c r="A766" s="168"/>
      <c r="B766" s="168"/>
      <c r="C766" s="168"/>
      <c r="E766" s="214"/>
      <c r="F766" s="215"/>
      <c r="G766" s="216"/>
      <c r="H766" s="216"/>
      <c r="I766" s="216"/>
      <c r="J766" s="216"/>
      <c r="K766" s="214"/>
      <c r="L766" s="215"/>
      <c r="M766" s="214"/>
      <c r="N766" s="215"/>
      <c r="O766" s="216"/>
      <c r="P766" s="214"/>
      <c r="Q766" s="215"/>
      <c r="R766" s="216"/>
      <c r="S766" s="216"/>
      <c r="T766" s="216"/>
      <c r="U766" s="214"/>
      <c r="V766" s="215"/>
      <c r="W766" s="214"/>
      <c r="X766" s="215"/>
      <c r="Y766" s="214"/>
      <c r="Z766" s="215"/>
      <c r="AA766" s="171"/>
      <c r="AB766" s="171"/>
      <c r="AC766" s="214"/>
      <c r="AD766" s="10"/>
      <c r="AE766" s="10"/>
      <c r="AF766" s="214"/>
      <c r="AG766" s="215"/>
    </row>
    <row r="767" spans="1:33" ht="12.75" customHeight="1" x14ac:dyDescent="0.25">
      <c r="A767" s="168"/>
      <c r="B767" s="168"/>
      <c r="C767" s="168"/>
      <c r="E767" s="214"/>
      <c r="F767" s="215"/>
      <c r="G767" s="216"/>
      <c r="H767" s="216"/>
      <c r="I767" s="216"/>
      <c r="J767" s="216"/>
      <c r="K767" s="214"/>
      <c r="L767" s="215"/>
      <c r="M767" s="214"/>
      <c r="N767" s="215"/>
      <c r="O767" s="216"/>
      <c r="P767" s="214"/>
      <c r="Q767" s="215"/>
      <c r="R767" s="216"/>
      <c r="S767" s="216"/>
      <c r="T767" s="216"/>
      <c r="U767" s="214"/>
      <c r="V767" s="215"/>
      <c r="W767" s="214"/>
      <c r="X767" s="215"/>
      <c r="Y767" s="214"/>
      <c r="Z767" s="215"/>
      <c r="AA767" s="171"/>
      <c r="AB767" s="171"/>
      <c r="AC767" s="214"/>
      <c r="AD767" s="10"/>
      <c r="AE767" s="10"/>
      <c r="AF767" s="214"/>
      <c r="AG767" s="215"/>
    </row>
    <row r="768" spans="1:33" ht="12.75" customHeight="1" x14ac:dyDescent="0.25">
      <c r="A768" s="168"/>
      <c r="B768" s="168"/>
      <c r="C768" s="168"/>
      <c r="E768" s="214"/>
      <c r="F768" s="215"/>
      <c r="G768" s="216"/>
      <c r="H768" s="216"/>
      <c r="I768" s="216"/>
      <c r="J768" s="216"/>
      <c r="K768" s="214"/>
      <c r="L768" s="215"/>
      <c r="M768" s="214"/>
      <c r="N768" s="215"/>
      <c r="O768" s="216"/>
      <c r="P768" s="214"/>
      <c r="Q768" s="215"/>
      <c r="R768" s="216"/>
      <c r="S768" s="216"/>
      <c r="T768" s="216"/>
      <c r="U768" s="214"/>
      <c r="V768" s="215"/>
      <c r="W768" s="214"/>
      <c r="X768" s="215"/>
      <c r="Y768" s="214"/>
      <c r="Z768" s="215"/>
      <c r="AA768" s="171"/>
      <c r="AB768" s="171"/>
      <c r="AC768" s="214"/>
      <c r="AD768" s="10"/>
      <c r="AE768" s="10"/>
      <c r="AF768" s="214"/>
      <c r="AG768" s="215"/>
    </row>
    <row r="769" spans="1:33" ht="12.75" customHeight="1" x14ac:dyDescent="0.25">
      <c r="A769" s="168"/>
      <c r="B769" s="168"/>
      <c r="C769" s="168"/>
      <c r="E769" s="214"/>
      <c r="F769" s="215"/>
      <c r="G769" s="216"/>
      <c r="H769" s="216"/>
      <c r="I769" s="216"/>
      <c r="J769" s="216"/>
      <c r="K769" s="214"/>
      <c r="L769" s="215"/>
      <c r="M769" s="214"/>
      <c r="N769" s="215"/>
      <c r="O769" s="216"/>
      <c r="P769" s="214"/>
      <c r="Q769" s="215"/>
      <c r="R769" s="216"/>
      <c r="S769" s="216"/>
      <c r="T769" s="216"/>
      <c r="U769" s="214"/>
      <c r="V769" s="215"/>
      <c r="W769" s="214"/>
      <c r="X769" s="215"/>
      <c r="Y769" s="214"/>
      <c r="Z769" s="215"/>
      <c r="AA769" s="171"/>
      <c r="AB769" s="171"/>
      <c r="AC769" s="214"/>
      <c r="AD769" s="10"/>
      <c r="AE769" s="10"/>
      <c r="AF769" s="214"/>
      <c r="AG769" s="215"/>
    </row>
    <row r="770" spans="1:33" ht="12.75" customHeight="1" x14ac:dyDescent="0.25">
      <c r="A770" s="168"/>
      <c r="B770" s="168"/>
      <c r="C770" s="168"/>
      <c r="E770" s="214"/>
      <c r="F770" s="215"/>
      <c r="G770" s="216"/>
      <c r="H770" s="216"/>
      <c r="I770" s="216"/>
      <c r="J770" s="216"/>
      <c r="K770" s="214"/>
      <c r="L770" s="215"/>
      <c r="M770" s="214"/>
      <c r="N770" s="215"/>
      <c r="O770" s="216"/>
      <c r="P770" s="214"/>
      <c r="Q770" s="215"/>
      <c r="R770" s="216"/>
      <c r="S770" s="216"/>
      <c r="T770" s="216"/>
      <c r="U770" s="214"/>
      <c r="V770" s="215"/>
      <c r="W770" s="214"/>
      <c r="X770" s="215"/>
      <c r="Y770" s="214"/>
      <c r="Z770" s="215"/>
      <c r="AA770" s="171"/>
      <c r="AB770" s="171"/>
      <c r="AC770" s="214"/>
      <c r="AD770" s="10"/>
      <c r="AE770" s="10"/>
      <c r="AF770" s="214"/>
      <c r="AG770" s="215"/>
    </row>
    <row r="771" spans="1:33" ht="12.75" customHeight="1" x14ac:dyDescent="0.25">
      <c r="A771" s="168"/>
      <c r="B771" s="168"/>
      <c r="C771" s="168"/>
      <c r="E771" s="214"/>
      <c r="F771" s="215"/>
      <c r="G771" s="216"/>
      <c r="H771" s="216"/>
      <c r="I771" s="216"/>
      <c r="J771" s="216"/>
      <c r="K771" s="214"/>
      <c r="L771" s="215"/>
      <c r="M771" s="214"/>
      <c r="N771" s="215"/>
      <c r="O771" s="216"/>
      <c r="P771" s="214"/>
      <c r="Q771" s="215"/>
      <c r="R771" s="216"/>
      <c r="S771" s="216"/>
      <c r="T771" s="216"/>
      <c r="U771" s="214"/>
      <c r="V771" s="215"/>
      <c r="W771" s="214"/>
      <c r="X771" s="215"/>
      <c r="Y771" s="214"/>
      <c r="Z771" s="215"/>
      <c r="AA771" s="171"/>
      <c r="AB771" s="171"/>
      <c r="AC771" s="214"/>
      <c r="AD771" s="10"/>
      <c r="AE771" s="10"/>
      <c r="AF771" s="214"/>
      <c r="AG771" s="215"/>
    </row>
    <row r="772" spans="1:33" ht="12.75" customHeight="1" x14ac:dyDescent="0.25">
      <c r="A772" s="168"/>
      <c r="B772" s="168"/>
      <c r="C772" s="168"/>
      <c r="E772" s="214"/>
      <c r="F772" s="215"/>
      <c r="G772" s="216"/>
      <c r="H772" s="216"/>
      <c r="I772" s="216"/>
      <c r="J772" s="216"/>
      <c r="K772" s="214"/>
      <c r="L772" s="215"/>
      <c r="M772" s="214"/>
      <c r="N772" s="215"/>
      <c r="O772" s="216"/>
      <c r="P772" s="214"/>
      <c r="Q772" s="215"/>
      <c r="R772" s="216"/>
      <c r="S772" s="216"/>
      <c r="T772" s="216"/>
      <c r="U772" s="214"/>
      <c r="V772" s="215"/>
      <c r="W772" s="214"/>
      <c r="X772" s="215"/>
      <c r="Y772" s="214"/>
      <c r="Z772" s="215"/>
      <c r="AA772" s="171"/>
      <c r="AB772" s="171"/>
      <c r="AC772" s="214"/>
      <c r="AD772" s="10"/>
      <c r="AE772" s="10"/>
      <c r="AF772" s="214"/>
      <c r="AG772" s="215"/>
    </row>
    <row r="773" spans="1:33" ht="12.75" customHeight="1" x14ac:dyDescent="0.25">
      <c r="A773" s="168"/>
      <c r="B773" s="168"/>
      <c r="C773" s="168"/>
      <c r="E773" s="214"/>
      <c r="F773" s="215"/>
      <c r="G773" s="216"/>
      <c r="H773" s="216"/>
      <c r="I773" s="216"/>
      <c r="J773" s="216"/>
      <c r="K773" s="214"/>
      <c r="L773" s="215"/>
      <c r="M773" s="214"/>
      <c r="N773" s="215"/>
      <c r="O773" s="216"/>
      <c r="P773" s="214"/>
      <c r="Q773" s="215"/>
      <c r="R773" s="216"/>
      <c r="S773" s="216"/>
      <c r="T773" s="216"/>
      <c r="U773" s="214"/>
      <c r="V773" s="215"/>
      <c r="W773" s="214"/>
      <c r="X773" s="215"/>
      <c r="Y773" s="214"/>
      <c r="Z773" s="215"/>
      <c r="AA773" s="171"/>
      <c r="AB773" s="171"/>
      <c r="AC773" s="214"/>
      <c r="AD773" s="10"/>
      <c r="AE773" s="10"/>
      <c r="AF773" s="214"/>
      <c r="AG773" s="215"/>
    </row>
    <row r="774" spans="1:33" ht="12.75" customHeight="1" x14ac:dyDescent="0.25">
      <c r="A774" s="168"/>
      <c r="B774" s="168"/>
      <c r="C774" s="168"/>
      <c r="E774" s="214"/>
      <c r="F774" s="215"/>
      <c r="G774" s="216"/>
      <c r="H774" s="216"/>
      <c r="I774" s="216"/>
      <c r="J774" s="216"/>
      <c r="K774" s="214"/>
      <c r="L774" s="215"/>
      <c r="M774" s="214"/>
      <c r="N774" s="215"/>
      <c r="O774" s="216"/>
      <c r="P774" s="214"/>
      <c r="Q774" s="215"/>
      <c r="R774" s="216"/>
      <c r="S774" s="216"/>
      <c r="T774" s="216"/>
      <c r="U774" s="214"/>
      <c r="V774" s="215"/>
      <c r="W774" s="214"/>
      <c r="X774" s="215"/>
      <c r="Y774" s="214"/>
      <c r="Z774" s="215"/>
      <c r="AA774" s="171"/>
      <c r="AB774" s="171"/>
      <c r="AC774" s="214"/>
      <c r="AD774" s="10"/>
      <c r="AE774" s="10"/>
      <c r="AF774" s="214"/>
      <c r="AG774" s="215"/>
    </row>
    <row r="775" spans="1:33" ht="12.75" customHeight="1" x14ac:dyDescent="0.25">
      <c r="A775" s="168"/>
      <c r="B775" s="168"/>
      <c r="C775" s="168"/>
      <c r="E775" s="214"/>
      <c r="F775" s="215"/>
      <c r="G775" s="216"/>
      <c r="H775" s="216"/>
      <c r="I775" s="216"/>
      <c r="J775" s="216"/>
      <c r="K775" s="214"/>
      <c r="L775" s="215"/>
      <c r="M775" s="214"/>
      <c r="N775" s="215"/>
      <c r="O775" s="216"/>
      <c r="P775" s="214"/>
      <c r="Q775" s="215"/>
      <c r="R775" s="216"/>
      <c r="S775" s="216"/>
      <c r="T775" s="216"/>
      <c r="U775" s="214"/>
      <c r="V775" s="215"/>
      <c r="W775" s="214"/>
      <c r="X775" s="215"/>
      <c r="Y775" s="214"/>
      <c r="Z775" s="215"/>
      <c r="AA775" s="171"/>
      <c r="AB775" s="171"/>
      <c r="AC775" s="214"/>
      <c r="AD775" s="10"/>
      <c r="AE775" s="10"/>
      <c r="AF775" s="214"/>
      <c r="AG775" s="215"/>
    </row>
    <row r="776" spans="1:33" ht="12.75" customHeight="1" x14ac:dyDescent="0.25">
      <c r="A776" s="168"/>
      <c r="B776" s="168"/>
      <c r="C776" s="168"/>
      <c r="E776" s="214"/>
      <c r="F776" s="215"/>
      <c r="G776" s="216"/>
      <c r="H776" s="216"/>
      <c r="I776" s="216"/>
      <c r="J776" s="216"/>
      <c r="K776" s="214"/>
      <c r="L776" s="215"/>
      <c r="M776" s="214"/>
      <c r="N776" s="215"/>
      <c r="O776" s="216"/>
      <c r="P776" s="214"/>
      <c r="Q776" s="215"/>
      <c r="R776" s="216"/>
      <c r="S776" s="216"/>
      <c r="T776" s="216"/>
      <c r="U776" s="214"/>
      <c r="V776" s="215"/>
      <c r="W776" s="214"/>
      <c r="X776" s="215"/>
      <c r="Y776" s="214"/>
      <c r="Z776" s="215"/>
      <c r="AA776" s="171"/>
      <c r="AB776" s="171"/>
      <c r="AC776" s="214"/>
      <c r="AD776" s="10"/>
      <c r="AE776" s="10"/>
      <c r="AF776" s="214"/>
      <c r="AG776" s="215"/>
    </row>
    <row r="777" spans="1:33" ht="12.75" customHeight="1" x14ac:dyDescent="0.25">
      <c r="A777" s="168"/>
      <c r="B777" s="168"/>
      <c r="C777" s="168"/>
      <c r="E777" s="214"/>
      <c r="F777" s="215"/>
      <c r="G777" s="216"/>
      <c r="H777" s="216"/>
      <c r="I777" s="216"/>
      <c r="J777" s="216"/>
      <c r="K777" s="214"/>
      <c r="L777" s="215"/>
      <c r="M777" s="214"/>
      <c r="N777" s="215"/>
      <c r="O777" s="216"/>
      <c r="P777" s="214"/>
      <c r="Q777" s="215"/>
      <c r="R777" s="216"/>
      <c r="S777" s="216"/>
      <c r="T777" s="216"/>
      <c r="U777" s="214"/>
      <c r="V777" s="215"/>
      <c r="W777" s="214"/>
      <c r="X777" s="215"/>
      <c r="Y777" s="214"/>
      <c r="Z777" s="215"/>
      <c r="AA777" s="171"/>
      <c r="AB777" s="171"/>
      <c r="AC777" s="214"/>
      <c r="AD777" s="10"/>
      <c r="AE777" s="10"/>
      <c r="AF777" s="214"/>
      <c r="AG777" s="215"/>
    </row>
    <row r="778" spans="1:33" ht="12.75" customHeight="1" x14ac:dyDescent="0.25">
      <c r="A778" s="168"/>
      <c r="B778" s="168"/>
      <c r="C778" s="168"/>
      <c r="E778" s="214"/>
      <c r="F778" s="215"/>
      <c r="G778" s="216"/>
      <c r="H778" s="216"/>
      <c r="I778" s="216"/>
      <c r="J778" s="216"/>
      <c r="K778" s="214"/>
      <c r="L778" s="215"/>
      <c r="M778" s="214"/>
      <c r="N778" s="215"/>
      <c r="O778" s="216"/>
      <c r="P778" s="214"/>
      <c r="Q778" s="215"/>
      <c r="R778" s="216"/>
      <c r="S778" s="216"/>
      <c r="T778" s="216"/>
      <c r="U778" s="214"/>
      <c r="V778" s="215"/>
      <c r="W778" s="214"/>
      <c r="X778" s="215"/>
      <c r="Y778" s="214"/>
      <c r="Z778" s="215"/>
      <c r="AA778" s="171"/>
      <c r="AB778" s="171"/>
      <c r="AC778" s="214"/>
      <c r="AD778" s="10"/>
      <c r="AE778" s="10"/>
      <c r="AF778" s="214"/>
      <c r="AG778" s="215"/>
    </row>
    <row r="779" spans="1:33" ht="12.75" customHeight="1" x14ac:dyDescent="0.25">
      <c r="A779" s="168"/>
      <c r="B779" s="168"/>
      <c r="C779" s="168"/>
      <c r="E779" s="214"/>
      <c r="F779" s="215"/>
      <c r="G779" s="216"/>
      <c r="H779" s="216"/>
      <c r="I779" s="216"/>
      <c r="J779" s="216"/>
      <c r="K779" s="214"/>
      <c r="L779" s="215"/>
      <c r="M779" s="214"/>
      <c r="N779" s="215"/>
      <c r="O779" s="216"/>
      <c r="P779" s="214"/>
      <c r="Q779" s="215"/>
      <c r="R779" s="216"/>
      <c r="S779" s="216"/>
      <c r="T779" s="216"/>
      <c r="U779" s="214"/>
      <c r="V779" s="215"/>
      <c r="W779" s="214"/>
      <c r="X779" s="215"/>
      <c r="Y779" s="214"/>
      <c r="Z779" s="215"/>
      <c r="AA779" s="171"/>
      <c r="AB779" s="171"/>
      <c r="AC779" s="214"/>
      <c r="AD779" s="10"/>
      <c r="AE779" s="10"/>
      <c r="AF779" s="214"/>
      <c r="AG779" s="215"/>
    </row>
    <row r="780" spans="1:33" ht="12.75" customHeight="1" x14ac:dyDescent="0.25">
      <c r="A780" s="168"/>
      <c r="B780" s="168"/>
      <c r="C780" s="168"/>
      <c r="E780" s="214"/>
      <c r="F780" s="215"/>
      <c r="G780" s="216"/>
      <c r="H780" s="216"/>
      <c r="I780" s="216"/>
      <c r="J780" s="216"/>
      <c r="K780" s="214"/>
      <c r="L780" s="215"/>
      <c r="M780" s="214"/>
      <c r="N780" s="215"/>
      <c r="O780" s="216"/>
      <c r="P780" s="214"/>
      <c r="Q780" s="215"/>
      <c r="R780" s="216"/>
      <c r="S780" s="216"/>
      <c r="T780" s="216"/>
      <c r="U780" s="214"/>
      <c r="V780" s="215"/>
      <c r="W780" s="214"/>
      <c r="X780" s="215"/>
      <c r="Y780" s="214"/>
      <c r="Z780" s="215"/>
      <c r="AA780" s="171"/>
      <c r="AB780" s="171"/>
      <c r="AC780" s="214"/>
      <c r="AD780" s="10"/>
      <c r="AE780" s="10"/>
      <c r="AF780" s="214"/>
      <c r="AG780" s="215"/>
    </row>
    <row r="781" spans="1:33" ht="12.75" customHeight="1" x14ac:dyDescent="0.25">
      <c r="A781" s="168"/>
      <c r="B781" s="168"/>
      <c r="C781" s="168"/>
      <c r="E781" s="214"/>
      <c r="F781" s="215"/>
      <c r="G781" s="216"/>
      <c r="H781" s="216"/>
      <c r="I781" s="216"/>
      <c r="J781" s="216"/>
      <c r="K781" s="214"/>
      <c r="L781" s="215"/>
      <c r="M781" s="214"/>
      <c r="N781" s="215"/>
      <c r="O781" s="216"/>
      <c r="P781" s="214"/>
      <c r="Q781" s="215"/>
      <c r="R781" s="216"/>
      <c r="S781" s="216"/>
      <c r="T781" s="216"/>
      <c r="U781" s="214"/>
      <c r="V781" s="215"/>
      <c r="W781" s="214"/>
      <c r="X781" s="215"/>
      <c r="Y781" s="214"/>
      <c r="Z781" s="215"/>
      <c r="AA781" s="171"/>
      <c r="AB781" s="171"/>
      <c r="AC781" s="214"/>
      <c r="AD781" s="10"/>
      <c r="AE781" s="10"/>
      <c r="AF781" s="214"/>
      <c r="AG781" s="215"/>
    </row>
    <row r="782" spans="1:33" ht="12.75" customHeight="1" x14ac:dyDescent="0.25">
      <c r="A782" s="168"/>
      <c r="B782" s="168"/>
      <c r="C782" s="168"/>
      <c r="E782" s="214"/>
      <c r="F782" s="215"/>
      <c r="G782" s="216"/>
      <c r="H782" s="216"/>
      <c r="I782" s="216"/>
      <c r="J782" s="216"/>
      <c r="K782" s="214"/>
      <c r="L782" s="215"/>
      <c r="M782" s="214"/>
      <c r="N782" s="215"/>
      <c r="O782" s="216"/>
      <c r="P782" s="214"/>
      <c r="Q782" s="215"/>
      <c r="R782" s="216"/>
      <c r="S782" s="216"/>
      <c r="T782" s="216"/>
      <c r="U782" s="214"/>
      <c r="V782" s="215"/>
      <c r="W782" s="214"/>
      <c r="X782" s="215"/>
      <c r="Y782" s="214"/>
      <c r="Z782" s="215"/>
      <c r="AA782" s="171"/>
      <c r="AB782" s="171"/>
      <c r="AC782" s="214"/>
      <c r="AD782" s="10"/>
      <c r="AE782" s="10"/>
      <c r="AF782" s="214"/>
      <c r="AG782" s="215"/>
    </row>
    <row r="783" spans="1:33" ht="12.75" customHeight="1" x14ac:dyDescent="0.25">
      <c r="A783" s="168"/>
      <c r="B783" s="168"/>
      <c r="C783" s="168"/>
      <c r="E783" s="214"/>
      <c r="F783" s="215"/>
      <c r="G783" s="216"/>
      <c r="H783" s="216"/>
      <c r="I783" s="216"/>
      <c r="J783" s="216"/>
      <c r="K783" s="214"/>
      <c r="L783" s="215"/>
      <c r="M783" s="214"/>
      <c r="N783" s="215"/>
      <c r="O783" s="216"/>
      <c r="P783" s="214"/>
      <c r="Q783" s="215"/>
      <c r="R783" s="216"/>
      <c r="S783" s="216"/>
      <c r="T783" s="216"/>
      <c r="U783" s="214"/>
      <c r="V783" s="215"/>
      <c r="W783" s="214"/>
      <c r="X783" s="215"/>
      <c r="Y783" s="214"/>
      <c r="Z783" s="215"/>
      <c r="AA783" s="171"/>
      <c r="AB783" s="171"/>
      <c r="AC783" s="214"/>
      <c r="AD783" s="10"/>
      <c r="AE783" s="10"/>
      <c r="AF783" s="214"/>
      <c r="AG783" s="215"/>
    </row>
    <row r="784" spans="1:33" ht="12.75" customHeight="1" x14ac:dyDescent="0.25">
      <c r="A784" s="168"/>
      <c r="B784" s="168"/>
      <c r="C784" s="168"/>
      <c r="E784" s="214"/>
      <c r="F784" s="215"/>
      <c r="G784" s="216"/>
      <c r="H784" s="216"/>
      <c r="I784" s="216"/>
      <c r="J784" s="216"/>
      <c r="K784" s="214"/>
      <c r="L784" s="215"/>
      <c r="M784" s="214"/>
      <c r="N784" s="215"/>
      <c r="O784" s="216"/>
      <c r="P784" s="214"/>
      <c r="Q784" s="215"/>
      <c r="R784" s="216"/>
      <c r="S784" s="216"/>
      <c r="T784" s="216"/>
      <c r="U784" s="214"/>
      <c r="V784" s="215"/>
      <c r="W784" s="214"/>
      <c r="X784" s="215"/>
      <c r="Y784" s="214"/>
      <c r="Z784" s="215"/>
      <c r="AA784" s="171"/>
      <c r="AB784" s="171"/>
      <c r="AC784" s="214"/>
      <c r="AD784" s="10"/>
      <c r="AE784" s="10"/>
      <c r="AF784" s="214"/>
      <c r="AG784" s="215"/>
    </row>
    <row r="785" spans="1:33" ht="12.75" customHeight="1" x14ac:dyDescent="0.25">
      <c r="A785" s="168"/>
      <c r="B785" s="168"/>
      <c r="C785" s="168"/>
      <c r="E785" s="214"/>
      <c r="F785" s="215"/>
      <c r="G785" s="216"/>
      <c r="H785" s="216"/>
      <c r="I785" s="216"/>
      <c r="J785" s="216"/>
      <c r="K785" s="214"/>
      <c r="L785" s="215"/>
      <c r="M785" s="214"/>
      <c r="N785" s="215"/>
      <c r="O785" s="216"/>
      <c r="P785" s="214"/>
      <c r="Q785" s="215"/>
      <c r="R785" s="216"/>
      <c r="S785" s="216"/>
      <c r="T785" s="216"/>
      <c r="U785" s="214"/>
      <c r="V785" s="215"/>
      <c r="W785" s="214"/>
      <c r="X785" s="215"/>
      <c r="Y785" s="214"/>
      <c r="Z785" s="215"/>
      <c r="AA785" s="171"/>
      <c r="AB785" s="171"/>
      <c r="AC785" s="214"/>
      <c r="AD785" s="10"/>
      <c r="AE785" s="10"/>
      <c r="AF785" s="214"/>
      <c r="AG785" s="215"/>
    </row>
    <row r="786" spans="1:33" ht="12.75" customHeight="1" x14ac:dyDescent="0.25">
      <c r="A786" s="168"/>
      <c r="B786" s="168"/>
      <c r="C786" s="168"/>
      <c r="E786" s="214"/>
      <c r="F786" s="215"/>
      <c r="G786" s="216"/>
      <c r="H786" s="216"/>
      <c r="I786" s="216"/>
      <c r="J786" s="216"/>
      <c r="K786" s="214"/>
      <c r="L786" s="215"/>
      <c r="M786" s="214"/>
      <c r="N786" s="215"/>
      <c r="O786" s="216"/>
      <c r="P786" s="214"/>
      <c r="Q786" s="215"/>
      <c r="R786" s="216"/>
      <c r="S786" s="216"/>
      <c r="T786" s="216"/>
      <c r="U786" s="214"/>
      <c r="V786" s="215"/>
      <c r="W786" s="214"/>
      <c r="X786" s="215"/>
      <c r="Y786" s="214"/>
      <c r="Z786" s="215"/>
      <c r="AA786" s="171"/>
      <c r="AB786" s="171"/>
      <c r="AC786" s="214"/>
      <c r="AD786" s="10"/>
      <c r="AE786" s="10"/>
      <c r="AF786" s="214"/>
      <c r="AG786" s="215"/>
    </row>
    <row r="787" spans="1:33" ht="12.75" customHeight="1" x14ac:dyDescent="0.25">
      <c r="A787" s="168"/>
      <c r="B787" s="168"/>
      <c r="C787" s="168"/>
      <c r="E787" s="214"/>
      <c r="F787" s="215"/>
      <c r="G787" s="216"/>
      <c r="H787" s="216"/>
      <c r="I787" s="216"/>
      <c r="J787" s="216"/>
      <c r="K787" s="214"/>
      <c r="L787" s="215"/>
      <c r="M787" s="214"/>
      <c r="N787" s="215"/>
      <c r="O787" s="216"/>
      <c r="P787" s="214"/>
      <c r="Q787" s="215"/>
      <c r="R787" s="216"/>
      <c r="S787" s="216"/>
      <c r="T787" s="216"/>
      <c r="U787" s="214"/>
      <c r="V787" s="215"/>
      <c r="W787" s="214"/>
      <c r="X787" s="215"/>
      <c r="Y787" s="214"/>
      <c r="Z787" s="215"/>
      <c r="AA787" s="171"/>
      <c r="AB787" s="171"/>
      <c r="AC787" s="214"/>
      <c r="AD787" s="10"/>
      <c r="AE787" s="10"/>
      <c r="AF787" s="214"/>
      <c r="AG787" s="215"/>
    </row>
    <row r="788" spans="1:33" ht="12.75" customHeight="1" x14ac:dyDescent="0.25">
      <c r="A788" s="168"/>
      <c r="B788" s="168"/>
      <c r="C788" s="168"/>
      <c r="E788" s="214"/>
      <c r="F788" s="215"/>
      <c r="G788" s="216"/>
      <c r="H788" s="216"/>
      <c r="I788" s="216"/>
      <c r="J788" s="216"/>
      <c r="K788" s="214"/>
      <c r="L788" s="215"/>
      <c r="M788" s="214"/>
      <c r="N788" s="215"/>
      <c r="O788" s="216"/>
      <c r="P788" s="214"/>
      <c r="Q788" s="215"/>
      <c r="R788" s="216"/>
      <c r="S788" s="216"/>
      <c r="T788" s="216"/>
      <c r="U788" s="214"/>
      <c r="V788" s="215"/>
      <c r="W788" s="214"/>
      <c r="X788" s="215"/>
      <c r="Y788" s="214"/>
      <c r="Z788" s="215"/>
      <c r="AA788" s="171"/>
      <c r="AB788" s="171"/>
      <c r="AC788" s="214"/>
      <c r="AD788" s="10"/>
      <c r="AE788" s="10"/>
      <c r="AF788" s="214"/>
      <c r="AG788" s="215"/>
    </row>
    <row r="789" spans="1:33" ht="12.75" customHeight="1" x14ac:dyDescent="0.25">
      <c r="A789" s="168"/>
      <c r="B789" s="168"/>
      <c r="C789" s="168"/>
      <c r="E789" s="214"/>
      <c r="F789" s="215"/>
      <c r="G789" s="216"/>
      <c r="H789" s="216"/>
      <c r="I789" s="216"/>
      <c r="J789" s="216"/>
      <c r="K789" s="214"/>
      <c r="L789" s="215"/>
      <c r="M789" s="214"/>
      <c r="N789" s="215"/>
      <c r="O789" s="216"/>
      <c r="P789" s="214"/>
      <c r="Q789" s="215"/>
      <c r="R789" s="216"/>
      <c r="S789" s="216"/>
      <c r="T789" s="216"/>
      <c r="U789" s="214"/>
      <c r="V789" s="215"/>
      <c r="W789" s="214"/>
      <c r="X789" s="215"/>
      <c r="Y789" s="214"/>
      <c r="Z789" s="215"/>
      <c r="AA789" s="171"/>
      <c r="AB789" s="171"/>
      <c r="AC789" s="214"/>
      <c r="AD789" s="10"/>
      <c r="AE789" s="10"/>
      <c r="AF789" s="214"/>
      <c r="AG789" s="215"/>
    </row>
    <row r="790" spans="1:33" ht="12.75" customHeight="1" x14ac:dyDescent="0.25">
      <c r="A790" s="168"/>
      <c r="B790" s="168"/>
      <c r="C790" s="168"/>
      <c r="E790" s="214"/>
      <c r="F790" s="215"/>
      <c r="G790" s="216"/>
      <c r="H790" s="216"/>
      <c r="I790" s="216"/>
      <c r="J790" s="216"/>
      <c r="K790" s="214"/>
      <c r="L790" s="215"/>
      <c r="M790" s="214"/>
      <c r="N790" s="215"/>
      <c r="O790" s="216"/>
      <c r="P790" s="214"/>
      <c r="Q790" s="215"/>
      <c r="R790" s="216"/>
      <c r="S790" s="216"/>
      <c r="T790" s="216"/>
      <c r="U790" s="214"/>
      <c r="V790" s="215"/>
      <c r="W790" s="214"/>
      <c r="X790" s="215"/>
      <c r="Y790" s="214"/>
      <c r="Z790" s="215"/>
      <c r="AA790" s="171"/>
      <c r="AB790" s="171"/>
      <c r="AC790" s="214"/>
      <c r="AD790" s="10"/>
      <c r="AE790" s="10"/>
      <c r="AF790" s="214"/>
      <c r="AG790" s="215"/>
    </row>
    <row r="791" spans="1:33" ht="12.75" customHeight="1" x14ac:dyDescent="0.25">
      <c r="A791" s="168"/>
      <c r="B791" s="168"/>
      <c r="C791" s="168"/>
      <c r="E791" s="214"/>
      <c r="F791" s="215"/>
      <c r="G791" s="216"/>
      <c r="H791" s="216"/>
      <c r="I791" s="216"/>
      <c r="J791" s="216"/>
      <c r="K791" s="214"/>
      <c r="L791" s="215"/>
      <c r="M791" s="214"/>
      <c r="N791" s="215"/>
      <c r="O791" s="216"/>
      <c r="P791" s="214"/>
      <c r="Q791" s="215"/>
      <c r="R791" s="216"/>
      <c r="S791" s="216"/>
      <c r="T791" s="216"/>
      <c r="U791" s="214"/>
      <c r="V791" s="215"/>
      <c r="W791" s="214"/>
      <c r="X791" s="215"/>
      <c r="Y791" s="214"/>
      <c r="Z791" s="215"/>
      <c r="AA791" s="171"/>
      <c r="AB791" s="171"/>
      <c r="AC791" s="214"/>
      <c r="AD791" s="10"/>
      <c r="AE791" s="10"/>
      <c r="AF791" s="214"/>
      <c r="AG791" s="215"/>
    </row>
    <row r="792" spans="1:33" ht="12.75" customHeight="1" x14ac:dyDescent="0.25">
      <c r="A792" s="168"/>
      <c r="B792" s="168"/>
      <c r="C792" s="168"/>
      <c r="E792" s="214"/>
      <c r="F792" s="215"/>
      <c r="G792" s="216"/>
      <c r="H792" s="216"/>
      <c r="I792" s="216"/>
      <c r="J792" s="216"/>
      <c r="K792" s="214"/>
      <c r="L792" s="215"/>
      <c r="M792" s="214"/>
      <c r="N792" s="215"/>
      <c r="O792" s="216"/>
      <c r="P792" s="214"/>
      <c r="Q792" s="215"/>
      <c r="R792" s="216"/>
      <c r="S792" s="216"/>
      <c r="T792" s="216"/>
      <c r="U792" s="214"/>
      <c r="V792" s="215"/>
      <c r="W792" s="214"/>
      <c r="X792" s="215"/>
      <c r="Y792" s="214"/>
      <c r="Z792" s="215"/>
      <c r="AA792" s="171"/>
      <c r="AB792" s="171"/>
      <c r="AC792" s="214"/>
      <c r="AD792" s="10"/>
      <c r="AE792" s="10"/>
      <c r="AF792" s="214"/>
      <c r="AG792" s="215"/>
    </row>
    <row r="793" spans="1:33" ht="12.75" customHeight="1" x14ac:dyDescent="0.25">
      <c r="A793" s="168"/>
      <c r="B793" s="168"/>
      <c r="C793" s="168"/>
      <c r="E793" s="214"/>
      <c r="F793" s="215"/>
      <c r="G793" s="216"/>
      <c r="H793" s="216"/>
      <c r="I793" s="216"/>
      <c r="J793" s="216"/>
      <c r="K793" s="214"/>
      <c r="L793" s="215"/>
      <c r="M793" s="214"/>
      <c r="N793" s="215"/>
      <c r="O793" s="216"/>
      <c r="P793" s="214"/>
      <c r="Q793" s="215"/>
      <c r="R793" s="216"/>
      <c r="S793" s="216"/>
      <c r="T793" s="216"/>
      <c r="U793" s="214"/>
      <c r="V793" s="215"/>
      <c r="W793" s="214"/>
      <c r="X793" s="215"/>
      <c r="Y793" s="214"/>
      <c r="Z793" s="215"/>
      <c r="AA793" s="171"/>
      <c r="AB793" s="171"/>
      <c r="AC793" s="214"/>
      <c r="AD793" s="10"/>
      <c r="AE793" s="10"/>
      <c r="AF793" s="214"/>
      <c r="AG793" s="215"/>
    </row>
    <row r="794" spans="1:33" ht="12.75" customHeight="1" x14ac:dyDescent="0.25">
      <c r="A794" s="168"/>
      <c r="B794" s="168"/>
      <c r="C794" s="168"/>
      <c r="E794" s="214"/>
      <c r="F794" s="215"/>
      <c r="G794" s="216"/>
      <c r="H794" s="216"/>
      <c r="I794" s="216"/>
      <c r="J794" s="216"/>
      <c r="K794" s="214"/>
      <c r="L794" s="215"/>
      <c r="M794" s="214"/>
      <c r="N794" s="215"/>
      <c r="O794" s="216"/>
      <c r="P794" s="214"/>
      <c r="Q794" s="215"/>
      <c r="R794" s="216"/>
      <c r="S794" s="216"/>
      <c r="T794" s="216"/>
      <c r="U794" s="214"/>
      <c r="V794" s="215"/>
      <c r="W794" s="214"/>
      <c r="X794" s="215"/>
      <c r="Y794" s="214"/>
      <c r="Z794" s="215"/>
      <c r="AA794" s="171"/>
      <c r="AB794" s="171"/>
      <c r="AC794" s="214"/>
      <c r="AD794" s="10"/>
      <c r="AE794" s="10"/>
      <c r="AF794" s="214"/>
      <c r="AG794" s="215"/>
    </row>
    <row r="795" spans="1:33" ht="12.75" customHeight="1" x14ac:dyDescent="0.25">
      <c r="A795" s="168"/>
      <c r="B795" s="168"/>
      <c r="C795" s="168"/>
      <c r="E795" s="214"/>
      <c r="F795" s="215"/>
      <c r="G795" s="216"/>
      <c r="H795" s="216"/>
      <c r="I795" s="216"/>
      <c r="J795" s="216"/>
      <c r="K795" s="214"/>
      <c r="L795" s="215"/>
      <c r="M795" s="214"/>
      <c r="N795" s="215"/>
      <c r="O795" s="216"/>
      <c r="P795" s="214"/>
      <c r="Q795" s="215"/>
      <c r="R795" s="216"/>
      <c r="S795" s="216"/>
      <c r="T795" s="216"/>
      <c r="U795" s="214"/>
      <c r="V795" s="215"/>
      <c r="W795" s="214"/>
      <c r="X795" s="215"/>
      <c r="Y795" s="214"/>
      <c r="Z795" s="215"/>
      <c r="AA795" s="171"/>
      <c r="AB795" s="171"/>
      <c r="AC795" s="214"/>
      <c r="AD795" s="10"/>
      <c r="AE795" s="10"/>
      <c r="AF795" s="214"/>
      <c r="AG795" s="215"/>
    </row>
    <row r="796" spans="1:33" ht="12.75" customHeight="1" x14ac:dyDescent="0.25">
      <c r="A796" s="168"/>
      <c r="B796" s="168"/>
      <c r="C796" s="168"/>
      <c r="E796" s="214"/>
      <c r="F796" s="215"/>
      <c r="G796" s="216"/>
      <c r="H796" s="216"/>
      <c r="I796" s="216"/>
      <c r="J796" s="216"/>
      <c r="K796" s="214"/>
      <c r="L796" s="215"/>
      <c r="M796" s="214"/>
      <c r="N796" s="215"/>
      <c r="O796" s="216"/>
      <c r="P796" s="214"/>
      <c r="Q796" s="215"/>
      <c r="R796" s="216"/>
      <c r="S796" s="216"/>
      <c r="T796" s="216"/>
      <c r="U796" s="214"/>
      <c r="V796" s="215"/>
      <c r="W796" s="214"/>
      <c r="X796" s="215"/>
      <c r="Y796" s="214"/>
      <c r="Z796" s="215"/>
      <c r="AA796" s="171"/>
      <c r="AB796" s="171"/>
      <c r="AC796" s="214"/>
      <c r="AD796" s="10"/>
      <c r="AE796" s="10"/>
      <c r="AF796" s="214"/>
      <c r="AG796" s="215"/>
    </row>
    <row r="797" spans="1:33" ht="12.75" customHeight="1" x14ac:dyDescent="0.25">
      <c r="A797" s="168"/>
      <c r="B797" s="168"/>
      <c r="C797" s="168"/>
      <c r="E797" s="214"/>
      <c r="F797" s="215"/>
      <c r="G797" s="216"/>
      <c r="H797" s="216"/>
      <c r="I797" s="216"/>
      <c r="J797" s="216"/>
      <c r="K797" s="214"/>
      <c r="L797" s="215"/>
      <c r="M797" s="214"/>
      <c r="N797" s="215"/>
      <c r="O797" s="216"/>
      <c r="P797" s="214"/>
      <c r="Q797" s="215"/>
      <c r="R797" s="216"/>
      <c r="S797" s="216"/>
      <c r="T797" s="216"/>
      <c r="U797" s="214"/>
      <c r="V797" s="215"/>
      <c r="W797" s="214"/>
      <c r="X797" s="215"/>
      <c r="Y797" s="214"/>
      <c r="Z797" s="215"/>
      <c r="AA797" s="171"/>
      <c r="AB797" s="171"/>
      <c r="AC797" s="214"/>
      <c r="AD797" s="10"/>
      <c r="AE797" s="10"/>
      <c r="AF797" s="214"/>
      <c r="AG797" s="215"/>
    </row>
    <row r="798" spans="1:33" ht="12.75" customHeight="1" x14ac:dyDescent="0.25">
      <c r="A798" s="168"/>
      <c r="B798" s="168"/>
      <c r="C798" s="168"/>
      <c r="E798" s="214"/>
      <c r="F798" s="215"/>
      <c r="G798" s="216"/>
      <c r="H798" s="216"/>
      <c r="I798" s="216"/>
      <c r="J798" s="216"/>
      <c r="K798" s="214"/>
      <c r="L798" s="215"/>
      <c r="M798" s="214"/>
      <c r="N798" s="215"/>
      <c r="O798" s="216"/>
      <c r="P798" s="214"/>
      <c r="Q798" s="215"/>
      <c r="R798" s="216"/>
      <c r="S798" s="216"/>
      <c r="T798" s="216"/>
      <c r="U798" s="214"/>
      <c r="V798" s="215"/>
      <c r="W798" s="214"/>
      <c r="X798" s="215"/>
      <c r="Y798" s="214"/>
      <c r="Z798" s="215"/>
      <c r="AA798" s="171"/>
      <c r="AB798" s="171"/>
      <c r="AC798" s="214"/>
      <c r="AD798" s="10"/>
      <c r="AE798" s="10"/>
      <c r="AF798" s="214"/>
      <c r="AG798" s="215"/>
    </row>
    <row r="799" spans="1:33" ht="12.75" customHeight="1" x14ac:dyDescent="0.25">
      <c r="A799" s="168"/>
      <c r="B799" s="168"/>
      <c r="C799" s="168"/>
      <c r="E799" s="214"/>
      <c r="F799" s="215"/>
      <c r="G799" s="216"/>
      <c r="H799" s="216"/>
      <c r="I799" s="216"/>
      <c r="J799" s="216"/>
      <c r="K799" s="214"/>
      <c r="L799" s="215"/>
      <c r="M799" s="214"/>
      <c r="N799" s="215"/>
      <c r="O799" s="216"/>
      <c r="P799" s="214"/>
      <c r="Q799" s="215"/>
      <c r="R799" s="216"/>
      <c r="S799" s="216"/>
      <c r="T799" s="216"/>
      <c r="U799" s="214"/>
      <c r="V799" s="215"/>
      <c r="W799" s="214"/>
      <c r="X799" s="215"/>
      <c r="Y799" s="214"/>
      <c r="Z799" s="215"/>
      <c r="AA799" s="171"/>
      <c r="AB799" s="171"/>
      <c r="AC799" s="214"/>
      <c r="AD799" s="10"/>
      <c r="AE799" s="10"/>
      <c r="AF799" s="214"/>
      <c r="AG799" s="215"/>
    </row>
    <row r="800" spans="1:33" ht="12.75" customHeight="1" x14ac:dyDescent="0.25">
      <c r="A800" s="168"/>
      <c r="B800" s="168"/>
      <c r="C800" s="168"/>
      <c r="E800" s="214"/>
      <c r="F800" s="215"/>
      <c r="G800" s="216"/>
      <c r="H800" s="216"/>
      <c r="I800" s="216"/>
      <c r="J800" s="216"/>
      <c r="K800" s="214"/>
      <c r="L800" s="215"/>
      <c r="M800" s="214"/>
      <c r="N800" s="215"/>
      <c r="O800" s="216"/>
      <c r="P800" s="214"/>
      <c r="Q800" s="215"/>
      <c r="R800" s="216"/>
      <c r="S800" s="216"/>
      <c r="T800" s="216"/>
      <c r="U800" s="214"/>
      <c r="V800" s="215"/>
      <c r="W800" s="214"/>
      <c r="X800" s="215"/>
      <c r="Y800" s="214"/>
      <c r="Z800" s="215"/>
      <c r="AA800" s="171"/>
      <c r="AB800" s="171"/>
      <c r="AC800" s="214"/>
      <c r="AD800" s="10"/>
      <c r="AE800" s="10"/>
      <c r="AF800" s="214"/>
      <c r="AG800" s="215"/>
    </row>
    <row r="801" spans="5:33" ht="12.75" customHeight="1" x14ac:dyDescent="0.25">
      <c r="E801" s="217"/>
      <c r="F801" s="218"/>
      <c r="G801" s="219"/>
      <c r="H801" s="219"/>
      <c r="I801" s="219"/>
      <c r="J801" s="219"/>
      <c r="K801" s="217"/>
      <c r="L801" s="218"/>
      <c r="M801" s="217"/>
      <c r="N801" s="218"/>
      <c r="O801" s="219"/>
      <c r="P801" s="217"/>
      <c r="Q801" s="218"/>
      <c r="R801" s="219"/>
      <c r="S801" s="219"/>
      <c r="T801" s="219"/>
      <c r="U801" s="217"/>
      <c r="V801" s="218"/>
      <c r="W801" s="217"/>
      <c r="X801" s="218"/>
      <c r="Y801" s="217"/>
      <c r="Z801" s="218"/>
      <c r="AC801" s="217"/>
      <c r="AD801" s="10"/>
      <c r="AE801" s="10"/>
      <c r="AF801" s="217"/>
      <c r="AG801" s="218"/>
    </row>
    <row r="802" spans="5:33" ht="12.75" customHeight="1" x14ac:dyDescent="0.25">
      <c r="E802" s="217"/>
      <c r="F802" s="218"/>
      <c r="G802" s="219"/>
      <c r="H802" s="219"/>
      <c r="I802" s="219"/>
      <c r="J802" s="219"/>
      <c r="K802" s="217"/>
      <c r="L802" s="218"/>
      <c r="M802" s="217"/>
      <c r="N802" s="218"/>
      <c r="O802" s="219"/>
      <c r="P802" s="217"/>
      <c r="Q802" s="218"/>
      <c r="R802" s="219"/>
      <c r="S802" s="219"/>
      <c r="T802" s="219"/>
      <c r="U802" s="217"/>
      <c r="V802" s="218"/>
      <c r="W802" s="217"/>
      <c r="X802" s="218"/>
      <c r="Y802" s="217"/>
      <c r="Z802" s="218"/>
      <c r="AC802" s="217"/>
      <c r="AD802" s="10"/>
      <c r="AE802" s="10"/>
      <c r="AF802" s="217"/>
      <c r="AG802" s="218"/>
    </row>
    <row r="803" spans="5:33" ht="12.75" customHeight="1" x14ac:dyDescent="0.25">
      <c r="AD803" s="10"/>
      <c r="AE803" s="10"/>
    </row>
    <row r="804" spans="5:33" ht="12.75" customHeight="1" x14ac:dyDescent="0.25">
      <c r="AD804" s="10"/>
      <c r="AE804" s="10"/>
    </row>
    <row r="805" spans="5:33" ht="12.75" customHeight="1" x14ac:dyDescent="0.25">
      <c r="AD805" s="10"/>
      <c r="AE805" s="10"/>
    </row>
    <row r="806" spans="5:33" ht="12.75" customHeight="1" x14ac:dyDescent="0.25">
      <c r="AD806" s="10"/>
      <c r="AE806" s="10"/>
    </row>
    <row r="807" spans="5:33" x14ac:dyDescent="0.25">
      <c r="AD807" s="10"/>
      <c r="AE807" s="10"/>
    </row>
    <row r="808" spans="5:33" x14ac:dyDescent="0.25">
      <c r="AD808" s="10"/>
      <c r="AE808" s="10"/>
    </row>
    <row r="809" spans="5:33" x14ac:dyDescent="0.25">
      <c r="AD809" s="10"/>
      <c r="AE809" s="10"/>
    </row>
    <row r="810" spans="5:33" x14ac:dyDescent="0.25">
      <c r="AD810" s="10"/>
      <c r="AE810" s="10"/>
    </row>
    <row r="811" spans="5:33" x14ac:dyDescent="0.25">
      <c r="AD811" s="10"/>
      <c r="AE811" s="10"/>
    </row>
  </sheetData>
  <sheetProtection algorithmName="SHA-512" hashValue="7AEvINlGLfRhlsr47FLVvVmSrbRcjHg9BxtQ2C4XuvJ2vfbMXsFezYNXTf1IkKc5SF24XM7RbRGeRI6XndUUfw==" saltValue="wrMPC1pytKXuXAyyHsaH1A==" spinCount="100000" sheet="1" objects="1" scenarios="1"/>
  <mergeCells count="9">
    <mergeCell ref="F4:I4"/>
    <mergeCell ref="Q4:R4"/>
    <mergeCell ref="Z4:AA4"/>
    <mergeCell ref="AD4:AE4"/>
    <mergeCell ref="F3:J3"/>
    <mergeCell ref="N3:O3"/>
    <mergeCell ref="Q3:T3"/>
    <mergeCell ref="Z3:AB3"/>
    <mergeCell ref="AD3:AE3"/>
  </mergeCells>
  <pageMargins left="0.7" right="0.7" top="0.75" bottom="0.75" header="0.3" footer="0.3"/>
  <pageSetup orientation="portrait" horizontalDpi="1200" verticalDpi="12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theme="5"/>
  </sheetPr>
  <dimension ref="B2:E72"/>
  <sheetViews>
    <sheetView topLeftCell="A40" workbookViewId="0">
      <selection activeCell="C3" sqref="C3:C72"/>
    </sheetView>
  </sheetViews>
  <sheetFormatPr defaultRowHeight="15" x14ac:dyDescent="0.25"/>
  <cols>
    <col min="2" max="2" width="19" customWidth="1"/>
    <col min="3" max="3" width="37.140625" customWidth="1"/>
    <col min="5" max="5" width="14.7109375" customWidth="1"/>
  </cols>
  <sheetData>
    <row r="2" spans="2:5" x14ac:dyDescent="0.25">
      <c r="B2" s="244" t="s">
        <v>710</v>
      </c>
      <c r="C2" s="244" t="s">
        <v>711</v>
      </c>
      <c r="D2" s="244" t="s">
        <v>712</v>
      </c>
      <c r="E2" s="244" t="s">
        <v>718</v>
      </c>
    </row>
    <row r="3" spans="2:5" x14ac:dyDescent="0.25">
      <c r="B3" s="245" t="s">
        <v>713</v>
      </c>
      <c r="C3" s="245" t="s">
        <v>7</v>
      </c>
      <c r="D3" s="246">
        <v>4</v>
      </c>
      <c r="E3" s="246"/>
    </row>
    <row r="4" spans="2:5" x14ac:dyDescent="0.25">
      <c r="B4" s="245" t="s">
        <v>713</v>
      </c>
      <c r="C4" s="245" t="s">
        <v>376</v>
      </c>
      <c r="D4" s="246">
        <v>3</v>
      </c>
      <c r="E4" s="246"/>
    </row>
    <row r="5" spans="2:5" x14ac:dyDescent="0.25">
      <c r="B5" s="245" t="s">
        <v>713</v>
      </c>
      <c r="C5" s="245" t="s">
        <v>8</v>
      </c>
      <c r="D5" s="246">
        <v>3</v>
      </c>
      <c r="E5" s="246"/>
    </row>
    <row r="6" spans="2:5" x14ac:dyDescent="0.25">
      <c r="B6" s="245" t="s">
        <v>713</v>
      </c>
      <c r="C6" s="245" t="s">
        <v>9</v>
      </c>
      <c r="D6" s="246">
        <v>5</v>
      </c>
      <c r="E6" s="246"/>
    </row>
    <row r="7" spans="2:5" x14ac:dyDescent="0.25">
      <c r="B7" s="245" t="s">
        <v>713</v>
      </c>
      <c r="C7" s="245" t="s">
        <v>722</v>
      </c>
      <c r="D7" s="246">
        <v>1</v>
      </c>
      <c r="E7" s="246" t="s">
        <v>719</v>
      </c>
    </row>
    <row r="8" spans="2:5" x14ac:dyDescent="0.25">
      <c r="B8" s="245" t="s">
        <v>713</v>
      </c>
      <c r="C8" s="245" t="s">
        <v>11</v>
      </c>
      <c r="D8" s="246">
        <v>5</v>
      </c>
      <c r="E8" s="246"/>
    </row>
    <row r="9" spans="2:5" x14ac:dyDescent="0.25">
      <c r="B9" s="245" t="s">
        <v>713</v>
      </c>
      <c r="C9" s="245" t="s">
        <v>12</v>
      </c>
      <c r="D9" s="246">
        <v>5</v>
      </c>
      <c r="E9" s="246"/>
    </row>
    <row r="10" spans="2:5" x14ac:dyDescent="0.25">
      <c r="B10" s="245" t="s">
        <v>713</v>
      </c>
      <c r="C10" s="245" t="s">
        <v>13</v>
      </c>
      <c r="D10" s="246">
        <v>3</v>
      </c>
      <c r="E10" s="246"/>
    </row>
    <row r="11" spans="2:5" x14ac:dyDescent="0.25">
      <c r="B11" s="245" t="s">
        <v>713</v>
      </c>
      <c r="C11" s="245" t="s">
        <v>14</v>
      </c>
      <c r="D11" s="246">
        <v>3</v>
      </c>
      <c r="E11" s="246"/>
    </row>
    <row r="12" spans="2:5" x14ac:dyDescent="0.25">
      <c r="B12" s="245" t="s">
        <v>713</v>
      </c>
      <c r="C12" s="245" t="s">
        <v>15</v>
      </c>
      <c r="D12" s="246">
        <v>3</v>
      </c>
      <c r="E12" s="246"/>
    </row>
    <row r="13" spans="2:5" x14ac:dyDescent="0.25">
      <c r="B13" s="245" t="s">
        <v>713</v>
      </c>
      <c r="C13" s="245" t="s">
        <v>16</v>
      </c>
      <c r="D13" s="246">
        <v>5</v>
      </c>
      <c r="E13" s="246"/>
    </row>
    <row r="14" spans="2:5" x14ac:dyDescent="0.25">
      <c r="B14" s="245" t="s">
        <v>713</v>
      </c>
      <c r="C14" s="245" t="s">
        <v>34</v>
      </c>
      <c r="D14" s="246">
        <v>5</v>
      </c>
      <c r="E14" s="246"/>
    </row>
    <row r="15" spans="2:5" x14ac:dyDescent="0.25">
      <c r="B15" s="245" t="s">
        <v>713</v>
      </c>
      <c r="C15" s="245" t="s">
        <v>17</v>
      </c>
      <c r="D15" s="246">
        <v>4</v>
      </c>
      <c r="E15" s="246"/>
    </row>
    <row r="16" spans="2:5" x14ac:dyDescent="0.25">
      <c r="B16" s="245" t="s">
        <v>713</v>
      </c>
      <c r="C16" s="245" t="s">
        <v>10</v>
      </c>
      <c r="D16" s="246">
        <v>4</v>
      </c>
      <c r="E16" s="246" t="s">
        <v>720</v>
      </c>
    </row>
    <row r="17" spans="2:5" x14ac:dyDescent="0.25">
      <c r="B17" s="245" t="s">
        <v>714</v>
      </c>
      <c r="C17" s="245" t="s">
        <v>7</v>
      </c>
      <c r="D17" s="246">
        <v>3</v>
      </c>
      <c r="E17" s="246"/>
    </row>
    <row r="18" spans="2:5" x14ac:dyDescent="0.25">
      <c r="B18" s="245" t="s">
        <v>714</v>
      </c>
      <c r="C18" s="245" t="s">
        <v>376</v>
      </c>
      <c r="D18" s="246">
        <v>1</v>
      </c>
      <c r="E18" s="246"/>
    </row>
    <row r="19" spans="2:5" x14ac:dyDescent="0.25">
      <c r="B19" s="245" t="s">
        <v>714</v>
      </c>
      <c r="C19" s="245" t="s">
        <v>8</v>
      </c>
      <c r="D19" s="246">
        <v>3</v>
      </c>
      <c r="E19" s="246"/>
    </row>
    <row r="20" spans="2:5" x14ac:dyDescent="0.25">
      <c r="B20" s="245" t="s">
        <v>714</v>
      </c>
      <c r="C20" s="245" t="s">
        <v>9</v>
      </c>
      <c r="D20" s="246">
        <v>4</v>
      </c>
      <c r="E20" s="246"/>
    </row>
    <row r="21" spans="2:5" x14ac:dyDescent="0.25">
      <c r="B21" s="245" t="s">
        <v>714</v>
      </c>
      <c r="C21" s="245" t="s">
        <v>722</v>
      </c>
      <c r="D21" s="246">
        <v>1</v>
      </c>
      <c r="E21" s="246" t="s">
        <v>719</v>
      </c>
    </row>
    <row r="22" spans="2:5" x14ac:dyDescent="0.25">
      <c r="B22" s="245" t="s">
        <v>714</v>
      </c>
      <c r="C22" s="245" t="s">
        <v>11</v>
      </c>
      <c r="D22" s="246">
        <v>5</v>
      </c>
      <c r="E22" s="246"/>
    </row>
    <row r="23" spans="2:5" x14ac:dyDescent="0.25">
      <c r="B23" s="245" t="s">
        <v>714</v>
      </c>
      <c r="C23" s="245" t="s">
        <v>12</v>
      </c>
      <c r="D23" s="246">
        <v>4</v>
      </c>
      <c r="E23" s="246"/>
    </row>
    <row r="24" spans="2:5" x14ac:dyDescent="0.25">
      <c r="B24" s="245" t="s">
        <v>714</v>
      </c>
      <c r="C24" s="245" t="s">
        <v>13</v>
      </c>
      <c r="D24" s="246">
        <v>3</v>
      </c>
      <c r="E24" s="246"/>
    </row>
    <row r="25" spans="2:5" x14ac:dyDescent="0.25">
      <c r="B25" s="245" t="s">
        <v>714</v>
      </c>
      <c r="C25" s="245" t="s">
        <v>14</v>
      </c>
      <c r="D25" s="246">
        <v>3</v>
      </c>
      <c r="E25" s="246"/>
    </row>
    <row r="26" spans="2:5" x14ac:dyDescent="0.25">
      <c r="B26" s="245" t="s">
        <v>714</v>
      </c>
      <c r="C26" s="245" t="s">
        <v>15</v>
      </c>
      <c r="D26" s="246">
        <v>3</v>
      </c>
      <c r="E26" s="246"/>
    </row>
    <row r="27" spans="2:5" x14ac:dyDescent="0.25">
      <c r="B27" s="245" t="s">
        <v>714</v>
      </c>
      <c r="C27" s="245" t="s">
        <v>16</v>
      </c>
      <c r="D27" s="246">
        <v>3</v>
      </c>
      <c r="E27" s="246"/>
    </row>
    <row r="28" spans="2:5" x14ac:dyDescent="0.25">
      <c r="B28" s="245" t="s">
        <v>714</v>
      </c>
      <c r="C28" s="245" t="s">
        <v>34</v>
      </c>
      <c r="D28" s="246">
        <v>3</v>
      </c>
      <c r="E28" s="246"/>
    </row>
    <row r="29" spans="2:5" x14ac:dyDescent="0.25">
      <c r="B29" s="245" t="s">
        <v>714</v>
      </c>
      <c r="C29" s="245" t="s">
        <v>17</v>
      </c>
      <c r="D29" s="246">
        <v>5</v>
      </c>
      <c r="E29" s="246"/>
    </row>
    <row r="30" spans="2:5" x14ac:dyDescent="0.25">
      <c r="B30" s="245" t="s">
        <v>714</v>
      </c>
      <c r="C30" s="245" t="s">
        <v>10</v>
      </c>
      <c r="D30" s="247">
        <v>3</v>
      </c>
      <c r="E30" s="247" t="s">
        <v>720</v>
      </c>
    </row>
    <row r="31" spans="2:5" x14ac:dyDescent="0.25">
      <c r="B31" s="245" t="s">
        <v>715</v>
      </c>
      <c r="C31" s="245" t="s">
        <v>7</v>
      </c>
      <c r="D31" s="246">
        <v>4</v>
      </c>
      <c r="E31" s="246"/>
    </row>
    <row r="32" spans="2:5" x14ac:dyDescent="0.25">
      <c r="B32" s="245" t="s">
        <v>715</v>
      </c>
      <c r="C32" s="245" t="s">
        <v>376</v>
      </c>
      <c r="D32" s="246">
        <v>1</v>
      </c>
      <c r="E32" s="246"/>
    </row>
    <row r="33" spans="2:5" x14ac:dyDescent="0.25">
      <c r="B33" s="245" t="s">
        <v>715</v>
      </c>
      <c r="C33" s="245" t="s">
        <v>8</v>
      </c>
      <c r="D33" s="246">
        <v>3</v>
      </c>
      <c r="E33" s="246"/>
    </row>
    <row r="34" spans="2:5" x14ac:dyDescent="0.25">
      <c r="B34" s="245" t="s">
        <v>715</v>
      </c>
      <c r="C34" s="245" t="s">
        <v>9</v>
      </c>
      <c r="D34" s="247">
        <v>4</v>
      </c>
      <c r="E34" s="247"/>
    </row>
    <row r="35" spans="2:5" x14ac:dyDescent="0.25">
      <c r="B35" s="245" t="s">
        <v>715</v>
      </c>
      <c r="C35" s="245" t="s">
        <v>722</v>
      </c>
      <c r="D35" s="247">
        <v>2</v>
      </c>
      <c r="E35" s="247" t="s">
        <v>719</v>
      </c>
    </row>
    <row r="36" spans="2:5" x14ac:dyDescent="0.25">
      <c r="B36" s="245" t="s">
        <v>715</v>
      </c>
      <c r="C36" s="245" t="s">
        <v>11</v>
      </c>
      <c r="D36" s="247">
        <v>5</v>
      </c>
      <c r="E36" s="247"/>
    </row>
    <row r="37" spans="2:5" x14ac:dyDescent="0.25">
      <c r="B37" s="245" t="s">
        <v>715</v>
      </c>
      <c r="C37" s="245" t="s">
        <v>12</v>
      </c>
      <c r="D37" s="247">
        <v>5</v>
      </c>
      <c r="E37" s="247"/>
    </row>
    <row r="38" spans="2:5" x14ac:dyDescent="0.25">
      <c r="B38" s="245" t="s">
        <v>715</v>
      </c>
      <c r="C38" s="245" t="s">
        <v>13</v>
      </c>
      <c r="D38" s="247">
        <v>4</v>
      </c>
      <c r="E38" s="247"/>
    </row>
    <row r="39" spans="2:5" x14ac:dyDescent="0.25">
      <c r="B39" s="245" t="s">
        <v>715</v>
      </c>
      <c r="C39" s="245" t="s">
        <v>14</v>
      </c>
      <c r="D39" s="247">
        <v>3</v>
      </c>
      <c r="E39" s="247"/>
    </row>
    <row r="40" spans="2:5" x14ac:dyDescent="0.25">
      <c r="B40" s="245" t="s">
        <v>715</v>
      </c>
      <c r="C40" s="245" t="s">
        <v>15</v>
      </c>
      <c r="D40" s="247">
        <v>4</v>
      </c>
      <c r="E40" s="247"/>
    </row>
    <row r="41" spans="2:5" x14ac:dyDescent="0.25">
      <c r="B41" s="245" t="s">
        <v>715</v>
      </c>
      <c r="C41" s="245" t="s">
        <v>16</v>
      </c>
      <c r="D41" s="247">
        <v>4</v>
      </c>
      <c r="E41" s="247"/>
    </row>
    <row r="42" spans="2:5" x14ac:dyDescent="0.25">
      <c r="B42" s="245" t="s">
        <v>715</v>
      </c>
      <c r="C42" s="245" t="s">
        <v>34</v>
      </c>
      <c r="D42" s="247">
        <v>1</v>
      </c>
      <c r="E42" s="247"/>
    </row>
    <row r="43" spans="2:5" x14ac:dyDescent="0.25">
      <c r="B43" s="245" t="s">
        <v>715</v>
      </c>
      <c r="C43" s="245" t="s">
        <v>17</v>
      </c>
      <c r="D43" s="247">
        <v>5</v>
      </c>
      <c r="E43" s="247"/>
    </row>
    <row r="44" spans="2:5" x14ac:dyDescent="0.25">
      <c r="B44" s="245" t="s">
        <v>715</v>
      </c>
      <c r="C44" s="245" t="s">
        <v>10</v>
      </c>
      <c r="D44" s="247">
        <v>2</v>
      </c>
      <c r="E44" s="247" t="s">
        <v>720</v>
      </c>
    </row>
    <row r="45" spans="2:5" x14ac:dyDescent="0.25">
      <c r="B45" s="245" t="s">
        <v>716</v>
      </c>
      <c r="C45" s="245" t="s">
        <v>7</v>
      </c>
      <c r="D45" s="246">
        <v>3.5</v>
      </c>
      <c r="E45" s="246"/>
    </row>
    <row r="46" spans="2:5" x14ac:dyDescent="0.25">
      <c r="B46" s="245" t="s">
        <v>716</v>
      </c>
      <c r="C46" s="245" t="s">
        <v>376</v>
      </c>
      <c r="D46" s="246">
        <v>1</v>
      </c>
      <c r="E46" s="246"/>
    </row>
    <row r="47" spans="2:5" x14ac:dyDescent="0.25">
      <c r="B47" s="245" t="s">
        <v>716</v>
      </c>
      <c r="C47" s="245" t="s">
        <v>8</v>
      </c>
      <c r="D47" s="246">
        <v>4</v>
      </c>
      <c r="E47" s="246"/>
    </row>
    <row r="48" spans="2:5" x14ac:dyDescent="0.25">
      <c r="B48" s="245" t="s">
        <v>716</v>
      </c>
      <c r="C48" s="245" t="s">
        <v>9</v>
      </c>
      <c r="D48" s="247">
        <v>5</v>
      </c>
      <c r="E48" s="247"/>
    </row>
    <row r="49" spans="2:5" x14ac:dyDescent="0.25">
      <c r="B49" s="245" t="s">
        <v>716</v>
      </c>
      <c r="C49" s="245" t="s">
        <v>722</v>
      </c>
      <c r="D49" s="247">
        <v>1</v>
      </c>
      <c r="E49" s="247" t="s">
        <v>719</v>
      </c>
    </row>
    <row r="50" spans="2:5" x14ac:dyDescent="0.25">
      <c r="B50" s="245" t="s">
        <v>716</v>
      </c>
      <c r="C50" s="245" t="s">
        <v>11</v>
      </c>
      <c r="D50" s="247">
        <v>5</v>
      </c>
      <c r="E50" s="247"/>
    </row>
    <row r="51" spans="2:5" x14ac:dyDescent="0.25">
      <c r="B51" s="245" t="s">
        <v>716</v>
      </c>
      <c r="C51" s="245" t="s">
        <v>12</v>
      </c>
      <c r="D51" s="247">
        <v>5</v>
      </c>
      <c r="E51" s="247"/>
    </row>
    <row r="52" spans="2:5" x14ac:dyDescent="0.25">
      <c r="B52" s="245" t="s">
        <v>716</v>
      </c>
      <c r="C52" s="245" t="s">
        <v>13</v>
      </c>
      <c r="D52" s="247">
        <v>4</v>
      </c>
      <c r="E52" s="247"/>
    </row>
    <row r="53" spans="2:5" x14ac:dyDescent="0.25">
      <c r="B53" s="245" t="s">
        <v>716</v>
      </c>
      <c r="C53" s="245" t="s">
        <v>14</v>
      </c>
      <c r="D53" s="247">
        <v>3</v>
      </c>
      <c r="E53" s="247"/>
    </row>
    <row r="54" spans="2:5" x14ac:dyDescent="0.25">
      <c r="B54" s="245" t="s">
        <v>716</v>
      </c>
      <c r="C54" s="245" t="s">
        <v>15</v>
      </c>
      <c r="D54" s="247">
        <v>4</v>
      </c>
      <c r="E54" s="247"/>
    </row>
    <row r="55" spans="2:5" x14ac:dyDescent="0.25">
      <c r="B55" s="245" t="s">
        <v>716</v>
      </c>
      <c r="C55" s="245" t="s">
        <v>16</v>
      </c>
      <c r="D55" s="247">
        <v>2</v>
      </c>
      <c r="E55" s="247"/>
    </row>
    <row r="56" spans="2:5" x14ac:dyDescent="0.25">
      <c r="B56" s="245" t="s">
        <v>716</v>
      </c>
      <c r="C56" s="245" t="s">
        <v>34</v>
      </c>
      <c r="D56" s="247">
        <v>2</v>
      </c>
      <c r="E56" s="247"/>
    </row>
    <row r="57" spans="2:5" x14ac:dyDescent="0.25">
      <c r="B57" s="245" t="s">
        <v>716</v>
      </c>
      <c r="C57" s="245" t="s">
        <v>17</v>
      </c>
      <c r="D57" s="248">
        <v>1</v>
      </c>
      <c r="E57" s="248"/>
    </row>
    <row r="58" spans="2:5" x14ac:dyDescent="0.25">
      <c r="B58" s="245" t="s">
        <v>716</v>
      </c>
      <c r="C58" s="245" t="s">
        <v>10</v>
      </c>
      <c r="D58" s="248">
        <v>1</v>
      </c>
      <c r="E58" s="248" t="s">
        <v>720</v>
      </c>
    </row>
    <row r="59" spans="2:5" x14ac:dyDescent="0.25">
      <c r="B59" s="245" t="s">
        <v>717</v>
      </c>
      <c r="C59" s="245" t="s">
        <v>7</v>
      </c>
      <c r="D59" s="246">
        <v>4</v>
      </c>
      <c r="E59" s="246"/>
    </row>
    <row r="60" spans="2:5" x14ac:dyDescent="0.25">
      <c r="B60" s="245" t="s">
        <v>717</v>
      </c>
      <c r="C60" s="245" t="s">
        <v>376</v>
      </c>
      <c r="D60" s="246">
        <v>1.5</v>
      </c>
      <c r="E60" s="246"/>
    </row>
    <row r="61" spans="2:5" x14ac:dyDescent="0.25">
      <c r="B61" s="245" t="s">
        <v>717</v>
      </c>
      <c r="C61" s="245" t="s">
        <v>8</v>
      </c>
      <c r="D61" s="246">
        <v>3</v>
      </c>
      <c r="E61" s="246"/>
    </row>
    <row r="62" spans="2:5" x14ac:dyDescent="0.25">
      <c r="B62" s="245" t="s">
        <v>717</v>
      </c>
      <c r="C62" s="245" t="s">
        <v>9</v>
      </c>
      <c r="D62" s="247">
        <v>5</v>
      </c>
      <c r="E62" s="247"/>
    </row>
    <row r="63" spans="2:5" x14ac:dyDescent="0.25">
      <c r="B63" s="245" t="s">
        <v>717</v>
      </c>
      <c r="C63" s="245" t="s">
        <v>722</v>
      </c>
      <c r="D63" s="247">
        <v>3</v>
      </c>
      <c r="E63" s="247" t="s">
        <v>719</v>
      </c>
    </row>
    <row r="64" spans="2:5" x14ac:dyDescent="0.25">
      <c r="B64" s="245" t="s">
        <v>717</v>
      </c>
      <c r="C64" s="245" t="s">
        <v>11</v>
      </c>
      <c r="D64" s="247">
        <v>5</v>
      </c>
      <c r="E64" s="247"/>
    </row>
    <row r="65" spans="2:5" x14ac:dyDescent="0.25">
      <c r="B65" s="245" t="s">
        <v>717</v>
      </c>
      <c r="C65" s="245" t="s">
        <v>12</v>
      </c>
      <c r="D65" s="247">
        <v>5</v>
      </c>
      <c r="E65" s="247"/>
    </row>
    <row r="66" spans="2:5" x14ac:dyDescent="0.25">
      <c r="B66" s="245" t="s">
        <v>717</v>
      </c>
      <c r="C66" s="245" t="s">
        <v>13</v>
      </c>
      <c r="D66" s="247">
        <v>3.5</v>
      </c>
      <c r="E66" s="247"/>
    </row>
    <row r="67" spans="2:5" x14ac:dyDescent="0.25">
      <c r="B67" s="245" t="s">
        <v>717</v>
      </c>
      <c r="C67" s="245" t="s">
        <v>14</v>
      </c>
      <c r="D67" s="247">
        <v>3.5</v>
      </c>
      <c r="E67" s="247"/>
    </row>
    <row r="68" spans="2:5" x14ac:dyDescent="0.25">
      <c r="B68" s="245" t="s">
        <v>717</v>
      </c>
      <c r="C68" s="245" t="s">
        <v>15</v>
      </c>
      <c r="D68" s="247">
        <v>4</v>
      </c>
      <c r="E68" s="247"/>
    </row>
    <row r="69" spans="2:5" x14ac:dyDescent="0.25">
      <c r="B69" s="245" t="s">
        <v>717</v>
      </c>
      <c r="C69" s="245" t="s">
        <v>16</v>
      </c>
      <c r="D69" s="247">
        <v>3</v>
      </c>
      <c r="E69" s="247"/>
    </row>
    <row r="70" spans="2:5" x14ac:dyDescent="0.25">
      <c r="B70" s="245" t="s">
        <v>717</v>
      </c>
      <c r="C70" s="245" t="s">
        <v>34</v>
      </c>
      <c r="D70" s="247">
        <v>2</v>
      </c>
      <c r="E70" s="247"/>
    </row>
    <row r="71" spans="2:5" x14ac:dyDescent="0.25">
      <c r="B71" s="245" t="s">
        <v>717</v>
      </c>
      <c r="C71" s="245" t="s">
        <v>17</v>
      </c>
      <c r="D71" s="247">
        <v>4</v>
      </c>
      <c r="E71" s="247"/>
    </row>
    <row r="72" spans="2:5" x14ac:dyDescent="0.25">
      <c r="B72" s="245" t="s">
        <v>717</v>
      </c>
      <c r="C72" s="245" t="s">
        <v>10</v>
      </c>
      <c r="D72" s="247">
        <v>4</v>
      </c>
      <c r="E72" s="247" t="s">
        <v>720</v>
      </c>
    </row>
  </sheetData>
  <sheetProtection algorithmName="SHA-512" hashValue="bzSsZKLCrEhM+6VElkU5P4zuSqFNZB+CJosTmy7aLtQFAvBjcceMc4/3MGvuuuhHFX+GJxYwEPjD/PoVTDwPOg==" saltValue="rcOvruJsV4HGMdI2MxYLQg==" spinCount="100000" sheet="1" objects="1" scenario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8" tint="0.59999389629810485"/>
    <pageSetUpPr fitToPage="1"/>
  </sheetPr>
  <dimension ref="A1:H28"/>
  <sheetViews>
    <sheetView showGridLines="0" topLeftCell="A7" zoomScale="80" zoomScaleNormal="80" workbookViewId="0">
      <selection activeCell="F25" sqref="F1:P1048576"/>
    </sheetView>
  </sheetViews>
  <sheetFormatPr defaultRowHeight="15" x14ac:dyDescent="0.25"/>
  <cols>
    <col min="1" max="1" width="3.42578125" customWidth="1"/>
    <col min="2" max="2" width="7" style="8" customWidth="1"/>
    <col min="3" max="3" width="85.7109375" customWidth="1"/>
    <col min="4" max="4" width="7.140625" customWidth="1"/>
    <col min="5" max="5" width="19.85546875" customWidth="1"/>
    <col min="6" max="6" width="62.140625" customWidth="1"/>
  </cols>
  <sheetData>
    <row r="1" spans="1:6" s="93" customFormat="1" ht="15.75" x14ac:dyDescent="0.25">
      <c r="A1" s="56" t="s">
        <v>243</v>
      </c>
    </row>
    <row r="2" spans="1:6" ht="28.5" x14ac:dyDescent="0.4">
      <c r="A2" s="130" t="s">
        <v>131</v>
      </c>
      <c r="C2" s="55"/>
      <c r="D2" s="55"/>
    </row>
    <row r="3" spans="1:6" x14ac:dyDescent="0.25">
      <c r="C3" s="1"/>
      <c r="D3" s="1"/>
    </row>
    <row r="4" spans="1:6" ht="15.75" x14ac:dyDescent="0.25">
      <c r="B4" s="31" t="s">
        <v>132</v>
      </c>
      <c r="C4" s="1"/>
      <c r="D4" s="1"/>
      <c r="E4" s="56" t="s">
        <v>133</v>
      </c>
    </row>
    <row r="5" spans="1:6" ht="30" customHeight="1" x14ac:dyDescent="0.25">
      <c r="B5" s="57" t="s">
        <v>87</v>
      </c>
      <c r="C5" s="59" t="s">
        <v>96</v>
      </c>
      <c r="D5" s="16"/>
      <c r="E5" s="58" t="s">
        <v>137</v>
      </c>
      <c r="F5" s="60" t="s">
        <v>138</v>
      </c>
    </row>
    <row r="6" spans="1:6" ht="30" customHeight="1" x14ac:dyDescent="0.25">
      <c r="B6" s="767" t="s">
        <v>88</v>
      </c>
      <c r="C6" s="769" t="s">
        <v>945</v>
      </c>
      <c r="D6" s="14"/>
      <c r="E6" s="767" t="s">
        <v>134</v>
      </c>
      <c r="F6" s="769" t="s">
        <v>86</v>
      </c>
    </row>
    <row r="7" spans="1:6" ht="30" customHeight="1" x14ac:dyDescent="0.25">
      <c r="B7" s="768"/>
      <c r="C7" s="770"/>
      <c r="D7" s="14"/>
      <c r="E7" s="768"/>
      <c r="F7" s="770"/>
    </row>
    <row r="8" spans="1:6" ht="30" customHeight="1" x14ac:dyDescent="0.25">
      <c r="B8" s="57" t="s">
        <v>89</v>
      </c>
      <c r="C8" s="59" t="s">
        <v>281</v>
      </c>
      <c r="D8" s="14"/>
      <c r="E8" s="773"/>
      <c r="F8" s="771"/>
    </row>
    <row r="9" spans="1:6" ht="30" customHeight="1" x14ac:dyDescent="0.25">
      <c r="B9" s="141" t="s">
        <v>90</v>
      </c>
      <c r="C9" s="140" t="s">
        <v>946</v>
      </c>
      <c r="D9" s="14"/>
      <c r="E9" s="58" t="s">
        <v>260</v>
      </c>
      <c r="F9" s="60" t="s">
        <v>261</v>
      </c>
    </row>
    <row r="10" spans="1:6" ht="30" customHeight="1" x14ac:dyDescent="0.25">
      <c r="B10" s="141" t="s">
        <v>91</v>
      </c>
      <c r="C10" s="140" t="s">
        <v>282</v>
      </c>
      <c r="D10" s="14"/>
      <c r="E10" s="767" t="s">
        <v>135</v>
      </c>
      <c r="F10" s="769" t="s">
        <v>139</v>
      </c>
    </row>
    <row r="11" spans="1:6" ht="30" customHeight="1" x14ac:dyDescent="0.25">
      <c r="B11" s="57" t="s">
        <v>92</v>
      </c>
      <c r="C11" s="59" t="s">
        <v>94</v>
      </c>
      <c r="D11" s="14"/>
      <c r="E11" s="768"/>
      <c r="F11" s="770"/>
    </row>
    <row r="12" spans="1:6" ht="30" customHeight="1" x14ac:dyDescent="0.25">
      <c r="B12" s="57" t="s">
        <v>93</v>
      </c>
      <c r="C12" s="59" t="s">
        <v>95</v>
      </c>
      <c r="D12" s="14"/>
      <c r="E12" s="773"/>
      <c r="F12" s="771"/>
    </row>
    <row r="13" spans="1:6" ht="30" customHeight="1" x14ac:dyDescent="0.25">
      <c r="D13" s="14"/>
      <c r="E13" s="767" t="s">
        <v>256</v>
      </c>
      <c r="F13" s="769" t="s">
        <v>258</v>
      </c>
    </row>
    <row r="14" spans="1:6" ht="30" customHeight="1" x14ac:dyDescent="0.25">
      <c r="D14" s="16"/>
      <c r="E14" s="773"/>
      <c r="F14" s="771"/>
    </row>
    <row r="15" spans="1:6" ht="30" customHeight="1" x14ac:dyDescent="0.25">
      <c r="D15" s="16"/>
      <c r="E15" s="767" t="s">
        <v>136</v>
      </c>
      <c r="F15" s="769" t="s">
        <v>259</v>
      </c>
    </row>
    <row r="16" spans="1:6" ht="30" customHeight="1" x14ac:dyDescent="0.25">
      <c r="D16" s="16"/>
      <c r="E16" s="773"/>
      <c r="F16" s="771"/>
    </row>
    <row r="17" spans="2:8" ht="30" customHeight="1" x14ac:dyDescent="0.25">
      <c r="D17" s="16"/>
      <c r="E17" s="12" t="s">
        <v>1019</v>
      </c>
    </row>
    <row r="18" spans="2:8" ht="30" customHeight="1" x14ac:dyDescent="0.25">
      <c r="D18" s="16"/>
      <c r="E18" s="125"/>
      <c r="F18" s="126" t="s">
        <v>1020</v>
      </c>
    </row>
    <row r="19" spans="2:8" ht="30" hidden="1" customHeight="1" x14ac:dyDescent="0.25">
      <c r="D19" s="16"/>
      <c r="E19" s="118"/>
      <c r="F19" s="772" t="s">
        <v>1024</v>
      </c>
    </row>
    <row r="20" spans="2:8" ht="30" hidden="1" customHeight="1" x14ac:dyDescent="0.25">
      <c r="D20" s="16"/>
      <c r="E20" s="127"/>
      <c r="F20" s="772"/>
      <c r="H20" s="119"/>
    </row>
    <row r="21" spans="2:8" ht="30" hidden="1" customHeight="1" x14ac:dyDescent="0.25">
      <c r="D21" s="16"/>
      <c r="E21" s="129"/>
      <c r="F21" s="772"/>
    </row>
    <row r="22" spans="2:8" ht="30" hidden="1" customHeight="1" x14ac:dyDescent="0.25">
      <c r="B22" s="14"/>
      <c r="C22" s="16"/>
      <c r="D22" s="16"/>
      <c r="E22" s="128"/>
      <c r="F22" s="772"/>
    </row>
    <row r="23" spans="2:8" ht="30" customHeight="1" x14ac:dyDescent="0.25">
      <c r="D23" s="16"/>
      <c r="E23" s="114"/>
      <c r="F23" s="126" t="s">
        <v>1023</v>
      </c>
    </row>
    <row r="24" spans="2:8" ht="30" customHeight="1" x14ac:dyDescent="0.25">
      <c r="D24" s="2"/>
      <c r="E24" s="113"/>
      <c r="F24" s="126" t="s">
        <v>1022</v>
      </c>
    </row>
    <row r="25" spans="2:8" ht="30" customHeight="1" x14ac:dyDescent="0.25">
      <c r="D25" s="2"/>
      <c r="E25" s="115"/>
      <c r="F25" s="126" t="s">
        <v>1021</v>
      </c>
    </row>
    <row r="26" spans="2:8" x14ac:dyDescent="0.25">
      <c r="D26" s="2"/>
    </row>
    <row r="27" spans="2:8" x14ac:dyDescent="0.25">
      <c r="B27" s="2"/>
      <c r="D27" s="2"/>
    </row>
    <row r="28" spans="2:8" x14ac:dyDescent="0.25">
      <c r="B28" s="2"/>
    </row>
  </sheetData>
  <sheetProtection algorithmName="SHA-512" hashValue="GVi5iqt81vN4BCOXAU5L0GCxEAjW7kLyWEqIl27lh7TXgiGastYc1/kr/cpgrc0ugEMplbX2MEc4hRrj1filyA==" saltValue="cMrugFdydyhx6vc/JFCfHw==" spinCount="100000" sheet="1" objects="1" scenarios="1"/>
  <mergeCells count="11">
    <mergeCell ref="B6:B7"/>
    <mergeCell ref="C6:C7"/>
    <mergeCell ref="F10:F12"/>
    <mergeCell ref="F19:F22"/>
    <mergeCell ref="F6:F8"/>
    <mergeCell ref="E6:E8"/>
    <mergeCell ref="F13:F14"/>
    <mergeCell ref="E13:E14"/>
    <mergeCell ref="F15:F16"/>
    <mergeCell ref="E15:E16"/>
    <mergeCell ref="E10:E12"/>
  </mergeCells>
  <pageMargins left="0.7" right="0.7" top="0.75" bottom="0.75" header="0.3" footer="0.3"/>
  <pageSetup paperSize="3" orientation="landscape"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8" tint="0.59999389629810485"/>
    <pageSetUpPr fitToPage="1"/>
  </sheetPr>
  <dimension ref="A1:F24"/>
  <sheetViews>
    <sheetView showGridLines="0" topLeftCell="A15" zoomScale="80" zoomScaleNormal="80" workbookViewId="0">
      <selection activeCell="F25" sqref="F1:P1048576"/>
    </sheetView>
  </sheetViews>
  <sheetFormatPr defaultRowHeight="15" x14ac:dyDescent="0.25"/>
  <cols>
    <col min="2" max="2" width="24.85546875" customWidth="1"/>
    <col min="3" max="3" width="81.140625" customWidth="1"/>
    <col min="5" max="5" width="19" customWidth="1"/>
    <col min="6" max="6" width="83.7109375" customWidth="1"/>
  </cols>
  <sheetData>
    <row r="1" spans="1:6" s="93" customFormat="1" ht="15.75" x14ac:dyDescent="0.25">
      <c r="A1" s="56" t="s">
        <v>243</v>
      </c>
    </row>
    <row r="2" spans="1:6" ht="28.5" x14ac:dyDescent="0.4">
      <c r="A2" s="130" t="s">
        <v>260</v>
      </c>
      <c r="B2" s="8"/>
      <c r="C2" s="55"/>
      <c r="D2" s="55"/>
    </row>
    <row r="4" spans="1:6" ht="18.75" x14ac:dyDescent="0.3">
      <c r="B4" s="94" t="s">
        <v>262</v>
      </c>
      <c r="E4" s="135" t="s">
        <v>266</v>
      </c>
    </row>
    <row r="5" spans="1:6" ht="60" customHeight="1" x14ac:dyDescent="0.25">
      <c r="B5" s="131" t="s">
        <v>5</v>
      </c>
      <c r="C5" s="59" t="s">
        <v>74</v>
      </c>
      <c r="E5" s="131" t="s">
        <v>264</v>
      </c>
      <c r="F5" s="59" t="s">
        <v>250</v>
      </c>
    </row>
    <row r="6" spans="1:6" ht="60" customHeight="1" x14ac:dyDescent="0.25">
      <c r="B6" s="778" t="s">
        <v>33</v>
      </c>
      <c r="C6" s="769" t="s">
        <v>929</v>
      </c>
      <c r="E6" s="131" t="s">
        <v>20</v>
      </c>
      <c r="F6" s="59" t="s">
        <v>944</v>
      </c>
    </row>
    <row r="7" spans="1:6" ht="60" customHeight="1" x14ac:dyDescent="0.25">
      <c r="B7" s="779"/>
      <c r="C7" s="770"/>
      <c r="E7" s="131" t="s">
        <v>263</v>
      </c>
      <c r="F7" s="59" t="s">
        <v>265</v>
      </c>
    </row>
    <row r="8" spans="1:6" ht="60" customHeight="1" x14ac:dyDescent="0.3">
      <c r="B8" s="780"/>
      <c r="C8" s="771"/>
      <c r="E8" s="45" t="s">
        <v>271</v>
      </c>
    </row>
    <row r="9" spans="1:6" ht="60" customHeight="1" x14ac:dyDescent="0.25">
      <c r="B9" s="131" t="s">
        <v>1</v>
      </c>
      <c r="C9" s="59" t="s">
        <v>75</v>
      </c>
      <c r="E9" s="132" t="s">
        <v>270</v>
      </c>
      <c r="F9" s="133" t="s">
        <v>267</v>
      </c>
    </row>
    <row r="10" spans="1:6" ht="60" customHeight="1" x14ac:dyDescent="0.25">
      <c r="B10" s="131" t="s">
        <v>107</v>
      </c>
      <c r="C10" s="59" t="s">
        <v>76</v>
      </c>
      <c r="E10" s="134" t="s">
        <v>935</v>
      </c>
      <c r="F10" s="133" t="s">
        <v>937</v>
      </c>
    </row>
    <row r="11" spans="1:6" ht="60" customHeight="1" x14ac:dyDescent="0.25">
      <c r="B11" s="131" t="s">
        <v>249</v>
      </c>
      <c r="C11" s="59" t="s">
        <v>85</v>
      </c>
      <c r="E11" s="134" t="s">
        <v>29</v>
      </c>
      <c r="F11" s="133" t="s">
        <v>941</v>
      </c>
    </row>
    <row r="12" spans="1:6" ht="60" customHeight="1" x14ac:dyDescent="0.25">
      <c r="B12" s="131" t="s">
        <v>73</v>
      </c>
      <c r="C12" s="59" t="s">
        <v>77</v>
      </c>
      <c r="E12" s="582" t="s">
        <v>250</v>
      </c>
      <c r="F12" s="133" t="s">
        <v>268</v>
      </c>
    </row>
    <row r="13" spans="1:6" ht="60" customHeight="1" x14ac:dyDescent="0.25">
      <c r="B13" s="131" t="s">
        <v>99</v>
      </c>
      <c r="C13" s="59" t="s">
        <v>78</v>
      </c>
      <c r="E13" s="582" t="s">
        <v>774</v>
      </c>
      <c r="F13" s="133" t="s">
        <v>942</v>
      </c>
    </row>
    <row r="14" spans="1:6" ht="60" customHeight="1" x14ac:dyDescent="0.25">
      <c r="B14" s="131" t="s">
        <v>100</v>
      </c>
      <c r="C14" s="59" t="s">
        <v>79</v>
      </c>
      <c r="E14" s="142" t="s">
        <v>265</v>
      </c>
      <c r="F14" s="133" t="s">
        <v>272</v>
      </c>
    </row>
    <row r="15" spans="1:6" ht="60" customHeight="1" x14ac:dyDescent="0.25">
      <c r="B15" s="131" t="s">
        <v>98</v>
      </c>
      <c r="C15" s="59" t="s">
        <v>81</v>
      </c>
      <c r="E15" s="774" t="s">
        <v>273</v>
      </c>
      <c r="F15" s="776" t="s">
        <v>269</v>
      </c>
    </row>
    <row r="16" spans="1:6" ht="60" customHeight="1" x14ac:dyDescent="0.25">
      <c r="B16" s="131" t="s">
        <v>31</v>
      </c>
      <c r="C16" s="59" t="s">
        <v>82</v>
      </c>
      <c r="E16" s="775"/>
      <c r="F16" s="777"/>
    </row>
    <row r="17" spans="2:6" ht="60" customHeight="1" x14ac:dyDescent="0.25">
      <c r="B17" s="131" t="s">
        <v>101</v>
      </c>
      <c r="C17" s="59" t="s">
        <v>83</v>
      </c>
      <c r="E17" s="582" t="s">
        <v>934</v>
      </c>
      <c r="F17" s="133" t="s">
        <v>936</v>
      </c>
    </row>
    <row r="18" spans="2:6" ht="57" x14ac:dyDescent="0.25">
      <c r="B18" s="131" t="s">
        <v>0</v>
      </c>
      <c r="C18" s="59" t="s">
        <v>80</v>
      </c>
      <c r="E18" s="774" t="s">
        <v>128</v>
      </c>
      <c r="F18" s="776" t="s">
        <v>938</v>
      </c>
    </row>
    <row r="19" spans="2:6" ht="57" customHeight="1" x14ac:dyDescent="0.25">
      <c r="B19" s="131" t="s">
        <v>36</v>
      </c>
      <c r="C19" s="59" t="s">
        <v>84</v>
      </c>
      <c r="E19" s="775"/>
      <c r="F19" s="777"/>
    </row>
    <row r="20" spans="2:6" ht="57" customHeight="1" x14ac:dyDescent="0.25">
      <c r="E20" s="582" t="s">
        <v>931</v>
      </c>
      <c r="F20" s="133" t="s">
        <v>943</v>
      </c>
    </row>
    <row r="21" spans="2:6" ht="57" customHeight="1" x14ac:dyDescent="0.25">
      <c r="E21" s="582" t="s">
        <v>254</v>
      </c>
      <c r="F21" s="133" t="s">
        <v>1003</v>
      </c>
    </row>
    <row r="22" spans="2:6" ht="57" customHeight="1" x14ac:dyDescent="0.25">
      <c r="E22" s="582" t="s">
        <v>932</v>
      </c>
      <c r="F22" s="133" t="s">
        <v>939</v>
      </c>
    </row>
    <row r="23" spans="2:6" ht="57" customHeight="1" x14ac:dyDescent="0.25">
      <c r="E23" s="582" t="s">
        <v>933</v>
      </c>
      <c r="F23" s="133" t="s">
        <v>1005</v>
      </c>
    </row>
    <row r="24" spans="2:6" ht="57" customHeight="1" x14ac:dyDescent="0.25">
      <c r="E24" s="582" t="s">
        <v>930</v>
      </c>
      <c r="F24" s="133" t="s">
        <v>1006</v>
      </c>
    </row>
  </sheetData>
  <sheetProtection algorithmName="SHA-512" hashValue="FJhG6KxynB4+SpjMzzfRolluR61/8C2L6Rj8kwe257SUdD/evuR4RpATlV8tlbZnM6SuS4MzqlpuCD1y78bLWg==" saltValue="Lvup+HFuz3c81bkUHDY2tg==" spinCount="100000" sheet="1" objects="1" scenarios="1"/>
  <sortState ref="E9:F26">
    <sortCondition ref="E9"/>
  </sortState>
  <mergeCells count="6">
    <mergeCell ref="E15:E16"/>
    <mergeCell ref="F15:F16"/>
    <mergeCell ref="E18:E19"/>
    <mergeCell ref="F18:F19"/>
    <mergeCell ref="B6:B8"/>
    <mergeCell ref="C6:C8"/>
  </mergeCells>
  <pageMargins left="0.7" right="0.7" top="0.75" bottom="0.75" header="0.3" footer="0.3"/>
  <pageSetup paperSize="3" scale="56" orientation="landscape"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7"/>
    <pageSetUpPr fitToPage="1"/>
  </sheetPr>
  <dimension ref="A1:W86"/>
  <sheetViews>
    <sheetView showGridLines="0" topLeftCell="A13" zoomScale="80" zoomScaleNormal="80" workbookViewId="0">
      <selection activeCell="F25" sqref="F1:P1048576"/>
    </sheetView>
  </sheetViews>
  <sheetFormatPr defaultRowHeight="15" x14ac:dyDescent="0.25"/>
  <cols>
    <col min="1" max="1" width="5.7109375" style="677" customWidth="1"/>
    <col min="2" max="2" width="75.7109375" style="677" customWidth="1"/>
    <col min="3" max="6" width="20.85546875" style="677" customWidth="1"/>
    <col min="7" max="7" width="3.140625" style="677" customWidth="1"/>
    <col min="8" max="8" width="2.28515625" style="690" hidden="1" customWidth="1"/>
    <col min="9" max="9" width="3.140625" style="677" hidden="1" customWidth="1"/>
    <col min="10" max="10" width="75.7109375" style="677" hidden="1" customWidth="1"/>
    <col min="11" max="14" width="20.85546875" style="677" hidden="1" customWidth="1"/>
    <col min="15" max="15" width="3.140625" style="677" hidden="1" customWidth="1"/>
    <col min="16" max="16" width="2.28515625" style="690" hidden="1" customWidth="1"/>
    <col min="17" max="17" width="3.140625" style="677" hidden="1" customWidth="1"/>
    <col min="18" max="18" width="75.7109375" style="677" hidden="1" customWidth="1"/>
    <col min="19" max="22" width="20.85546875" style="677" hidden="1" customWidth="1"/>
    <col min="23" max="23" width="20.7109375" style="677" hidden="1" customWidth="1"/>
    <col min="24" max="16384" width="9.140625" style="677"/>
  </cols>
  <sheetData>
    <row r="1" spans="1:22" s="669" customFormat="1" ht="15.75" x14ac:dyDescent="0.25">
      <c r="A1" s="668" t="s">
        <v>243</v>
      </c>
      <c r="H1" s="670"/>
      <c r="P1" s="670"/>
    </row>
    <row r="2" spans="1:22" s="672" customFormat="1" ht="26.25" x14ac:dyDescent="0.4">
      <c r="A2" s="671" t="s">
        <v>21</v>
      </c>
      <c r="C2" s="671"/>
      <c r="D2" s="671"/>
      <c r="E2" s="671"/>
      <c r="F2" s="671"/>
      <c r="G2" s="671"/>
      <c r="H2" s="673"/>
      <c r="O2" s="671"/>
      <c r="P2" s="673"/>
    </row>
    <row r="3" spans="1:22" s="672" customFormat="1" ht="26.25" x14ac:dyDescent="0.4">
      <c r="A3" s="674" t="s">
        <v>908</v>
      </c>
      <c r="B3" s="675"/>
      <c r="C3" s="671"/>
      <c r="D3" s="671"/>
      <c r="E3" s="671"/>
      <c r="F3" s="671"/>
      <c r="G3" s="671"/>
      <c r="H3" s="673"/>
      <c r="O3" s="671"/>
      <c r="P3" s="673"/>
    </row>
    <row r="4" spans="1:22" s="672" customFormat="1" ht="26.25" x14ac:dyDescent="0.4">
      <c r="A4" s="668" t="s">
        <v>1033</v>
      </c>
      <c r="B4" s="675"/>
      <c r="C4" s="671"/>
      <c r="D4" s="671"/>
      <c r="E4" s="671"/>
      <c r="F4" s="671"/>
      <c r="G4" s="671"/>
      <c r="H4" s="673"/>
      <c r="O4" s="671"/>
      <c r="P4" s="673"/>
    </row>
    <row r="5" spans="1:22" s="672" customFormat="1" ht="16.5" customHeight="1" x14ac:dyDescent="0.4">
      <c r="A5" s="676" t="s">
        <v>1032</v>
      </c>
      <c r="B5" s="675"/>
      <c r="C5" s="671"/>
      <c r="D5" s="671"/>
      <c r="E5" s="671"/>
      <c r="F5" s="671"/>
      <c r="G5" s="671"/>
      <c r="H5" s="673"/>
      <c r="O5" s="671"/>
      <c r="P5" s="673"/>
    </row>
    <row r="6" spans="1:22" ht="15.75" x14ac:dyDescent="0.25">
      <c r="A6" s="668" t="s">
        <v>248</v>
      </c>
      <c r="F6" s="678"/>
      <c r="G6" s="678"/>
      <c r="H6" s="679"/>
      <c r="O6" s="678"/>
      <c r="P6" s="679"/>
    </row>
    <row r="7" spans="1:22" ht="78.75" customHeight="1" x14ac:dyDescent="0.25">
      <c r="A7" s="781" t="s">
        <v>1007</v>
      </c>
      <c r="B7" s="781"/>
      <c r="C7" s="781"/>
      <c r="D7" s="781"/>
      <c r="E7" s="781"/>
      <c r="F7" s="781"/>
      <c r="G7" s="680"/>
      <c r="H7" s="681"/>
      <c r="O7" s="680"/>
      <c r="P7" s="681"/>
    </row>
    <row r="8" spans="1:22" ht="15.75" x14ac:dyDescent="0.25">
      <c r="A8" s="668" t="s">
        <v>251</v>
      </c>
      <c r="B8" s="682"/>
      <c r="C8" s="682"/>
      <c r="D8" s="682"/>
      <c r="E8" s="682"/>
      <c r="F8" s="682"/>
      <c r="G8" s="682"/>
      <c r="H8" s="683"/>
      <c r="O8" s="682"/>
      <c r="P8" s="683"/>
    </row>
    <row r="9" spans="1:22" ht="21.75" customHeight="1" x14ac:dyDescent="0.25">
      <c r="A9" s="676" t="s">
        <v>252</v>
      </c>
      <c r="B9" s="682"/>
      <c r="C9" s="682"/>
      <c r="D9" s="682"/>
      <c r="E9" s="682"/>
      <c r="F9" s="682"/>
      <c r="G9" s="682"/>
      <c r="H9" s="683"/>
      <c r="O9" s="682"/>
      <c r="P9" s="683"/>
    </row>
    <row r="10" spans="1:22" ht="15.75" x14ac:dyDescent="0.25">
      <c r="A10" s="668" t="s">
        <v>899</v>
      </c>
      <c r="B10" s="684"/>
      <c r="C10" s="685"/>
      <c r="D10" s="686"/>
      <c r="H10" s="685"/>
      <c r="P10" s="685"/>
    </row>
    <row r="11" spans="1:22" x14ac:dyDescent="0.25">
      <c r="A11" s="687" t="s">
        <v>253</v>
      </c>
      <c r="B11" s="684"/>
      <c r="C11" s="685"/>
      <c r="D11" s="686"/>
      <c r="H11" s="685"/>
      <c r="P11" s="685"/>
    </row>
    <row r="12" spans="1:22" x14ac:dyDescent="0.25">
      <c r="A12" s="687"/>
      <c r="B12" s="684"/>
      <c r="C12" s="685"/>
      <c r="D12" s="686"/>
      <c r="H12" s="685"/>
      <c r="P12" s="685"/>
    </row>
    <row r="13" spans="1:22" s="690" customFormat="1" ht="12" customHeight="1" x14ac:dyDescent="0.25">
      <c r="A13" s="688"/>
      <c r="B13" s="689"/>
      <c r="D13" s="691"/>
    </row>
    <row r="14" spans="1:22" ht="21" x14ac:dyDescent="0.35">
      <c r="A14" s="692" t="s">
        <v>1013</v>
      </c>
      <c r="C14" s="685"/>
      <c r="D14" s="686"/>
      <c r="J14" s="692" t="s">
        <v>907</v>
      </c>
      <c r="R14" s="692" t="s">
        <v>906</v>
      </c>
    </row>
    <row r="15" spans="1:22" ht="21" x14ac:dyDescent="0.35">
      <c r="A15" s="692"/>
      <c r="B15" s="668" t="s">
        <v>1014</v>
      </c>
      <c r="C15" s="685"/>
      <c r="D15" s="686"/>
      <c r="J15" s="668" t="s">
        <v>912</v>
      </c>
      <c r="K15" s="685"/>
      <c r="L15" s="686"/>
      <c r="R15" s="668" t="s">
        <v>911</v>
      </c>
      <c r="S15" s="685"/>
      <c r="T15" s="686"/>
    </row>
    <row r="16" spans="1:22" ht="21" x14ac:dyDescent="0.35">
      <c r="A16" s="692"/>
      <c r="B16" s="782" t="str">
        <f>IF(About!E31="","",About!E31)</f>
        <v/>
      </c>
      <c r="C16" s="783"/>
      <c r="D16" s="783"/>
      <c r="E16" s="783"/>
      <c r="F16" s="784"/>
      <c r="J16" s="788" t="s">
        <v>913</v>
      </c>
      <c r="K16" s="789"/>
      <c r="L16" s="789"/>
      <c r="M16" s="789"/>
      <c r="N16" s="790"/>
      <c r="R16" s="788" t="s">
        <v>914</v>
      </c>
      <c r="S16" s="789"/>
      <c r="T16" s="789"/>
      <c r="U16" s="789"/>
      <c r="V16" s="790"/>
    </row>
    <row r="17" spans="1:23" s="685" customFormat="1" ht="12.75" customHeight="1" x14ac:dyDescent="0.35">
      <c r="A17" s="693"/>
      <c r="B17" s="694"/>
      <c r="C17" s="694"/>
      <c r="D17" s="694"/>
      <c r="E17" s="694"/>
      <c r="F17" s="694"/>
      <c r="H17" s="690"/>
      <c r="J17" s="693"/>
      <c r="P17" s="690"/>
      <c r="R17" s="693"/>
    </row>
    <row r="18" spans="1:23" ht="21" x14ac:dyDescent="0.35">
      <c r="A18" s="692"/>
      <c r="B18" s="668" t="s">
        <v>1015</v>
      </c>
      <c r="C18" s="685"/>
      <c r="D18" s="686"/>
      <c r="J18" s="668" t="s">
        <v>910</v>
      </c>
      <c r="K18" s="685"/>
      <c r="L18" s="686"/>
      <c r="R18" s="668" t="s">
        <v>909</v>
      </c>
      <c r="S18" s="685"/>
      <c r="T18" s="686"/>
    </row>
    <row r="19" spans="1:23" ht="51.75" customHeight="1" x14ac:dyDescent="0.35">
      <c r="A19" s="692"/>
      <c r="B19" s="782" t="s">
        <v>1034</v>
      </c>
      <c r="C19" s="783"/>
      <c r="D19" s="783"/>
      <c r="E19" s="783"/>
      <c r="F19" s="784"/>
      <c r="J19" s="785" t="s">
        <v>915</v>
      </c>
      <c r="K19" s="786"/>
      <c r="L19" s="786"/>
      <c r="M19" s="786"/>
      <c r="N19" s="787"/>
      <c r="R19" s="785" t="s">
        <v>916</v>
      </c>
      <c r="S19" s="786"/>
      <c r="T19" s="786"/>
      <c r="U19" s="786"/>
      <c r="V19" s="787"/>
    </row>
    <row r="20" spans="1:23" ht="21" x14ac:dyDescent="0.35">
      <c r="A20" s="692"/>
      <c r="C20" s="685"/>
      <c r="D20" s="686"/>
      <c r="J20" s="692"/>
      <c r="R20" s="692"/>
    </row>
    <row r="21" spans="1:23" ht="16.5" thickBot="1" x14ac:dyDescent="0.3">
      <c r="B21" s="668" t="s">
        <v>1016</v>
      </c>
      <c r="J21" s="668" t="s">
        <v>901</v>
      </c>
      <c r="R21" s="668" t="s">
        <v>900</v>
      </c>
    </row>
    <row r="22" spans="1:23" ht="15" customHeight="1" x14ac:dyDescent="0.25">
      <c r="A22" s="695"/>
      <c r="B22" s="696"/>
      <c r="C22" s="697"/>
      <c r="D22" s="697"/>
      <c r="E22" s="697"/>
      <c r="F22" s="698"/>
      <c r="G22" s="699"/>
      <c r="H22" s="700"/>
      <c r="J22" s="696"/>
      <c r="K22" s="697"/>
      <c r="L22" s="697"/>
      <c r="M22" s="697"/>
      <c r="N22" s="698"/>
      <c r="O22" s="699"/>
      <c r="P22" s="700"/>
      <c r="R22" s="696"/>
      <c r="S22" s="697"/>
      <c r="T22" s="697"/>
      <c r="U22" s="697"/>
      <c r="V22" s="698"/>
      <c r="W22" s="701"/>
    </row>
    <row r="23" spans="1:23" s="702" customFormat="1" x14ac:dyDescent="0.25">
      <c r="B23" s="703"/>
      <c r="C23" s="704" t="s">
        <v>22</v>
      </c>
      <c r="D23" s="120" t="s">
        <v>241</v>
      </c>
      <c r="E23" s="706"/>
      <c r="F23" s="707"/>
      <c r="G23" s="706"/>
      <c r="H23" s="708"/>
      <c r="J23" s="703"/>
      <c r="K23" s="704" t="s">
        <v>22</v>
      </c>
      <c r="L23" s="705" t="s">
        <v>241</v>
      </c>
      <c r="M23" s="706"/>
      <c r="N23" s="707"/>
      <c r="O23" s="706"/>
      <c r="P23" s="708"/>
      <c r="R23" s="703"/>
      <c r="S23" s="704" t="s">
        <v>22</v>
      </c>
      <c r="T23" s="705" t="s">
        <v>241</v>
      </c>
      <c r="U23" s="706"/>
      <c r="V23" s="707"/>
    </row>
    <row r="24" spans="1:23" s="702" customFormat="1" x14ac:dyDescent="0.25">
      <c r="B24" s="703"/>
      <c r="C24" s="704" t="s">
        <v>245</v>
      </c>
      <c r="D24" s="121">
        <v>10</v>
      </c>
      <c r="E24" s="706"/>
      <c r="F24" s="707"/>
      <c r="G24" s="706"/>
      <c r="H24" s="708"/>
      <c r="J24" s="703"/>
      <c r="K24" s="704" t="s">
        <v>245</v>
      </c>
      <c r="L24" s="709">
        <v>10</v>
      </c>
      <c r="M24" s="706"/>
      <c r="N24" s="707"/>
      <c r="O24" s="706"/>
      <c r="P24" s="708"/>
      <c r="R24" s="703"/>
      <c r="S24" s="704" t="s">
        <v>245</v>
      </c>
      <c r="T24" s="709">
        <v>10</v>
      </c>
      <c r="U24" s="706"/>
      <c r="V24" s="707"/>
    </row>
    <row r="25" spans="1:23" s="702" customFormat="1" x14ac:dyDescent="0.25">
      <c r="B25" s="703"/>
      <c r="C25" s="704" t="s">
        <v>246</v>
      </c>
      <c r="D25" s="121">
        <v>3</v>
      </c>
      <c r="E25" s="706"/>
      <c r="F25" s="707"/>
      <c r="G25" s="706"/>
      <c r="H25" s="708"/>
      <c r="J25" s="703"/>
      <c r="K25" s="704" t="s">
        <v>246</v>
      </c>
      <c r="L25" s="709">
        <v>3</v>
      </c>
      <c r="M25" s="706"/>
      <c r="N25" s="707"/>
      <c r="O25" s="706"/>
      <c r="P25" s="708"/>
      <c r="R25" s="703"/>
      <c r="S25" s="704" t="s">
        <v>246</v>
      </c>
      <c r="T25" s="709">
        <v>3</v>
      </c>
      <c r="U25" s="706"/>
      <c r="V25" s="707"/>
    </row>
    <row r="26" spans="1:23" ht="15.75" thickBot="1" x14ac:dyDescent="0.3">
      <c r="B26" s="710"/>
      <c r="C26" s="711"/>
      <c r="D26" s="711"/>
      <c r="E26" s="711"/>
      <c r="F26" s="712"/>
      <c r="G26" s="713"/>
      <c r="H26" s="714"/>
      <c r="J26" s="710"/>
      <c r="K26" s="711"/>
      <c r="L26" s="711"/>
      <c r="M26" s="711"/>
      <c r="N26" s="712"/>
      <c r="O26" s="713"/>
      <c r="P26" s="714"/>
      <c r="R26" s="710"/>
      <c r="S26" s="711"/>
      <c r="T26" s="711"/>
      <c r="U26" s="711"/>
      <c r="V26" s="712"/>
    </row>
    <row r="27" spans="1:23" s="702" customFormat="1" ht="45" x14ac:dyDescent="0.25">
      <c r="B27" s="715" t="s">
        <v>250</v>
      </c>
      <c r="C27" s="716" t="s">
        <v>255</v>
      </c>
      <c r="D27" s="716" t="s">
        <v>254</v>
      </c>
      <c r="E27" s="716" t="s">
        <v>244</v>
      </c>
      <c r="F27" s="717" t="s">
        <v>247</v>
      </c>
      <c r="G27" s="718"/>
      <c r="H27" s="719"/>
      <c r="J27" s="715" t="s">
        <v>250</v>
      </c>
      <c r="K27" s="716" t="s">
        <v>255</v>
      </c>
      <c r="L27" s="716" t="s">
        <v>254</v>
      </c>
      <c r="M27" s="716" t="s">
        <v>244</v>
      </c>
      <c r="N27" s="717" t="s">
        <v>247</v>
      </c>
      <c r="O27" s="718"/>
      <c r="P27" s="719"/>
      <c r="R27" s="715" t="s">
        <v>250</v>
      </c>
      <c r="S27" s="716" t="s">
        <v>255</v>
      </c>
      <c r="T27" s="716" t="s">
        <v>254</v>
      </c>
      <c r="U27" s="716" t="s">
        <v>244</v>
      </c>
      <c r="V27" s="717" t="s">
        <v>247</v>
      </c>
    </row>
    <row r="28" spans="1:23" x14ac:dyDescent="0.25">
      <c r="B28" s="720" t="s">
        <v>5</v>
      </c>
      <c r="C28" s="743">
        <v>8.1999999999999993</v>
      </c>
      <c r="D28" s="121">
        <v>13</v>
      </c>
      <c r="E28" s="722">
        <v>8.1999999999999993</v>
      </c>
      <c r="F28" s="723">
        <f t="shared" ref="F28:F40" si="0">IF($D$23="Default (SDBS Survey)",E28,IF($D$23="Stepped",$D$24-(D28-1)/12*($D$24-$D$25),C28))</f>
        <v>8.1999999999999993</v>
      </c>
      <c r="G28" s="724"/>
      <c r="H28" s="725"/>
      <c r="I28" s="726"/>
      <c r="J28" s="720" t="s">
        <v>5</v>
      </c>
      <c r="K28" s="721">
        <v>8.1999999999999993</v>
      </c>
      <c r="L28" s="709">
        <v>13</v>
      </c>
      <c r="M28" s="722">
        <v>8.1999999999999993</v>
      </c>
      <c r="N28" s="723">
        <f t="shared" ref="N28:N40" si="1">IF($D$23="Default (SDBS Survey)",M28,IF($D$23="Stepped",$D$24-(L28-1)/12*($D$24-$D$25),K28))</f>
        <v>8.1999999999999993</v>
      </c>
      <c r="O28" s="724"/>
      <c r="P28" s="725"/>
      <c r="Q28" s="726"/>
      <c r="R28" s="720" t="s">
        <v>5</v>
      </c>
      <c r="S28" s="721">
        <v>8.1999999999999993</v>
      </c>
      <c r="T28" s="709">
        <v>13</v>
      </c>
      <c r="U28" s="722">
        <v>8.1999999999999993</v>
      </c>
      <c r="V28" s="723">
        <f t="shared" ref="V28:V40" si="2">IF($D$23="Default (SDBS Survey)",U28,IF($D$23="Stepped",$D$24-(T28-1)/12*($D$24-$D$25),S28))</f>
        <v>8.1999999999999993</v>
      </c>
    </row>
    <row r="29" spans="1:23" x14ac:dyDescent="0.25">
      <c r="B29" s="720" t="s">
        <v>33</v>
      </c>
      <c r="C29" s="743">
        <v>9.6</v>
      </c>
      <c r="D29" s="121">
        <v>10</v>
      </c>
      <c r="E29" s="722">
        <v>9.6</v>
      </c>
      <c r="F29" s="723">
        <f t="shared" si="0"/>
        <v>9.6</v>
      </c>
      <c r="G29" s="724"/>
      <c r="H29" s="725"/>
      <c r="I29" s="726"/>
      <c r="J29" s="720" t="s">
        <v>33</v>
      </c>
      <c r="K29" s="721">
        <v>9.6</v>
      </c>
      <c r="L29" s="709">
        <v>10</v>
      </c>
      <c r="M29" s="722">
        <v>9.6</v>
      </c>
      <c r="N29" s="723">
        <f t="shared" si="1"/>
        <v>9.6</v>
      </c>
      <c r="O29" s="724"/>
      <c r="P29" s="725"/>
      <c r="Q29" s="726"/>
      <c r="R29" s="720" t="s">
        <v>33</v>
      </c>
      <c r="S29" s="721">
        <v>9.6</v>
      </c>
      <c r="T29" s="709">
        <v>10</v>
      </c>
      <c r="U29" s="722">
        <v>9.6</v>
      </c>
      <c r="V29" s="723">
        <f t="shared" si="2"/>
        <v>9.6</v>
      </c>
    </row>
    <row r="30" spans="1:23" x14ac:dyDescent="0.25">
      <c r="B30" s="720" t="s">
        <v>1</v>
      </c>
      <c r="C30" s="743">
        <v>8.5</v>
      </c>
      <c r="D30" s="121">
        <v>3</v>
      </c>
      <c r="E30" s="722">
        <v>8.5</v>
      </c>
      <c r="F30" s="723">
        <f t="shared" si="0"/>
        <v>8.5</v>
      </c>
      <c r="G30" s="724"/>
      <c r="H30" s="725"/>
      <c r="I30" s="726"/>
      <c r="J30" s="720" t="s">
        <v>1</v>
      </c>
      <c r="K30" s="721">
        <v>8.5</v>
      </c>
      <c r="L30" s="709">
        <v>3</v>
      </c>
      <c r="M30" s="722">
        <v>8.5</v>
      </c>
      <c r="N30" s="723">
        <f t="shared" si="1"/>
        <v>8.5</v>
      </c>
      <c r="O30" s="724"/>
      <c r="P30" s="725"/>
      <c r="Q30" s="726"/>
      <c r="R30" s="720" t="s">
        <v>1</v>
      </c>
      <c r="S30" s="721">
        <v>8.5</v>
      </c>
      <c r="T30" s="709">
        <v>3</v>
      </c>
      <c r="U30" s="722">
        <v>8.5</v>
      </c>
      <c r="V30" s="723">
        <f t="shared" si="2"/>
        <v>8.5</v>
      </c>
    </row>
    <row r="31" spans="1:23" x14ac:dyDescent="0.25">
      <c r="B31" s="720" t="s">
        <v>107</v>
      </c>
      <c r="C31" s="743">
        <v>8.6999999999999993</v>
      </c>
      <c r="D31" s="121">
        <v>8</v>
      </c>
      <c r="E31" s="722">
        <v>8.6999999999999993</v>
      </c>
      <c r="F31" s="723">
        <f t="shared" si="0"/>
        <v>8.6999999999999993</v>
      </c>
      <c r="G31" s="724"/>
      <c r="H31" s="725"/>
      <c r="I31" s="726"/>
      <c r="J31" s="720" t="s">
        <v>107</v>
      </c>
      <c r="K31" s="721">
        <v>8.6999999999999993</v>
      </c>
      <c r="L31" s="709">
        <v>8</v>
      </c>
      <c r="M31" s="722">
        <v>8.6999999999999993</v>
      </c>
      <c r="N31" s="723">
        <f t="shared" si="1"/>
        <v>8.6999999999999993</v>
      </c>
      <c r="O31" s="724"/>
      <c r="P31" s="725"/>
      <c r="Q31" s="726"/>
      <c r="R31" s="720" t="s">
        <v>107</v>
      </c>
      <c r="S31" s="721">
        <v>8.6999999999999993</v>
      </c>
      <c r="T31" s="709">
        <v>8</v>
      </c>
      <c r="U31" s="722">
        <v>8.6999999999999993</v>
      </c>
      <c r="V31" s="723">
        <f t="shared" si="2"/>
        <v>8.6999999999999993</v>
      </c>
    </row>
    <row r="32" spans="1:23" x14ac:dyDescent="0.25">
      <c r="B32" s="720" t="s">
        <v>249</v>
      </c>
      <c r="C32" s="743">
        <v>9.4</v>
      </c>
      <c r="D32" s="121">
        <v>2</v>
      </c>
      <c r="E32" s="722">
        <v>9.4</v>
      </c>
      <c r="F32" s="723">
        <f t="shared" si="0"/>
        <v>9.4</v>
      </c>
      <c r="G32" s="724"/>
      <c r="H32" s="725"/>
      <c r="I32" s="726"/>
      <c r="J32" s="720" t="s">
        <v>249</v>
      </c>
      <c r="K32" s="721">
        <v>9.4</v>
      </c>
      <c r="L32" s="709">
        <v>2</v>
      </c>
      <c r="M32" s="722">
        <v>9.4</v>
      </c>
      <c r="N32" s="723">
        <f t="shared" si="1"/>
        <v>9.4</v>
      </c>
      <c r="O32" s="724"/>
      <c r="P32" s="725"/>
      <c r="Q32" s="726"/>
      <c r="R32" s="720" t="s">
        <v>249</v>
      </c>
      <c r="S32" s="721">
        <v>9.4</v>
      </c>
      <c r="T32" s="709">
        <v>2</v>
      </c>
      <c r="U32" s="722">
        <v>9.4</v>
      </c>
      <c r="V32" s="723">
        <f t="shared" si="2"/>
        <v>9.4</v>
      </c>
    </row>
    <row r="33" spans="2:22" x14ac:dyDescent="0.25">
      <c r="B33" s="720" t="s">
        <v>73</v>
      </c>
      <c r="C33" s="743">
        <v>7.3</v>
      </c>
      <c r="D33" s="121">
        <v>6</v>
      </c>
      <c r="E33" s="722">
        <v>7.3</v>
      </c>
      <c r="F33" s="723">
        <f t="shared" si="0"/>
        <v>7.3</v>
      </c>
      <c r="G33" s="724"/>
      <c r="H33" s="725"/>
      <c r="I33" s="726"/>
      <c r="J33" s="720" t="s">
        <v>73</v>
      </c>
      <c r="K33" s="721">
        <v>7.3</v>
      </c>
      <c r="L33" s="709">
        <v>6</v>
      </c>
      <c r="M33" s="722">
        <v>7.3</v>
      </c>
      <c r="N33" s="723">
        <f t="shared" si="1"/>
        <v>7.3</v>
      </c>
      <c r="O33" s="724"/>
      <c r="P33" s="725"/>
      <c r="Q33" s="726"/>
      <c r="R33" s="720" t="s">
        <v>73</v>
      </c>
      <c r="S33" s="721">
        <v>7.3</v>
      </c>
      <c r="T33" s="709">
        <v>6</v>
      </c>
      <c r="U33" s="722">
        <v>7.3</v>
      </c>
      <c r="V33" s="723">
        <f t="shared" si="2"/>
        <v>7.3</v>
      </c>
    </row>
    <row r="34" spans="2:22" x14ac:dyDescent="0.25">
      <c r="B34" s="720" t="s">
        <v>4</v>
      </c>
      <c r="C34" s="743">
        <v>9.1999999999999993</v>
      </c>
      <c r="D34" s="121">
        <v>11</v>
      </c>
      <c r="E34" s="722">
        <v>9.1999999999999993</v>
      </c>
      <c r="F34" s="723">
        <f t="shared" si="0"/>
        <v>9.1999999999999993</v>
      </c>
      <c r="G34" s="724"/>
      <c r="H34" s="725"/>
      <c r="I34" s="726"/>
      <c r="J34" s="720" t="s">
        <v>4</v>
      </c>
      <c r="K34" s="721">
        <v>9.1999999999999993</v>
      </c>
      <c r="L34" s="709">
        <v>11</v>
      </c>
      <c r="M34" s="722">
        <v>9.1999999999999993</v>
      </c>
      <c r="N34" s="723">
        <f t="shared" si="1"/>
        <v>9.1999999999999993</v>
      </c>
      <c r="O34" s="724"/>
      <c r="P34" s="725"/>
      <c r="Q34" s="726"/>
      <c r="R34" s="720" t="s">
        <v>4</v>
      </c>
      <c r="S34" s="721">
        <v>9.1999999999999993</v>
      </c>
      <c r="T34" s="709">
        <v>11</v>
      </c>
      <c r="U34" s="722">
        <v>9.1999999999999993</v>
      </c>
      <c r="V34" s="723">
        <f t="shared" si="2"/>
        <v>9.1999999999999993</v>
      </c>
    </row>
    <row r="35" spans="2:22" x14ac:dyDescent="0.25">
      <c r="B35" s="720" t="s">
        <v>3</v>
      </c>
      <c r="C35" s="743">
        <v>7.7</v>
      </c>
      <c r="D35" s="121">
        <v>5</v>
      </c>
      <c r="E35" s="722">
        <v>7.7</v>
      </c>
      <c r="F35" s="723">
        <f t="shared" si="0"/>
        <v>7.7</v>
      </c>
      <c r="G35" s="724"/>
      <c r="H35" s="725"/>
      <c r="I35" s="726"/>
      <c r="J35" s="720" t="s">
        <v>3</v>
      </c>
      <c r="K35" s="721">
        <v>7.7</v>
      </c>
      <c r="L35" s="709">
        <v>5</v>
      </c>
      <c r="M35" s="722">
        <v>7.7</v>
      </c>
      <c r="N35" s="723">
        <f t="shared" si="1"/>
        <v>7.7</v>
      </c>
      <c r="O35" s="724"/>
      <c r="P35" s="725"/>
      <c r="Q35" s="726"/>
      <c r="R35" s="720" t="s">
        <v>3</v>
      </c>
      <c r="S35" s="721">
        <v>7.7</v>
      </c>
      <c r="T35" s="709">
        <v>5</v>
      </c>
      <c r="U35" s="722">
        <v>7.7</v>
      </c>
      <c r="V35" s="723">
        <f t="shared" si="2"/>
        <v>7.7</v>
      </c>
    </row>
    <row r="36" spans="2:22" x14ac:dyDescent="0.25">
      <c r="B36" s="720" t="s">
        <v>98</v>
      </c>
      <c r="C36" s="743">
        <v>7.4</v>
      </c>
      <c r="D36" s="121">
        <v>7</v>
      </c>
      <c r="E36" s="722">
        <v>7.4</v>
      </c>
      <c r="F36" s="723">
        <f t="shared" si="0"/>
        <v>7.4</v>
      </c>
      <c r="G36" s="724"/>
      <c r="H36" s="725"/>
      <c r="I36" s="726"/>
      <c r="J36" s="720" t="s">
        <v>98</v>
      </c>
      <c r="K36" s="721">
        <v>7.4</v>
      </c>
      <c r="L36" s="709">
        <v>7</v>
      </c>
      <c r="M36" s="722">
        <v>7.4</v>
      </c>
      <c r="N36" s="723">
        <f t="shared" si="1"/>
        <v>7.4</v>
      </c>
      <c r="O36" s="724"/>
      <c r="P36" s="725"/>
      <c r="Q36" s="726"/>
      <c r="R36" s="720" t="s">
        <v>98</v>
      </c>
      <c r="S36" s="721">
        <v>7.4</v>
      </c>
      <c r="T36" s="709">
        <v>7</v>
      </c>
      <c r="U36" s="722">
        <v>7.4</v>
      </c>
      <c r="V36" s="723">
        <f t="shared" si="2"/>
        <v>7.4</v>
      </c>
    </row>
    <row r="37" spans="2:22" x14ac:dyDescent="0.25">
      <c r="B37" s="720" t="s">
        <v>31</v>
      </c>
      <c r="C37" s="743">
        <v>7.8</v>
      </c>
      <c r="D37" s="121">
        <v>9</v>
      </c>
      <c r="E37" s="722">
        <v>7.8</v>
      </c>
      <c r="F37" s="723">
        <f t="shared" si="0"/>
        <v>7.8</v>
      </c>
      <c r="G37" s="724"/>
      <c r="H37" s="725"/>
      <c r="I37" s="726"/>
      <c r="J37" s="720" t="s">
        <v>31</v>
      </c>
      <c r="K37" s="721">
        <v>7.8</v>
      </c>
      <c r="L37" s="709">
        <v>9</v>
      </c>
      <c r="M37" s="722">
        <v>7.8</v>
      </c>
      <c r="N37" s="723">
        <f t="shared" si="1"/>
        <v>7.8</v>
      </c>
      <c r="O37" s="724"/>
      <c r="P37" s="725"/>
      <c r="Q37" s="726"/>
      <c r="R37" s="720" t="s">
        <v>31</v>
      </c>
      <c r="S37" s="721">
        <v>7.8</v>
      </c>
      <c r="T37" s="709">
        <v>9</v>
      </c>
      <c r="U37" s="722">
        <v>7.8</v>
      </c>
      <c r="V37" s="723">
        <f t="shared" si="2"/>
        <v>7.8</v>
      </c>
    </row>
    <row r="38" spans="2:22" x14ac:dyDescent="0.25">
      <c r="B38" s="720" t="s">
        <v>2</v>
      </c>
      <c r="C38" s="743">
        <v>8.5</v>
      </c>
      <c r="D38" s="121">
        <v>4</v>
      </c>
      <c r="E38" s="722">
        <v>8.5</v>
      </c>
      <c r="F38" s="723">
        <f t="shared" si="0"/>
        <v>8.5</v>
      </c>
      <c r="G38" s="724"/>
      <c r="H38" s="725"/>
      <c r="I38" s="726"/>
      <c r="J38" s="720" t="s">
        <v>2</v>
      </c>
      <c r="K38" s="721">
        <v>8.5</v>
      </c>
      <c r="L38" s="709">
        <v>4</v>
      </c>
      <c r="M38" s="722">
        <v>8.5</v>
      </c>
      <c r="N38" s="723">
        <f t="shared" si="1"/>
        <v>8.5</v>
      </c>
      <c r="O38" s="724"/>
      <c r="P38" s="725"/>
      <c r="Q38" s="726"/>
      <c r="R38" s="720" t="s">
        <v>2</v>
      </c>
      <c r="S38" s="721">
        <v>8.5</v>
      </c>
      <c r="T38" s="709">
        <v>4</v>
      </c>
      <c r="U38" s="722">
        <v>8.5</v>
      </c>
      <c r="V38" s="723">
        <f t="shared" si="2"/>
        <v>8.5</v>
      </c>
    </row>
    <row r="39" spans="2:22" x14ac:dyDescent="0.25">
      <c r="B39" s="720" t="s">
        <v>0</v>
      </c>
      <c r="C39" s="743">
        <v>10</v>
      </c>
      <c r="D39" s="121">
        <v>1</v>
      </c>
      <c r="E39" s="722">
        <v>10</v>
      </c>
      <c r="F39" s="723">
        <f t="shared" si="0"/>
        <v>10</v>
      </c>
      <c r="G39" s="724"/>
      <c r="H39" s="725"/>
      <c r="I39" s="726"/>
      <c r="J39" s="720" t="s">
        <v>0</v>
      </c>
      <c r="K39" s="721">
        <v>10</v>
      </c>
      <c r="L39" s="709">
        <v>1</v>
      </c>
      <c r="M39" s="722">
        <v>10</v>
      </c>
      <c r="N39" s="723">
        <f t="shared" si="1"/>
        <v>10</v>
      </c>
      <c r="O39" s="724"/>
      <c r="P39" s="725"/>
      <c r="Q39" s="726"/>
      <c r="R39" s="720" t="s">
        <v>0</v>
      </c>
      <c r="S39" s="721">
        <v>10</v>
      </c>
      <c r="T39" s="709">
        <v>1</v>
      </c>
      <c r="U39" s="722">
        <v>10</v>
      </c>
      <c r="V39" s="723">
        <f t="shared" si="2"/>
        <v>10</v>
      </c>
    </row>
    <row r="40" spans="2:22" ht="15.75" thickBot="1" x14ac:dyDescent="0.3">
      <c r="B40" s="710" t="s">
        <v>36</v>
      </c>
      <c r="C40" s="744">
        <v>10</v>
      </c>
      <c r="D40" s="122">
        <v>12</v>
      </c>
      <c r="E40" s="729">
        <v>10</v>
      </c>
      <c r="F40" s="730">
        <f t="shared" si="0"/>
        <v>10</v>
      </c>
      <c r="G40" s="724"/>
      <c r="H40" s="725"/>
      <c r="I40" s="726"/>
      <c r="J40" s="710" t="s">
        <v>36</v>
      </c>
      <c r="K40" s="727">
        <v>10</v>
      </c>
      <c r="L40" s="728">
        <v>12</v>
      </c>
      <c r="M40" s="729">
        <v>10</v>
      </c>
      <c r="N40" s="730">
        <f t="shared" si="1"/>
        <v>10</v>
      </c>
      <c r="O40" s="724"/>
      <c r="P40" s="725"/>
      <c r="Q40" s="726"/>
      <c r="R40" s="710" t="s">
        <v>36</v>
      </c>
      <c r="S40" s="727">
        <v>10</v>
      </c>
      <c r="T40" s="728">
        <v>12</v>
      </c>
      <c r="U40" s="729">
        <v>10</v>
      </c>
      <c r="V40" s="730">
        <f t="shared" si="2"/>
        <v>10</v>
      </c>
    </row>
    <row r="43" spans="2:22" ht="16.5" thickBot="1" x14ac:dyDescent="0.3">
      <c r="B43" s="668" t="s">
        <v>1017</v>
      </c>
      <c r="D43" s="678"/>
      <c r="E43" s="678"/>
      <c r="F43" s="678"/>
      <c r="G43" s="678"/>
      <c r="H43" s="731"/>
      <c r="J43" s="668" t="s">
        <v>903</v>
      </c>
      <c r="L43" s="678"/>
      <c r="M43" s="678"/>
      <c r="N43" s="678"/>
      <c r="O43" s="678"/>
      <c r="P43" s="731"/>
      <c r="R43" s="668" t="s">
        <v>902</v>
      </c>
      <c r="T43" s="678"/>
      <c r="U43" s="678"/>
      <c r="V43" s="678"/>
    </row>
    <row r="44" spans="2:22" ht="30" x14ac:dyDescent="0.25">
      <c r="B44" s="715" t="s">
        <v>250</v>
      </c>
      <c r="C44" s="717" t="s">
        <v>25</v>
      </c>
      <c r="D44" s="678"/>
      <c r="E44" s="678"/>
      <c r="F44" s="678"/>
      <c r="G44" s="678"/>
      <c r="H44" s="731"/>
      <c r="J44" s="715" t="s">
        <v>250</v>
      </c>
      <c r="K44" s="717" t="s">
        <v>25</v>
      </c>
      <c r="L44" s="678"/>
      <c r="M44" s="678"/>
      <c r="N44" s="678"/>
      <c r="O44" s="678"/>
      <c r="P44" s="731"/>
      <c r="R44" s="715" t="s">
        <v>250</v>
      </c>
      <c r="S44" s="717" t="s">
        <v>25</v>
      </c>
      <c r="T44" s="678"/>
      <c r="U44" s="678"/>
      <c r="V44" s="678"/>
    </row>
    <row r="45" spans="2:22" x14ac:dyDescent="0.25">
      <c r="B45" s="720" t="s">
        <v>5</v>
      </c>
      <c r="C45" s="123" t="s">
        <v>26</v>
      </c>
      <c r="D45" s="678"/>
      <c r="E45" s="678"/>
      <c r="F45" s="678"/>
      <c r="G45" s="678"/>
      <c r="H45" s="731"/>
      <c r="J45" s="720" t="s">
        <v>5</v>
      </c>
      <c r="K45" s="732" t="s">
        <v>27</v>
      </c>
      <c r="L45" s="678"/>
      <c r="M45" s="678"/>
      <c r="N45" s="678"/>
      <c r="O45" s="678"/>
      <c r="P45" s="731"/>
      <c r="R45" s="720" t="s">
        <v>5</v>
      </c>
      <c r="S45" s="732" t="s">
        <v>26</v>
      </c>
      <c r="T45" s="678"/>
      <c r="U45" s="678"/>
      <c r="V45" s="678"/>
    </row>
    <row r="46" spans="2:22" x14ac:dyDescent="0.25">
      <c r="B46" s="720" t="s">
        <v>33</v>
      </c>
      <c r="C46" s="123" t="s">
        <v>26</v>
      </c>
      <c r="D46" s="678"/>
      <c r="E46" s="678"/>
      <c r="F46" s="678"/>
      <c r="G46" s="678"/>
      <c r="H46" s="731"/>
      <c r="J46" s="720" t="s">
        <v>33</v>
      </c>
      <c r="K46" s="732" t="s">
        <v>27</v>
      </c>
      <c r="L46" s="678"/>
      <c r="M46" s="678"/>
      <c r="N46" s="678"/>
      <c r="O46" s="678"/>
      <c r="P46" s="731"/>
      <c r="R46" s="720" t="s">
        <v>33</v>
      </c>
      <c r="S46" s="732" t="s">
        <v>26</v>
      </c>
      <c r="T46" s="678"/>
      <c r="U46" s="678"/>
      <c r="V46" s="678"/>
    </row>
    <row r="47" spans="2:22" x14ac:dyDescent="0.25">
      <c r="B47" s="720" t="s">
        <v>1</v>
      </c>
      <c r="C47" s="123" t="s">
        <v>26</v>
      </c>
      <c r="D47" s="678"/>
      <c r="E47" s="678"/>
      <c r="F47" s="678"/>
      <c r="G47" s="678"/>
      <c r="H47" s="731"/>
      <c r="J47" s="720" t="s">
        <v>1</v>
      </c>
      <c r="K47" s="732" t="s">
        <v>26</v>
      </c>
      <c r="L47" s="678"/>
      <c r="M47" s="678"/>
      <c r="N47" s="678"/>
      <c r="O47" s="678"/>
      <c r="P47" s="731"/>
      <c r="R47" s="720" t="s">
        <v>1</v>
      </c>
      <c r="S47" s="732" t="s">
        <v>27</v>
      </c>
      <c r="T47" s="678"/>
      <c r="U47" s="678"/>
      <c r="V47" s="678"/>
    </row>
    <row r="48" spans="2:22" x14ac:dyDescent="0.25">
      <c r="B48" s="720" t="s">
        <v>107</v>
      </c>
      <c r="C48" s="123" t="s">
        <v>26</v>
      </c>
      <c r="D48" s="678"/>
      <c r="E48" s="678"/>
      <c r="F48" s="678"/>
      <c r="G48" s="678"/>
      <c r="H48" s="731"/>
      <c r="J48" s="720" t="s">
        <v>107</v>
      </c>
      <c r="K48" s="732" t="s">
        <v>27</v>
      </c>
      <c r="L48" s="678"/>
      <c r="M48" s="678"/>
      <c r="N48" s="678"/>
      <c r="O48" s="678"/>
      <c r="P48" s="731"/>
      <c r="R48" s="720" t="s">
        <v>107</v>
      </c>
      <c r="S48" s="732" t="s">
        <v>26</v>
      </c>
      <c r="T48" s="678"/>
      <c r="U48" s="678"/>
      <c r="V48" s="678"/>
    </row>
    <row r="49" spans="2:22" x14ac:dyDescent="0.25">
      <c r="B49" s="720" t="s">
        <v>249</v>
      </c>
      <c r="C49" s="123" t="s">
        <v>26</v>
      </c>
      <c r="D49" s="678"/>
      <c r="E49" s="678"/>
      <c r="F49" s="678"/>
      <c r="G49" s="678"/>
      <c r="H49" s="731"/>
      <c r="J49" s="720" t="s">
        <v>249</v>
      </c>
      <c r="K49" s="732" t="s">
        <v>27</v>
      </c>
      <c r="L49" s="678"/>
      <c r="M49" s="678"/>
      <c r="N49" s="678"/>
      <c r="O49" s="678"/>
      <c r="P49" s="731"/>
      <c r="R49" s="720" t="s">
        <v>249</v>
      </c>
      <c r="S49" s="732" t="s">
        <v>27</v>
      </c>
      <c r="T49" s="678"/>
      <c r="U49" s="678"/>
      <c r="V49" s="678"/>
    </row>
    <row r="50" spans="2:22" x14ac:dyDescent="0.25">
      <c r="B50" s="720" t="s">
        <v>73</v>
      </c>
      <c r="C50" s="123" t="s">
        <v>26</v>
      </c>
      <c r="D50" s="678"/>
      <c r="E50" s="678"/>
      <c r="F50" s="678"/>
      <c r="G50" s="678"/>
      <c r="H50" s="731"/>
      <c r="J50" s="720" t="s">
        <v>73</v>
      </c>
      <c r="K50" s="732" t="s">
        <v>26</v>
      </c>
      <c r="L50" s="678"/>
      <c r="M50" s="678"/>
      <c r="N50" s="678"/>
      <c r="O50" s="678"/>
      <c r="P50" s="731"/>
      <c r="R50" s="720" t="s">
        <v>73</v>
      </c>
      <c r="S50" s="732" t="s">
        <v>27</v>
      </c>
      <c r="T50" s="678"/>
      <c r="U50" s="678"/>
      <c r="V50" s="678"/>
    </row>
    <row r="51" spans="2:22" x14ac:dyDescent="0.25">
      <c r="B51" s="720" t="s">
        <v>4</v>
      </c>
      <c r="C51" s="123" t="s">
        <v>26</v>
      </c>
      <c r="D51" s="678"/>
      <c r="E51" s="678"/>
      <c r="F51" s="678"/>
      <c r="G51" s="678"/>
      <c r="H51" s="731"/>
      <c r="J51" s="720" t="s">
        <v>4</v>
      </c>
      <c r="K51" s="732" t="s">
        <v>27</v>
      </c>
      <c r="L51" s="678"/>
      <c r="M51" s="678"/>
      <c r="N51" s="678"/>
      <c r="O51" s="678"/>
      <c r="P51" s="731"/>
      <c r="R51" s="720" t="s">
        <v>4</v>
      </c>
      <c r="S51" s="732" t="s">
        <v>26</v>
      </c>
      <c r="T51" s="678"/>
      <c r="U51" s="678"/>
      <c r="V51" s="678"/>
    </row>
    <row r="52" spans="2:22" x14ac:dyDescent="0.25">
      <c r="B52" s="720" t="s">
        <v>3</v>
      </c>
      <c r="C52" s="123" t="s">
        <v>26</v>
      </c>
      <c r="D52" s="678"/>
      <c r="E52" s="678"/>
      <c r="F52" s="678"/>
      <c r="G52" s="678"/>
      <c r="H52" s="731"/>
      <c r="J52" s="720" t="s">
        <v>3</v>
      </c>
      <c r="K52" s="732" t="s">
        <v>26</v>
      </c>
      <c r="L52" s="678"/>
      <c r="M52" s="678"/>
      <c r="N52" s="678"/>
      <c r="O52" s="678"/>
      <c r="P52" s="731"/>
      <c r="R52" s="720" t="s">
        <v>3</v>
      </c>
      <c r="S52" s="732" t="s">
        <v>27</v>
      </c>
      <c r="T52" s="678"/>
      <c r="U52" s="678"/>
      <c r="V52" s="678"/>
    </row>
    <row r="53" spans="2:22" x14ac:dyDescent="0.25">
      <c r="B53" s="720" t="s">
        <v>98</v>
      </c>
      <c r="C53" s="123" t="s">
        <v>26</v>
      </c>
      <c r="D53" s="678"/>
      <c r="E53" s="678"/>
      <c r="F53" s="678"/>
      <c r="G53" s="678"/>
      <c r="H53" s="731"/>
      <c r="J53" s="720" t="s">
        <v>98</v>
      </c>
      <c r="K53" s="732" t="s">
        <v>27</v>
      </c>
      <c r="L53" s="678"/>
      <c r="M53" s="678"/>
      <c r="N53" s="678"/>
      <c r="O53" s="678"/>
      <c r="P53" s="731"/>
      <c r="R53" s="720" t="s">
        <v>98</v>
      </c>
      <c r="S53" s="732" t="s">
        <v>27</v>
      </c>
      <c r="T53" s="678"/>
      <c r="U53" s="678"/>
      <c r="V53" s="678"/>
    </row>
    <row r="54" spans="2:22" x14ac:dyDescent="0.25">
      <c r="B54" s="720" t="s">
        <v>31</v>
      </c>
      <c r="C54" s="123" t="s">
        <v>26</v>
      </c>
      <c r="D54" s="678"/>
      <c r="E54" s="678"/>
      <c r="F54" s="678"/>
      <c r="G54" s="678"/>
      <c r="H54" s="731"/>
      <c r="J54" s="720" t="s">
        <v>31</v>
      </c>
      <c r="K54" s="732" t="s">
        <v>27</v>
      </c>
      <c r="L54" s="678"/>
      <c r="M54" s="678"/>
      <c r="N54" s="678"/>
      <c r="O54" s="678"/>
      <c r="P54" s="731"/>
      <c r="R54" s="720" t="s">
        <v>31</v>
      </c>
      <c r="S54" s="732" t="s">
        <v>27</v>
      </c>
      <c r="T54" s="678"/>
      <c r="U54" s="678"/>
      <c r="V54" s="678"/>
    </row>
    <row r="55" spans="2:22" x14ac:dyDescent="0.25">
      <c r="B55" s="720" t="s">
        <v>2</v>
      </c>
      <c r="C55" s="123" t="s">
        <v>26</v>
      </c>
      <c r="D55" s="678"/>
      <c r="E55" s="678"/>
      <c r="F55" s="678"/>
      <c r="G55" s="678"/>
      <c r="H55" s="731"/>
      <c r="J55" s="720" t="s">
        <v>2</v>
      </c>
      <c r="K55" s="732" t="s">
        <v>26</v>
      </c>
      <c r="L55" s="678"/>
      <c r="M55" s="678"/>
      <c r="N55" s="678"/>
      <c r="O55" s="678"/>
      <c r="P55" s="731"/>
      <c r="R55" s="720" t="s">
        <v>2</v>
      </c>
      <c r="S55" s="732" t="s">
        <v>27</v>
      </c>
      <c r="T55" s="678"/>
      <c r="U55" s="678"/>
      <c r="V55" s="678"/>
    </row>
    <row r="56" spans="2:22" x14ac:dyDescent="0.25">
      <c r="B56" s="720" t="s">
        <v>0</v>
      </c>
      <c r="C56" s="123" t="s">
        <v>26</v>
      </c>
      <c r="D56" s="678"/>
      <c r="E56" s="678"/>
      <c r="F56" s="678"/>
      <c r="G56" s="678"/>
      <c r="H56" s="731"/>
      <c r="J56" s="720" t="s">
        <v>0</v>
      </c>
      <c r="K56" s="732" t="s">
        <v>27</v>
      </c>
      <c r="L56" s="678"/>
      <c r="M56" s="678"/>
      <c r="N56" s="678"/>
      <c r="O56" s="678"/>
      <c r="P56" s="731"/>
      <c r="R56" s="720" t="s">
        <v>0</v>
      </c>
      <c r="S56" s="732" t="s">
        <v>27</v>
      </c>
      <c r="T56" s="678"/>
      <c r="U56" s="678"/>
      <c r="V56" s="678"/>
    </row>
    <row r="57" spans="2:22" ht="15.75" thickBot="1" x14ac:dyDescent="0.3">
      <c r="B57" s="710" t="s">
        <v>36</v>
      </c>
      <c r="C57" s="124" t="s">
        <v>26</v>
      </c>
      <c r="D57" s="678"/>
      <c r="E57" s="678"/>
      <c r="F57" s="678"/>
      <c r="G57" s="678"/>
      <c r="H57" s="731"/>
      <c r="J57" s="710" t="s">
        <v>36</v>
      </c>
      <c r="K57" s="733" t="s">
        <v>27</v>
      </c>
      <c r="L57" s="678"/>
      <c r="M57" s="678"/>
      <c r="N57" s="678"/>
      <c r="O57" s="678"/>
      <c r="P57" s="731"/>
      <c r="R57" s="710" t="s">
        <v>36</v>
      </c>
      <c r="S57" s="733" t="s">
        <v>26</v>
      </c>
      <c r="T57" s="678"/>
      <c r="U57" s="678"/>
      <c r="V57" s="678"/>
    </row>
    <row r="58" spans="2:22" x14ac:dyDescent="0.25">
      <c r="B58" s="734"/>
      <c r="C58" s="735"/>
      <c r="D58" s="678"/>
      <c r="E58" s="678"/>
      <c r="F58" s="678"/>
      <c r="G58" s="678"/>
      <c r="H58" s="731"/>
      <c r="J58" s="734"/>
      <c r="K58" s="735"/>
      <c r="L58" s="678"/>
      <c r="M58" s="678"/>
      <c r="N58" s="678"/>
      <c r="O58" s="678"/>
      <c r="P58" s="731"/>
      <c r="R58" s="734"/>
      <c r="S58" s="735"/>
      <c r="T58" s="678"/>
      <c r="U58" s="678"/>
      <c r="V58" s="678"/>
    </row>
    <row r="59" spans="2:22" x14ac:dyDescent="0.25">
      <c r="D59" s="678"/>
      <c r="E59" s="678"/>
      <c r="F59" s="678"/>
      <c r="G59" s="678"/>
      <c r="H59" s="731"/>
      <c r="L59" s="678"/>
      <c r="M59" s="678"/>
      <c r="N59" s="678"/>
      <c r="O59" s="678"/>
      <c r="P59" s="731"/>
      <c r="T59" s="678"/>
      <c r="U59" s="678"/>
      <c r="V59" s="678"/>
    </row>
    <row r="60" spans="2:22" ht="16.5" thickBot="1" x14ac:dyDescent="0.3">
      <c r="B60" s="668" t="s">
        <v>1018</v>
      </c>
      <c r="D60" s="678"/>
      <c r="E60" s="678"/>
      <c r="F60" s="678"/>
      <c r="G60" s="678"/>
      <c r="H60" s="731"/>
      <c r="J60" s="668" t="s">
        <v>904</v>
      </c>
      <c r="L60" s="678"/>
      <c r="M60" s="678"/>
      <c r="N60" s="678"/>
      <c r="O60" s="678"/>
      <c r="P60" s="731"/>
      <c r="R60" s="668" t="s">
        <v>905</v>
      </c>
      <c r="T60" s="678"/>
      <c r="U60" s="678"/>
      <c r="V60" s="678"/>
    </row>
    <row r="61" spans="2:22" ht="30" x14ac:dyDescent="0.25">
      <c r="B61" s="715" t="s">
        <v>28</v>
      </c>
      <c r="C61" s="717" t="s">
        <v>25</v>
      </c>
      <c r="D61" s="678"/>
      <c r="E61" s="678"/>
      <c r="F61" s="678"/>
      <c r="G61" s="678"/>
      <c r="H61" s="731"/>
      <c r="J61" s="715" t="s">
        <v>28</v>
      </c>
      <c r="K61" s="717" t="s">
        <v>25</v>
      </c>
      <c r="L61" s="678"/>
      <c r="M61" s="678"/>
      <c r="N61" s="678"/>
      <c r="O61" s="678"/>
      <c r="P61" s="731"/>
      <c r="R61" s="715" t="s">
        <v>28</v>
      </c>
      <c r="S61" s="717" t="s">
        <v>25</v>
      </c>
      <c r="T61" s="678"/>
      <c r="U61" s="678"/>
      <c r="V61" s="678"/>
    </row>
    <row r="62" spans="2:22" x14ac:dyDescent="0.25">
      <c r="B62" s="720" t="s">
        <v>7</v>
      </c>
      <c r="C62" s="123" t="s">
        <v>26</v>
      </c>
      <c r="J62" s="720" t="s">
        <v>7</v>
      </c>
      <c r="K62" s="732" t="s">
        <v>26</v>
      </c>
      <c r="R62" s="720" t="s">
        <v>7</v>
      </c>
      <c r="S62" s="732" t="s">
        <v>26</v>
      </c>
    </row>
    <row r="63" spans="2:22" x14ac:dyDescent="0.25">
      <c r="B63" s="720" t="s">
        <v>34</v>
      </c>
      <c r="C63" s="123" t="s">
        <v>26</v>
      </c>
      <c r="J63" s="720" t="s">
        <v>34</v>
      </c>
      <c r="K63" s="732" t="s">
        <v>26</v>
      </c>
      <c r="R63" s="720" t="s">
        <v>34</v>
      </c>
      <c r="S63" s="732" t="s">
        <v>26</v>
      </c>
    </row>
    <row r="64" spans="2:22" x14ac:dyDescent="0.25">
      <c r="B64" s="720" t="s">
        <v>8</v>
      </c>
      <c r="C64" s="123" t="s">
        <v>26</v>
      </c>
      <c r="J64" s="720" t="s">
        <v>8</v>
      </c>
      <c r="K64" s="732" t="s">
        <v>26</v>
      </c>
      <c r="R64" s="720" t="s">
        <v>8</v>
      </c>
      <c r="S64" s="732" t="s">
        <v>26</v>
      </c>
    </row>
    <row r="65" spans="2:21" x14ac:dyDescent="0.25">
      <c r="B65" s="720" t="s">
        <v>9</v>
      </c>
      <c r="C65" s="123" t="s">
        <v>26</v>
      </c>
      <c r="J65" s="720" t="s">
        <v>9</v>
      </c>
      <c r="K65" s="732" t="s">
        <v>26</v>
      </c>
      <c r="R65" s="720" t="s">
        <v>9</v>
      </c>
      <c r="S65" s="732" t="s">
        <v>26</v>
      </c>
    </row>
    <row r="66" spans="2:21" x14ac:dyDescent="0.25">
      <c r="B66" s="720" t="s">
        <v>10</v>
      </c>
      <c r="C66" s="123" t="s">
        <v>26</v>
      </c>
      <c r="J66" s="720" t="s">
        <v>10</v>
      </c>
      <c r="K66" s="732" t="s">
        <v>26</v>
      </c>
      <c r="R66" s="720" t="s">
        <v>10</v>
      </c>
      <c r="S66" s="732" t="s">
        <v>26</v>
      </c>
    </row>
    <row r="67" spans="2:21" x14ac:dyDescent="0.25">
      <c r="B67" s="720" t="s">
        <v>11</v>
      </c>
      <c r="C67" s="123" t="s">
        <v>26</v>
      </c>
      <c r="J67" s="720" t="s">
        <v>11</v>
      </c>
      <c r="K67" s="732" t="s">
        <v>26</v>
      </c>
      <c r="R67" s="720" t="s">
        <v>11</v>
      </c>
      <c r="S67" s="732" t="s">
        <v>26</v>
      </c>
    </row>
    <row r="68" spans="2:21" x14ac:dyDescent="0.25">
      <c r="B68" s="720" t="s">
        <v>12</v>
      </c>
      <c r="C68" s="123" t="s">
        <v>26</v>
      </c>
      <c r="J68" s="720" t="s">
        <v>12</v>
      </c>
      <c r="K68" s="732" t="s">
        <v>26</v>
      </c>
      <c r="R68" s="720" t="s">
        <v>12</v>
      </c>
      <c r="S68" s="732" t="s">
        <v>26</v>
      </c>
    </row>
    <row r="69" spans="2:21" x14ac:dyDescent="0.25">
      <c r="B69" s="720" t="s">
        <v>13</v>
      </c>
      <c r="C69" s="123" t="s">
        <v>26</v>
      </c>
      <c r="J69" s="720" t="s">
        <v>13</v>
      </c>
      <c r="K69" s="732" t="s">
        <v>26</v>
      </c>
      <c r="R69" s="720" t="s">
        <v>13</v>
      </c>
      <c r="S69" s="732" t="s">
        <v>26</v>
      </c>
    </row>
    <row r="70" spans="2:21" x14ac:dyDescent="0.25">
      <c r="B70" s="720" t="s">
        <v>14</v>
      </c>
      <c r="C70" s="123" t="s">
        <v>26</v>
      </c>
      <c r="J70" s="720" t="s">
        <v>14</v>
      </c>
      <c r="K70" s="732" t="s">
        <v>26</v>
      </c>
      <c r="R70" s="720" t="s">
        <v>14</v>
      </c>
      <c r="S70" s="732" t="s">
        <v>26</v>
      </c>
    </row>
    <row r="71" spans="2:21" x14ac:dyDescent="0.25">
      <c r="B71" s="720" t="s">
        <v>15</v>
      </c>
      <c r="C71" s="123" t="s">
        <v>26</v>
      </c>
      <c r="D71" s="678"/>
      <c r="E71" s="678"/>
      <c r="J71" s="720" t="s">
        <v>15</v>
      </c>
      <c r="K71" s="732" t="s">
        <v>26</v>
      </c>
      <c r="L71" s="678"/>
      <c r="M71" s="678"/>
      <c r="R71" s="720" t="s">
        <v>15</v>
      </c>
      <c r="S71" s="732" t="s">
        <v>26</v>
      </c>
      <c r="T71" s="678"/>
      <c r="U71" s="678"/>
    </row>
    <row r="72" spans="2:21" x14ac:dyDescent="0.25">
      <c r="B72" s="720" t="s">
        <v>16</v>
      </c>
      <c r="C72" s="123" t="s">
        <v>26</v>
      </c>
      <c r="D72" s="678"/>
      <c r="E72" s="678"/>
      <c r="J72" s="720" t="s">
        <v>16</v>
      </c>
      <c r="K72" s="732" t="s">
        <v>26</v>
      </c>
      <c r="L72" s="678"/>
      <c r="M72" s="678"/>
      <c r="R72" s="720" t="s">
        <v>16</v>
      </c>
      <c r="S72" s="732" t="s">
        <v>26</v>
      </c>
      <c r="T72" s="678"/>
      <c r="U72" s="678"/>
    </row>
    <row r="73" spans="2:21" ht="15.75" thickBot="1" x14ac:dyDescent="0.3">
      <c r="B73" s="710" t="s">
        <v>17</v>
      </c>
      <c r="C73" s="124" t="s">
        <v>26</v>
      </c>
      <c r="D73" s="678"/>
      <c r="E73" s="678"/>
      <c r="J73" s="710" t="s">
        <v>17</v>
      </c>
      <c r="K73" s="733" t="s">
        <v>26</v>
      </c>
      <c r="L73" s="678"/>
      <c r="M73" s="678"/>
      <c r="R73" s="710" t="s">
        <v>17</v>
      </c>
      <c r="S73" s="733" t="s">
        <v>26</v>
      </c>
      <c r="T73" s="678"/>
      <c r="U73" s="678"/>
    </row>
    <row r="74" spans="2:21" x14ac:dyDescent="0.25">
      <c r="B74" s="713"/>
      <c r="C74" s="736"/>
      <c r="D74" s="678"/>
      <c r="E74" s="678"/>
    </row>
    <row r="75" spans="2:21" s="740" customFormat="1" ht="27" customHeight="1" x14ac:dyDescent="0.25">
      <c r="B75" s="737"/>
      <c r="C75" s="738"/>
      <c r="D75" s="739"/>
      <c r="E75" s="739"/>
      <c r="H75" s="741"/>
      <c r="P75" s="741"/>
    </row>
    <row r="76" spans="2:21" s="740" customFormat="1" x14ac:dyDescent="0.25">
      <c r="B76" s="737"/>
      <c r="C76" s="738"/>
      <c r="D76" s="739"/>
      <c r="E76" s="739"/>
      <c r="H76" s="741"/>
      <c r="P76" s="741"/>
    </row>
    <row r="77" spans="2:21" s="740" customFormat="1" x14ac:dyDescent="0.25">
      <c r="B77" s="737"/>
      <c r="C77" s="738"/>
      <c r="D77" s="742"/>
      <c r="E77" s="739"/>
      <c r="H77" s="741"/>
      <c r="P77" s="741"/>
    </row>
    <row r="78" spans="2:21" s="740" customFormat="1" x14ac:dyDescent="0.25">
      <c r="B78" s="737"/>
      <c r="C78" s="738"/>
      <c r="D78" s="737"/>
      <c r="H78" s="741"/>
      <c r="P78" s="741"/>
    </row>
    <row r="79" spans="2:21" s="740" customFormat="1" x14ac:dyDescent="0.25">
      <c r="B79" s="737"/>
      <c r="C79" s="737"/>
      <c r="D79" s="737"/>
      <c r="H79" s="741"/>
      <c r="P79" s="741"/>
    </row>
    <row r="80" spans="2:21" x14ac:dyDescent="0.25">
      <c r="B80" s="737"/>
      <c r="C80" s="737"/>
      <c r="D80" s="737"/>
    </row>
    <row r="81" spans="2:4" x14ac:dyDescent="0.25">
      <c r="B81" s="737"/>
      <c r="C81" s="737"/>
      <c r="D81" s="737"/>
    </row>
    <row r="82" spans="2:4" x14ac:dyDescent="0.25">
      <c r="B82" s="737"/>
    </row>
    <row r="83" spans="2:4" x14ac:dyDescent="0.25">
      <c r="B83" s="737"/>
    </row>
    <row r="84" spans="2:4" x14ac:dyDescent="0.25">
      <c r="B84" s="737"/>
    </row>
    <row r="85" spans="2:4" x14ac:dyDescent="0.25">
      <c r="B85" s="737"/>
    </row>
    <row r="86" spans="2:4" x14ac:dyDescent="0.25">
      <c r="B86" s="737"/>
    </row>
  </sheetData>
  <sheetProtection algorithmName="SHA-512" hashValue="fDp6nREPVNCoU+SzN9/Xqy1vcKJSnLL0wWZ2qeH+9a/PVSg+VlHMxVEmkoi9KC3uWaL7jj3wqZrli7ffHno04g==" saltValue="spMVNBkzjMiRD9vm7I6Gpw==" spinCount="100000" sheet="1" objects="1" scenarios="1"/>
  <protectedRanges>
    <protectedRange algorithmName="SHA-512" hashValue="vP32YuMEUN+bRCW1Vg+acjv/Dt6c305Q+MWHugYI0dmUToH6yEVaWYc8FVgoOApHy/7QY5h5OxEKX5bTUALu0g==" saltValue="+wBrR8acDw4efUdXptsjMQ==" spinCount="100000" sqref="D28:D40 L28:L40 T28:T40" name="Range2"/>
    <protectedRange algorithmName="SHA-512" hashValue="xad+ZnwVXXH80Y7JS4cu/azbXy000peLWzupsR009YIJDfjUes2eR+ccpdZvUWdS6kDzDuSHCa7HgYmAKfPWvQ==" saltValue="wv0SXQbthhsTW5sEND+y7A==" spinCount="100000" sqref="D24:D25 L24:L25 T24:T25" name="Range3"/>
    <protectedRange algorithmName="SHA-512" hashValue="jKSE8qtkvicVDZ6gf7f6yKhwOTRnIkQ4ouETOl4kwYbZBHF7VSpvzFThKOwazfz1D1/U/S9HLGdP0XedGFJiGg==" saltValue="DbtRfa4ljhJjDQxzDu6BEQ==" spinCount="100000" sqref="C45:C58 K45:K58 S45:S58" name="Range5"/>
    <protectedRange algorithmName="SHA-512" hashValue="/a4SOQQsuQzsSHyv1o9VKxJPgsLB6GSc7b8NLOSJQq72lUctr6TAb5UIhqJe5MZ3i30uX7/Wn/I9bpQ2f37O0g==" saltValue="PRM0Zwqul4vt98INk5IWMA==" spinCount="100000" sqref="C62:C74 K62:K73 S62:S73" name="Range6"/>
    <protectedRange algorithmName="SHA-512" hashValue="t4rbI5/lLBCr3jyBctyJjLXw4nkfxztJAGQHwXYuz2ixfTah0/gJireih20qpGWgiQJR7Jckqcu6I/6lxdYoyQ==" saltValue="0gPq6Wkku6RHZSiFEKQWJQ==" spinCount="100000" sqref="D23 L23 T23" name="Range7"/>
  </protectedRanges>
  <autoFilter ref="B27:F40" xr:uid="{00000000-0009-0000-0000-000005000000}">
    <sortState ref="B28:F40">
      <sortCondition ref="B27:B40"/>
    </sortState>
  </autoFilter>
  <sortState ref="B62:C73">
    <sortCondition ref="B62"/>
  </sortState>
  <mergeCells count="7">
    <mergeCell ref="A7:F7"/>
    <mergeCell ref="B19:F19"/>
    <mergeCell ref="J19:N19"/>
    <mergeCell ref="R19:V19"/>
    <mergeCell ref="B16:F16"/>
    <mergeCell ref="J16:N16"/>
    <mergeCell ref="R16:V16"/>
  </mergeCells>
  <dataValidations disablePrompts="1" count="2">
    <dataValidation type="list" allowBlank="1" showInputMessage="1" showErrorMessage="1" sqref="C77:C78 C74" xr:uid="{00000000-0002-0000-0500-000000000000}">
      <formula1>$D$6:$D$14</formula1>
    </dataValidation>
    <dataValidation type="list" allowBlank="1" showInputMessage="1" showErrorMessage="1" sqref="D28:D40 L28:L40 T28:T40 C45:C58 C62:C73 K45:K58 K62:K73 S45:S58 S62:S73" xr:uid="{00000000-0002-0000-0500-000001000000}">
      <formula1>#REF!</formula1>
    </dataValidation>
  </dataValidations>
  <pageMargins left="0.7" right="0.7" top="0.75" bottom="0.75" header="0.3" footer="0.3"/>
  <pageSetup paperSize="3" scale="53" orientation="landscape" r:id="rId1"/>
  <headerFooter>
    <oddHeader>&amp;A</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C8E97444-1EC1-41EC-B5A9-D1FB670B7925}">
          <x14:formula1>
            <xm:f>'Data Validation Sheet'!$E$3:$E$12</xm:f>
          </x14:formula1>
          <xm:sqref>D24:D25 L24:L25 T24:T25</xm:sqref>
        </x14:dataValidation>
        <x14:dataValidation type="list" allowBlank="1" showInputMessage="1" showErrorMessage="1" xr:uid="{EED08614-3568-44B8-BCDB-0B043A2D6C56}">
          <x14:formula1>
            <xm:f>'Data Validation Sheet'!$F$3:$F$5</xm:f>
          </x14:formula1>
          <xm:sqref>D23 L23 T23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pageSetUpPr fitToPage="1"/>
  </sheetPr>
  <dimension ref="A1:AJ483"/>
  <sheetViews>
    <sheetView showGridLines="0" zoomScale="70" zoomScaleNormal="70" workbookViewId="0">
      <selection activeCell="F25" sqref="F1:P1048576"/>
    </sheetView>
  </sheetViews>
  <sheetFormatPr defaultRowHeight="15" x14ac:dyDescent="0.25"/>
  <cols>
    <col min="1" max="1" width="5.7109375" customWidth="1"/>
    <col min="2" max="2" width="45.7109375" customWidth="1"/>
    <col min="3" max="6" width="20.7109375" customWidth="1"/>
    <col min="7" max="15" width="20.7109375" style="18" customWidth="1"/>
    <col min="16" max="17" width="20.7109375" style="18" hidden="1" customWidth="1"/>
    <col min="18" max="20" width="15.7109375" style="18" hidden="1" customWidth="1"/>
    <col min="21" max="21" width="3.140625" style="441" hidden="1" customWidth="1"/>
    <col min="22" max="22" width="6.42578125" style="18" hidden="1" customWidth="1"/>
    <col min="23" max="23" width="10.28515625" style="18" hidden="1" customWidth="1"/>
    <col min="24" max="47" width="0" hidden="1" customWidth="1"/>
  </cols>
  <sheetData>
    <row r="1" spans="1:23" s="93" customFormat="1" ht="15.75" x14ac:dyDescent="0.25">
      <c r="A1" s="56" t="s">
        <v>243</v>
      </c>
      <c r="U1" s="444"/>
    </row>
    <row r="2" spans="1:23" ht="31.5" x14ac:dyDescent="0.25">
      <c r="A2" s="111" t="s">
        <v>1009</v>
      </c>
      <c r="D2" s="95"/>
      <c r="E2" s="95"/>
      <c r="F2" s="95"/>
      <c r="G2" s="95"/>
      <c r="H2"/>
      <c r="I2"/>
      <c r="J2"/>
      <c r="K2"/>
      <c r="L2"/>
      <c r="M2"/>
      <c r="N2"/>
      <c r="O2"/>
      <c r="P2"/>
      <c r="Q2"/>
      <c r="R2"/>
      <c r="S2"/>
      <c r="T2"/>
      <c r="U2" s="26"/>
      <c r="V2"/>
      <c r="W2"/>
    </row>
    <row r="3" spans="1:23" ht="23.25" customHeight="1" x14ac:dyDescent="0.25">
      <c r="A3" s="557" t="str">
        <f>_xlfn.CONCAT("Customized Trade-Off Analysis Name: ",'User Inputs'!B16)</f>
        <v xml:space="preserve">Customized Trade-Off Analysis Name: </v>
      </c>
      <c r="D3" s="95"/>
      <c r="E3" s="95"/>
      <c r="F3" s="95"/>
      <c r="G3" s="95"/>
      <c r="H3"/>
      <c r="I3"/>
      <c r="J3"/>
      <c r="K3"/>
      <c r="L3"/>
      <c r="M3"/>
      <c r="N3"/>
      <c r="O3"/>
      <c r="P3"/>
      <c r="Q3"/>
      <c r="R3"/>
      <c r="S3"/>
      <c r="T3"/>
      <c r="U3" s="26"/>
      <c r="V3"/>
      <c r="W3"/>
    </row>
    <row r="4" spans="1:23" ht="14.25" customHeight="1" x14ac:dyDescent="0.25">
      <c r="B4" s="95"/>
      <c r="D4" s="95"/>
      <c r="E4" s="95"/>
      <c r="F4" s="95"/>
      <c r="G4" s="95"/>
      <c r="H4"/>
      <c r="I4"/>
      <c r="J4"/>
      <c r="K4"/>
      <c r="L4"/>
      <c r="M4"/>
      <c r="N4"/>
      <c r="O4"/>
      <c r="P4"/>
      <c r="Q4"/>
      <c r="R4"/>
      <c r="S4"/>
      <c r="T4"/>
      <c r="U4" s="26"/>
      <c r="V4"/>
      <c r="W4"/>
    </row>
    <row r="5" spans="1:23" s="49" customFormat="1" ht="14.25" customHeight="1" x14ac:dyDescent="0.25">
      <c r="B5" s="443"/>
      <c r="D5" s="443"/>
      <c r="E5" s="443"/>
      <c r="F5" s="443"/>
      <c r="G5" s="443"/>
    </row>
    <row r="6" spans="1:23" ht="19.5" thickBot="1" x14ac:dyDescent="0.35">
      <c r="A6" s="100" t="s">
        <v>1010</v>
      </c>
      <c r="B6" s="100"/>
      <c r="C6" s="100"/>
      <c r="E6" s="11"/>
    </row>
    <row r="7" spans="1:23" s="16" customFormat="1" ht="30" x14ac:dyDescent="0.25">
      <c r="B7" s="429" t="s">
        <v>6</v>
      </c>
      <c r="C7" s="430" t="s">
        <v>828</v>
      </c>
      <c r="D7" s="431" t="s">
        <v>808</v>
      </c>
      <c r="E7" s="431" t="s">
        <v>774</v>
      </c>
      <c r="F7" s="432" t="s">
        <v>30</v>
      </c>
      <c r="G7" s="469" t="s">
        <v>786</v>
      </c>
      <c r="U7" s="442"/>
    </row>
    <row r="8" spans="1:23" x14ac:dyDescent="0.25">
      <c r="B8" s="427" t="str">
        <f>IF('User Inputs'!C62="Yes",'User Inputs'!B62,"")</f>
        <v>Conveyance Improvement</v>
      </c>
      <c r="C8" s="317">
        <f t="shared" ref="C8:C19" si="0">IF(B8="","",SUM(C23:O23))</f>
        <v>35.821986287843309</v>
      </c>
      <c r="D8" s="437">
        <f t="shared" ref="D8:D19" si="1">(COUNTIFS(C23:O23,"&gt;=0"))</f>
        <v>13</v>
      </c>
      <c r="E8" s="317">
        <f t="shared" ref="E8:E19" si="2">IF(D8="","",SUM(C98:O98))</f>
        <v>56.15</v>
      </c>
      <c r="F8" s="318">
        <f>IF(C8="","",IF(C8=0,"NA", IF(D8&lt;MAX($D$8:$D$19), "NA",IF(C8&gt;0,C8/MAX($C$8:$C$19)*100,""))))</f>
        <v>84.964817672617414</v>
      </c>
      <c r="G8" s="438">
        <f>IF(D8&lt;MAX($D$8:$D$19), "NA",RANK('Trade-off Analysis Results'!$F8,'Trade-off Analysis Results'!$F$8:$F$19,0))</f>
        <v>8</v>
      </c>
    </row>
    <row r="9" spans="1:23" x14ac:dyDescent="0.25">
      <c r="B9" s="428" t="str">
        <f>IF('User Inputs'!C63="Yes",'User Inputs'!B63,"")</f>
        <v>Enhanced Conservation</v>
      </c>
      <c r="C9" s="319">
        <f t="shared" si="0"/>
        <v>2.028</v>
      </c>
      <c r="D9" s="437">
        <f t="shared" si="1"/>
        <v>1</v>
      </c>
      <c r="E9" s="439">
        <f t="shared" si="2"/>
        <v>3.9</v>
      </c>
      <c r="F9" s="320" t="str">
        <f t="shared" ref="F9:F19" si="3">IF(C9="","",IF(C9=0,"NA", IF(D9&lt;MAX($D$8:$D$19), "NA",IF(C9&gt;0,C9/MAX($C$8:$C$19)*100,""))))</f>
        <v>NA</v>
      </c>
      <c r="G9" s="438" t="str">
        <f>IF(D9&lt;MAX($D$8:$D$19), "NA",RANK('Trade-off Analysis Results'!$F9,'Trade-off Analysis Results'!$F$8:$F$19,0))</f>
        <v>NA</v>
      </c>
    </row>
    <row r="10" spans="1:23" x14ac:dyDescent="0.25">
      <c r="B10" s="428" t="str">
        <f>IF('User Inputs'!C64="Yes",'User Inputs'!B64,"")</f>
        <v>Gray Water Use</v>
      </c>
      <c r="C10" s="319">
        <f t="shared" si="0"/>
        <v>36.500339760618985</v>
      </c>
      <c r="D10" s="437">
        <f t="shared" si="1"/>
        <v>12</v>
      </c>
      <c r="E10" s="439">
        <f t="shared" si="2"/>
        <v>51.8</v>
      </c>
      <c r="F10" s="320" t="str">
        <f t="shared" si="3"/>
        <v>NA</v>
      </c>
      <c r="G10" s="438" t="str">
        <f>IF(D10&lt;MAX($D$8:$D$19), "NA",RANK('Trade-off Analysis Results'!$F10,'Trade-off Analysis Results'!$F$8:$F$19,0))</f>
        <v>NA</v>
      </c>
    </row>
    <row r="11" spans="1:23" x14ac:dyDescent="0.25">
      <c r="B11" s="428" t="str">
        <f>IF('User Inputs'!C65="Yes",'User Inputs'!B65,"")</f>
        <v>Groundwater</v>
      </c>
      <c r="C11" s="319">
        <f t="shared" si="0"/>
        <v>37.664710125849545</v>
      </c>
      <c r="D11" s="437">
        <f t="shared" si="1"/>
        <v>13</v>
      </c>
      <c r="E11" s="439">
        <f>IF(D11="","",SUM(C101:O101))</f>
        <v>56.15</v>
      </c>
      <c r="F11" s="320">
        <f t="shared" si="3"/>
        <v>89.335504815957606</v>
      </c>
      <c r="G11" s="438">
        <f>IF(D11&lt;MAX($D$8:$D$19), "NA",RANK('Trade-off Analysis Results'!$F11,'Trade-off Analysis Results'!$F$8:$F$19,0))</f>
        <v>7</v>
      </c>
    </row>
    <row r="12" spans="1:23" x14ac:dyDescent="0.25">
      <c r="B12" s="428" t="str">
        <f>IF('User Inputs'!C66="Yes",'User Inputs'!B66,"")</f>
        <v>Imported Water Purchases</v>
      </c>
      <c r="C12" s="319">
        <f t="shared" si="0"/>
        <v>24.304336908156394</v>
      </c>
      <c r="D12" s="437">
        <f t="shared" si="1"/>
        <v>10</v>
      </c>
      <c r="E12" s="439">
        <f t="shared" si="2"/>
        <v>42</v>
      </c>
      <c r="F12" s="320" t="str">
        <f t="shared" si="3"/>
        <v>NA</v>
      </c>
      <c r="G12" s="438" t="str">
        <f>IF(D12&lt;MAX($D$8:$D$19), "NA",RANK('Trade-off Analysis Results'!$F12,'Trade-off Analysis Results'!$F$8:$F$19,0))</f>
        <v>NA</v>
      </c>
    </row>
    <row r="13" spans="1:23" x14ac:dyDescent="0.25">
      <c r="B13" s="428" t="str">
        <f>IF('User Inputs'!C67="Yes",'User Inputs'!B67,"")</f>
        <v>Potable Reuse</v>
      </c>
      <c r="C13" s="319">
        <f t="shared" si="0"/>
        <v>39.034142291342</v>
      </c>
      <c r="D13" s="437">
        <f t="shared" si="1"/>
        <v>13</v>
      </c>
      <c r="E13" s="439">
        <f t="shared" si="2"/>
        <v>56.15</v>
      </c>
      <c r="F13" s="320">
        <f t="shared" si="3"/>
        <v>92.583609299085353</v>
      </c>
      <c r="G13" s="438">
        <f>IF(D13&lt;MAX($D$8:$D$19), "NA",RANK('Trade-off Analysis Results'!$F13,'Trade-off Analysis Results'!$F$8:$F$19,0))</f>
        <v>5</v>
      </c>
    </row>
    <row r="14" spans="1:23" x14ac:dyDescent="0.25">
      <c r="B14" s="428" t="str">
        <f>IF('User Inputs'!C68="Yes",'User Inputs'!B68,"")</f>
        <v>Recycled Water</v>
      </c>
      <c r="C14" s="319">
        <f t="shared" si="0"/>
        <v>39.619780081548626</v>
      </c>
      <c r="D14" s="437">
        <f t="shared" si="1"/>
        <v>13</v>
      </c>
      <c r="E14" s="439">
        <f t="shared" si="2"/>
        <v>56.15</v>
      </c>
      <c r="F14" s="320">
        <f t="shared" si="3"/>
        <v>93.972661476909082</v>
      </c>
      <c r="G14" s="438">
        <f>IF(D14&lt;MAX($D$8:$D$19), "NA",RANK('Trade-off Analysis Results'!$F14,'Trade-off Analysis Results'!$F$8:$F$19,0))</f>
        <v>4</v>
      </c>
    </row>
    <row r="15" spans="1:23" x14ac:dyDescent="0.25">
      <c r="B15" s="428" t="str">
        <f>IF('User Inputs'!C69="Yes",'User Inputs'!B69,"")</f>
        <v>Seawater Desalination</v>
      </c>
      <c r="C15" s="319">
        <f t="shared" si="0"/>
        <v>33.643357126778241</v>
      </c>
      <c r="D15" s="437">
        <f t="shared" si="1"/>
        <v>12</v>
      </c>
      <c r="E15" s="439">
        <f t="shared" si="2"/>
        <v>51.8</v>
      </c>
      <c r="F15" s="320" t="str">
        <f t="shared" si="3"/>
        <v>NA</v>
      </c>
      <c r="G15" s="438" t="str">
        <f>IF(D15&lt;MAX($D$8:$D$19), "NA",RANK('Trade-off Analysis Results'!$F15,'Trade-off Analysis Results'!$F$8:$F$19,0))</f>
        <v>NA</v>
      </c>
    </row>
    <row r="16" spans="1:23" x14ac:dyDescent="0.25">
      <c r="B16" s="428" t="str">
        <f>IF('User Inputs'!C70="Yes",'User Inputs'!B70,"")</f>
        <v>Stormwater BMPs</v>
      </c>
      <c r="C16" s="319">
        <f t="shared" si="0"/>
        <v>38.419139079527376</v>
      </c>
      <c r="D16" s="437">
        <f t="shared" si="1"/>
        <v>13</v>
      </c>
      <c r="E16" s="439">
        <f t="shared" si="2"/>
        <v>56.15</v>
      </c>
      <c r="F16" s="320">
        <f t="shared" si="3"/>
        <v>91.124906385739735</v>
      </c>
      <c r="G16" s="438">
        <f>IF(D16&lt;MAX($D$8:$D$19), "NA",RANK('Trade-off Analysis Results'!$F16,'Trade-off Analysis Results'!$F$8:$F$19,0))</f>
        <v>6</v>
      </c>
    </row>
    <row r="17" spans="1:21" x14ac:dyDescent="0.25">
      <c r="B17" s="428" t="str">
        <f>IF('User Inputs'!C71="Yes",'User Inputs'!B71,"")</f>
        <v>Stormwater Capture</v>
      </c>
      <c r="C17" s="319">
        <f t="shared" si="0"/>
        <v>39.674140280824957</v>
      </c>
      <c r="D17" s="437">
        <f t="shared" si="1"/>
        <v>13</v>
      </c>
      <c r="E17" s="439">
        <f t="shared" si="2"/>
        <v>56.15</v>
      </c>
      <c r="F17" s="320">
        <f t="shared" si="3"/>
        <v>94.101596382501626</v>
      </c>
      <c r="G17" s="438">
        <f>IF(D17&lt;MAX($D$8:$D$19), "NA",RANK('Trade-off Analysis Results'!$F17,'Trade-off Analysis Results'!$F$8:$F$19,0))</f>
        <v>3</v>
      </c>
    </row>
    <row r="18" spans="1:21" x14ac:dyDescent="0.25">
      <c r="B18" s="65" t="s">
        <v>853</v>
      </c>
      <c r="C18" s="319">
        <f t="shared" si="0"/>
        <v>42.160964113253279</v>
      </c>
      <c r="D18" s="437">
        <f t="shared" si="1"/>
        <v>13</v>
      </c>
      <c r="E18" s="439">
        <f t="shared" si="2"/>
        <v>56.15</v>
      </c>
      <c r="F18" s="320">
        <f t="shared" si="3"/>
        <v>100</v>
      </c>
      <c r="G18" s="438">
        <f>IF(D18&lt;MAX($D$8:$D$19), "NA",RANK('Trade-off Analysis Results'!$F18,'Trade-off Analysis Results'!$F$8:$F$19,0))</f>
        <v>1</v>
      </c>
    </row>
    <row r="19" spans="1:21" ht="15.75" thickBot="1" x14ac:dyDescent="0.3">
      <c r="B19" s="433" t="str">
        <f>IF('User Inputs'!C73="Yes",'User Inputs'!B73,"")</f>
        <v>Watershed and Ecosystem Management</v>
      </c>
      <c r="C19" s="426">
        <f t="shared" si="0"/>
        <v>39.719659413349952</v>
      </c>
      <c r="D19" s="434">
        <f t="shared" si="1"/>
        <v>13</v>
      </c>
      <c r="E19" s="435">
        <f t="shared" si="2"/>
        <v>56.15</v>
      </c>
      <c r="F19" s="436">
        <f t="shared" si="3"/>
        <v>94.209561495450004</v>
      </c>
      <c r="G19" s="440">
        <f>IF(D19&lt;MAX($D$8:$D$19), "NA",RANK('Trade-off Analysis Results'!$F19,'Trade-off Analysis Results'!$F$8:$F$19,0))</f>
        <v>2</v>
      </c>
    </row>
    <row r="21" spans="1:21" ht="19.5" customHeight="1" thickBot="1" x14ac:dyDescent="0.3">
      <c r="A21" s="101" t="s">
        <v>1011</v>
      </c>
      <c r="C21" s="101"/>
      <c r="D21" s="101"/>
      <c r="E21" s="101"/>
      <c r="F21" s="101"/>
      <c r="G21" s="101"/>
      <c r="H21" s="101"/>
      <c r="I21" s="101"/>
      <c r="J21" s="101"/>
      <c r="K21" s="101"/>
      <c r="L21" s="101"/>
      <c r="M21" s="101"/>
      <c r="N21" s="101"/>
      <c r="O21" s="101"/>
      <c r="P21" s="101"/>
      <c r="Q21" s="101"/>
    </row>
    <row r="22" spans="1:21" ht="45" x14ac:dyDescent="0.25">
      <c r="B22" s="21" t="s">
        <v>6</v>
      </c>
      <c r="C22" s="22" t="s">
        <v>920</v>
      </c>
      <c r="D22" s="22" t="s">
        <v>33</v>
      </c>
      <c r="E22" s="22" t="s">
        <v>1</v>
      </c>
      <c r="F22" s="421" t="s">
        <v>107</v>
      </c>
      <c r="G22" s="22" t="s">
        <v>249</v>
      </c>
      <c r="H22" s="22" t="s">
        <v>73</v>
      </c>
      <c r="I22" s="22" t="s">
        <v>898</v>
      </c>
      <c r="J22" s="22" t="s">
        <v>3</v>
      </c>
      <c r="K22" s="22" t="s">
        <v>98</v>
      </c>
      <c r="L22" s="421" t="s">
        <v>31</v>
      </c>
      <c r="M22" s="22" t="s">
        <v>2</v>
      </c>
      <c r="N22" s="22" t="s">
        <v>0</v>
      </c>
      <c r="O22" s="23" t="s">
        <v>36</v>
      </c>
      <c r="P22" s="470"/>
      <c r="Q22" s="470"/>
    </row>
    <row r="23" spans="1:21" x14ac:dyDescent="0.25">
      <c r="B23" s="65" t="str">
        <f t="shared" ref="B23:B34" si="4">B8</f>
        <v>Conveyance Improvement</v>
      </c>
      <c r="C23" s="102">
        <f>IF(C38="NA","NA",IF(C38="Not Included","Not Included",C38*'User Inputs'!$F$28/10))</f>
        <v>2.61375</v>
      </c>
      <c r="D23" s="102">
        <f>IF(D38="NA","NA",IF(D38="Not Included","Not Included",D38*'User Inputs'!$F$29/10))</f>
        <v>2.4669090909090903</v>
      </c>
      <c r="E23" s="102">
        <f>IF(E38="NA","NA",IF(E38="Not Included","Not Included",E38*'User Inputs'!$F$30/10))</f>
        <v>1.882986111111111</v>
      </c>
      <c r="F23" s="422">
        <f>IF(F38="NA","NA",IF(F38="Not Included","Not Included",F38*'User Inputs'!$F$31/10))</f>
        <v>2.61</v>
      </c>
      <c r="G23" s="102">
        <f>IF(G38="NA","NA",IF(G38="Not Included","Not Included",G38*'User Inputs'!$F$32/10))</f>
        <v>3.5739583333333327</v>
      </c>
      <c r="H23" s="102">
        <f>IF(H38="NA","NA",IF(H38="Not Included","Not Included",H38*'User Inputs'!$F$33/10))</f>
        <v>2.151979166666667</v>
      </c>
      <c r="I23" s="102">
        <f>IF(I38="NA","NA",IF(I38="Not Included","Not Included",I38*'User Inputs'!$F$34/10))</f>
        <v>2.76</v>
      </c>
      <c r="J23" s="102">
        <f>IF(J38="NA","NA",IF(J38="Not Included","Not Included",J38*'User Inputs'!$F$35/10))</f>
        <v>2.5153333333333334</v>
      </c>
      <c r="K23" s="321">
        <f>IF(K38="NA","NA",IF(K38="Not Included","Not Included",K38*'User Inputs'!$F$36/10))</f>
        <v>2.6891071428571434</v>
      </c>
      <c r="L23" s="422">
        <f>IF(L38="NA","NA",IF(L38="Not Included","Not Included",L38*'User Inputs'!$F$37/10))</f>
        <v>3.1554545454545457</v>
      </c>
      <c r="M23" s="321">
        <f>IF(M38="NA","NA",IF(M38="Not Included","Not Included",M38*'User Inputs'!$F$38/10))</f>
        <v>2.3866406249999996</v>
      </c>
      <c r="N23" s="321">
        <f>IF(N38="NA","NA",IF(N38="Not Included","Not Included",N38*'User Inputs'!$F$39/10))</f>
        <v>3.7769790502891958</v>
      </c>
      <c r="O23" s="103">
        <f>IF(O38="NA","NA",IF(O38="Not Included","Not Included",O38*'User Inputs'!$F$40/10))</f>
        <v>3.2388888888888885</v>
      </c>
      <c r="P23" s="102"/>
      <c r="Q23" s="102"/>
    </row>
    <row r="24" spans="1:21" x14ac:dyDescent="0.25">
      <c r="B24" s="65" t="str">
        <f t="shared" si="4"/>
        <v>Enhanced Conservation</v>
      </c>
      <c r="C24" s="87" t="str">
        <f>IF(C39="NA","NA",IF(C39="Not Included","Not Included",C39*'User Inputs'!$F$28/10))</f>
        <v>NA</v>
      </c>
      <c r="D24" s="87" t="str">
        <f>IF(D39="NA","NA",IF(D39="Not Included","Not Included",D39*'User Inputs'!$F$29/10))</f>
        <v>NA</v>
      </c>
      <c r="E24" s="87" t="str">
        <f>IF(E39="NA","NA",IF(E39="Not Included","Not Included",E39*'User Inputs'!$F$30/10))</f>
        <v>NA</v>
      </c>
      <c r="F24" s="423" t="str">
        <f>IF(F39="NA","NA",IF(F39="Not Included","Not Included",F39*'User Inputs'!$F$31/10))</f>
        <v>NA</v>
      </c>
      <c r="G24" s="87" t="str">
        <f>IF(G39="NA","NA",IF(G39="Not Included","Not Included",G39*'User Inputs'!$F$32/10))</f>
        <v>NA</v>
      </c>
      <c r="H24" s="87" t="str">
        <f>IF(H39="NA","NA",IF(H39="Not Included","Not Included",H39*'User Inputs'!$F$33/10))</f>
        <v>NA</v>
      </c>
      <c r="I24" s="87" t="str">
        <f>IF(I39="NA","NA",IF(I39="Not Included","Not Included",I39*'User Inputs'!$F$34/10))</f>
        <v>NA</v>
      </c>
      <c r="J24" s="87" t="str">
        <f>IF(J39="NA","NA",IF(J39="Not Included","Not Included",J39*'User Inputs'!$F$35/10))</f>
        <v>NA</v>
      </c>
      <c r="K24" s="322" t="str">
        <f>IF(K39="NA","NA",IF(K39="Not Included","Not Included",K39*'User Inputs'!$F$36/10))</f>
        <v>NA</v>
      </c>
      <c r="L24" s="423">
        <f>IF(L39="NA","NA",IF(L39="Not Included","Not Included",L39*'User Inputs'!$F$37/10))</f>
        <v>2.028</v>
      </c>
      <c r="M24" s="321" t="str">
        <f>IF(M39="NA","NA",IF(M39="Not Included","Not Included",M39*'User Inputs'!$F$38/10))</f>
        <v>NA</v>
      </c>
      <c r="N24" s="322" t="str">
        <f>IF(N39="NA","NA",IF(N39="Not Included","Not Included",N39*'User Inputs'!$F$39/10))</f>
        <v>NA</v>
      </c>
      <c r="O24" s="104" t="str">
        <f>IF(O39="NA","NA",IF(O39="Not Included","Not Included",O39*'User Inputs'!$F$40/10))</f>
        <v>NA</v>
      </c>
      <c r="P24" s="87"/>
      <c r="Q24" s="87"/>
    </row>
    <row r="25" spans="1:21" s="16" customFormat="1" x14ac:dyDescent="0.25">
      <c r="B25" s="65" t="str">
        <f t="shared" si="4"/>
        <v>Gray Water Use</v>
      </c>
      <c r="C25" s="87">
        <f>IF(C40="NA","NA",IF(C40="Not Included","Not Included",C40*'User Inputs'!$F$28/10))</f>
        <v>2.665</v>
      </c>
      <c r="D25" s="87">
        <f>IF(D40="NA","NA",IF(D40="Not Included","Not Included",D40*'User Inputs'!$F$29/10))</f>
        <v>4.8</v>
      </c>
      <c r="E25" s="87">
        <f>IF(E40="NA","NA",IF(E40="Not Included","Not Included",E40*'User Inputs'!$F$30/10))</f>
        <v>3.1166666666666663</v>
      </c>
      <c r="F25" s="423" t="str">
        <f>IF(F40="NA","NA",IF(F40="Not Included","Not Included",F40*'User Inputs'!$F$31/10))</f>
        <v>NA</v>
      </c>
      <c r="G25" s="87">
        <f>IF(G40="NA","NA",IF(G40="Not Included","Not Included",G40*'User Inputs'!$F$32/10))</f>
        <v>3.9811764705882355</v>
      </c>
      <c r="H25" s="87">
        <f>IF(H40="NA","NA",IF(H40="Not Included","Not Included",H40*'User Inputs'!$F$33/10))</f>
        <v>2.2329411764705882</v>
      </c>
      <c r="I25" s="87">
        <f>IF(I40="NA","NA",IF(I40="Not Included","Not Included",I40*'User Inputs'!$F$34/10))</f>
        <v>2.76</v>
      </c>
      <c r="J25" s="87">
        <f>IF(J40="NA","NA",IF(J40="Not Included","Not Included",J40*'User Inputs'!$F$35/10))</f>
        <v>2.7720000000000002</v>
      </c>
      <c r="K25" s="322">
        <f>IF(K40="NA","NA",IF(K40="Not Included","Not Included",K40*'User Inputs'!$F$36/10))</f>
        <v>2.3484828783105116</v>
      </c>
      <c r="L25" s="423">
        <f>IF(L40="NA","NA",IF(L40="Not Included","Not Included",L40*'User Inputs'!$F$37/10))</f>
        <v>2.73</v>
      </c>
      <c r="M25" s="321">
        <f>IF(M40="NA","NA",IF(M40="Not Included","Not Included",M40*'User Inputs'!$F$38/10))</f>
        <v>2.7019642857142854</v>
      </c>
      <c r="N25" s="322">
        <f>IF(N40="NA","NA",IF(N40="Not Included","Not Included",N40*'User Inputs'!$F$39/10))</f>
        <v>3.2046082828686941</v>
      </c>
      <c r="O25" s="104">
        <f>IF(O40="NA","NA",IF(O40="Not Included","Not Included",O40*'User Inputs'!$F$40/10))</f>
        <v>3.1875</v>
      </c>
      <c r="P25" s="87"/>
      <c r="Q25" s="87"/>
      <c r="U25" s="442"/>
    </row>
    <row r="26" spans="1:21" x14ac:dyDescent="0.25">
      <c r="B26" s="65" t="str">
        <f t="shared" si="4"/>
        <v>Groundwater</v>
      </c>
      <c r="C26" s="87">
        <f>IF(C41="NA","NA",IF(C41="Not Included","Not Included",C41*'User Inputs'!$F$28/10))</f>
        <v>2.4839166666666666</v>
      </c>
      <c r="D26" s="87">
        <f>IF(D41="NA","NA",IF(D41="Not Included","Not Included",D41*'User Inputs'!$F$29/10))</f>
        <v>3.5702479338842976</v>
      </c>
      <c r="E26" s="87">
        <f>IF(E41="NA","NA",IF(E41="Not Included","Not Included",E41*'User Inputs'!$F$30/10))</f>
        <v>1.8214285714285716</v>
      </c>
      <c r="F26" s="423">
        <f>IF(F41="NA","NA",IF(F41="Not Included","Not Included",F41*'User Inputs'!$F$31/10))</f>
        <v>2.6824999999999997</v>
      </c>
      <c r="G26" s="87">
        <f>IF(G41="NA","NA",IF(G41="Not Included","Not Included",G41*'User Inputs'!$F$32/10))</f>
        <v>4.6706250000000002</v>
      </c>
      <c r="H26" s="87">
        <f>IF(H41="NA","NA",IF(H41="Not Included","Not Included",H41*'User Inputs'!$F$33/10))</f>
        <v>1.4681111111111111</v>
      </c>
      <c r="I26" s="87">
        <f>IF(I41="NA","NA",IF(I41="Not Included","Not Included",I41*'User Inputs'!$F$34/10))</f>
        <v>2.8157575757575755</v>
      </c>
      <c r="J26" s="87">
        <f>IF(J41="NA","NA",IF(J41="Not Included","Not Included",J41*'User Inputs'!$F$35/10))</f>
        <v>2.3619444444444442</v>
      </c>
      <c r="K26" s="322">
        <f>IF(K41="NA","NA",IF(K41="Not Included","Not Included",K41*'User Inputs'!$F$36/10))</f>
        <v>2.2379662879710041</v>
      </c>
      <c r="L26" s="423">
        <f>IF(L41="NA","NA",IF(L41="Not Included","Not Included",L41*'User Inputs'!$F$37/10))</f>
        <v>3.3973333333333331</v>
      </c>
      <c r="M26" s="321">
        <f>IF(M41="NA","NA",IF(M41="Not Included","Not Included",M41*'User Inputs'!$F$38/10))</f>
        <v>3.0162140376984121</v>
      </c>
      <c r="N26" s="322">
        <f>IF(N41="NA","NA",IF(N41="Not Included","Not Included",N41*'User Inputs'!$F$39/10))</f>
        <v>3.7770249519139214</v>
      </c>
      <c r="O26" s="104">
        <f>IF(O41="NA","NA",IF(O41="Not Included","Not Included",O41*'User Inputs'!$F$40/10))</f>
        <v>3.361640211640212</v>
      </c>
      <c r="P26" s="87"/>
      <c r="Q26" s="87"/>
    </row>
    <row r="27" spans="1:21" x14ac:dyDescent="0.25">
      <c r="B27" s="65" t="str">
        <f t="shared" si="4"/>
        <v>Imported Water Purchases</v>
      </c>
      <c r="C27" s="87">
        <f>IF(C42="NA","NA",IF(C42="Not Included","Not Included",C42*'User Inputs'!$F$28/10))</f>
        <v>1.9474999999999998</v>
      </c>
      <c r="D27" s="87" t="str">
        <f>IF(D42="NA","NA",IF(D42="Not Included","Not Included",D42*'User Inputs'!$F$29/10))</f>
        <v>NA</v>
      </c>
      <c r="E27" s="87">
        <f>IF(E42="NA","NA",IF(E42="Not Included","Not Included",E42*'User Inputs'!$F$30/10))</f>
        <v>2.6166666666666663</v>
      </c>
      <c r="F27" s="423" t="str">
        <f>IF(F42="NA","NA",IF(F42="Not Included","Not Included",F42*'User Inputs'!$F$31/10))</f>
        <v>NA</v>
      </c>
      <c r="G27" s="87">
        <f>IF(G42="NA","NA",IF(G42="Not Included","Not Included",G42*'User Inputs'!$F$32/10))</f>
        <v>2.6437499999999998</v>
      </c>
      <c r="H27" s="87">
        <f>IF(H42="NA","NA",IF(H42="Not Included","Not Included",H42*'User Inputs'!$F$33/10))</f>
        <v>2.380168067226891</v>
      </c>
      <c r="I27" s="87">
        <f>IF(I42="NA","NA",IF(I42="Not Included","Not Included",I42*'User Inputs'!$F$34/10))</f>
        <v>2.76</v>
      </c>
      <c r="J27" s="87">
        <f>IF(J42="NA","NA",IF(J42="Not Included","Not Included",J42*'User Inputs'!$F$35/10))</f>
        <v>2.1559999999999997</v>
      </c>
      <c r="K27" s="322">
        <f>IF(K42="NA","NA",IF(K42="Not Included","Not Included",K42*'User Inputs'!$F$36/10))</f>
        <v>2.2314706703885134</v>
      </c>
      <c r="L27" s="423">
        <f>IF(L42="NA","NA",IF(L42="Not Included","Not Included",L42*'User Inputs'!$F$37/10))</f>
        <v>2.21</v>
      </c>
      <c r="M27" s="321">
        <f>IF(M42="NA","NA",IF(M42="Not Included","Not Included",M42*'User Inputs'!$F$38/10))</f>
        <v>2.1554166666666665</v>
      </c>
      <c r="N27" s="322">
        <f>IF(N42="NA","NA",IF(N42="Not Included","Not Included",N42*'User Inputs'!$F$39/10))</f>
        <v>3.203364837207654</v>
      </c>
      <c r="O27" s="104" t="str">
        <f>IF(O42="NA","NA",IF(O42="Not Included","Not Included",O42*'User Inputs'!$F$40/10))</f>
        <v>NA</v>
      </c>
      <c r="P27" s="87"/>
      <c r="Q27" s="87"/>
    </row>
    <row r="28" spans="1:21" x14ac:dyDescent="0.25">
      <c r="B28" s="65" t="str">
        <f t="shared" si="4"/>
        <v>Potable Reuse</v>
      </c>
      <c r="C28" s="87">
        <f>IF(C43="NA","NA",IF(C43="Not Included","Not Included",C43*'User Inputs'!$F$28/10))</f>
        <v>2.61375</v>
      </c>
      <c r="D28" s="87">
        <f>IF(D43="NA","NA",IF(D43="Not Included","Not Included",D43*'User Inputs'!$F$29/10))</f>
        <v>2.5409090909090906</v>
      </c>
      <c r="E28" s="87">
        <f>IF(E43="NA","NA",IF(E43="Not Included","Not Included",E43*'User Inputs'!$F$30/10))</f>
        <v>1.6220833333333331</v>
      </c>
      <c r="F28" s="423">
        <f>IF(F43="NA","NA",IF(F43="Not Included","Not Included",F43*'User Inputs'!$F$31/10))</f>
        <v>2.7187499999999996</v>
      </c>
      <c r="G28" s="87">
        <f>IF(G43="NA","NA",IF(G43="Not Included","Not Included",G43*'User Inputs'!$F$32/10))</f>
        <v>4.54725</v>
      </c>
      <c r="H28" s="87">
        <f>IF(H43="NA","NA",IF(H43="Not Included","Not Included",H43*'User Inputs'!$F$33/10))</f>
        <v>1.2775000000000001</v>
      </c>
      <c r="I28" s="87">
        <f>IF(I43="NA","NA",IF(I43="Not Included","Not Included",I43*'User Inputs'!$F$34/10))</f>
        <v>2.76</v>
      </c>
      <c r="J28" s="87">
        <f>IF(J43="NA","NA",IF(J43="Not Included","Not Included",J43*'User Inputs'!$F$35/10))</f>
        <v>2.9095</v>
      </c>
      <c r="K28" s="322">
        <f>IF(K43="NA","NA",IF(K43="Not Included","Not Included",K43*'User Inputs'!$F$36/10))</f>
        <v>2.5603510528826008</v>
      </c>
      <c r="L28" s="423">
        <f>IF(L43="NA","NA",IF(L43="Not Included","Not Included",L43*'User Inputs'!$F$37/10))</f>
        <v>3.7439999999999998</v>
      </c>
      <c r="M28" s="321">
        <f>IF(M43="NA","NA",IF(M43="Not Included","Not Included",M43*'User Inputs'!$F$38/10))</f>
        <v>3.5692410714285714</v>
      </c>
      <c r="N28" s="322">
        <f>IF(N43="NA","NA",IF(N43="Not Included","Not Included",N43*'User Inputs'!$F$39/10))</f>
        <v>4.1902521872328489</v>
      </c>
      <c r="O28" s="104">
        <f>IF(O43="NA","NA",IF(O43="Not Included","Not Included",O43*'User Inputs'!$F$40/10))</f>
        <v>3.9805555555555556</v>
      </c>
      <c r="P28" s="87"/>
      <c r="Q28" s="87"/>
    </row>
    <row r="29" spans="1:21" x14ac:dyDescent="0.25">
      <c r="B29" s="65" t="str">
        <f t="shared" si="4"/>
        <v>Recycled Water</v>
      </c>
      <c r="C29" s="87">
        <f>IF(C44="NA","NA",IF(C44="Not Included","Not Included",C44*'User Inputs'!$F$28/10))</f>
        <v>2.8836666666666662</v>
      </c>
      <c r="D29" s="87">
        <f>IF(D44="NA","NA",IF(D44="Not Included","Not Included",D44*'User Inputs'!$F$29/10))</f>
        <v>2.6983302411873837</v>
      </c>
      <c r="E29" s="87">
        <f>IF(E44="NA","NA",IF(E44="Not Included","Not Included",E44*'User Inputs'!$F$30/10))</f>
        <v>2.125</v>
      </c>
      <c r="F29" s="423">
        <f>IF(F44="NA","NA",IF(F44="Not Included","Not Included",F44*'User Inputs'!$F$31/10))</f>
        <v>2.6507812499999996</v>
      </c>
      <c r="G29" s="87">
        <f>IF(G44="NA","NA",IF(G44="Not Included","Not Included",G44*'User Inputs'!$F$32/10))</f>
        <v>4.6118749999999995</v>
      </c>
      <c r="H29" s="87">
        <f>IF(H44="NA","NA",IF(H44="Not Included","Not Included",H44*'User Inputs'!$F$33/10))</f>
        <v>2.28125</v>
      </c>
      <c r="I29" s="87">
        <f>IF(I44="NA","NA",IF(I44="Not Included","Not Included",I44*'User Inputs'!$F$34/10))</f>
        <v>2.76</v>
      </c>
      <c r="J29" s="87">
        <f>IF(J44="NA","NA",IF(J44="Not Included","Not Included",J44*'User Inputs'!$F$35/10))</f>
        <v>2.9631250000000002</v>
      </c>
      <c r="K29" s="322">
        <f>IF(K44="NA","NA",IF(K44="Not Included","Not Included",K44*'User Inputs'!$F$36/10))</f>
        <v>2.765801849519347</v>
      </c>
      <c r="L29" s="423">
        <f>IF(L44="NA","NA",IF(L44="Not Included","Not Included",L44*'User Inputs'!$F$37/10))</f>
        <v>3.6270000000000002</v>
      </c>
      <c r="M29" s="321">
        <f>IF(M44="NA","NA",IF(M44="Not Included","Not Included",M44*'User Inputs'!$F$38/10))</f>
        <v>3.0888392857142857</v>
      </c>
      <c r="N29" s="322">
        <f>IF(N44="NA","NA",IF(N44="Not Included","Not Included",N44*'User Inputs'!$F$39/10))</f>
        <v>3.9043885662387332</v>
      </c>
      <c r="O29" s="104">
        <f>IF(O44="NA","NA",IF(O44="Not Included","Not Included",O44*'User Inputs'!$F$40/10))</f>
        <v>3.259722222222222</v>
      </c>
      <c r="P29" s="87"/>
      <c r="Q29" s="87"/>
    </row>
    <row r="30" spans="1:21" x14ac:dyDescent="0.25">
      <c r="B30" s="65" t="str">
        <f t="shared" si="4"/>
        <v>Seawater Desalination</v>
      </c>
      <c r="C30" s="87">
        <f>IF(C45="NA","NA",IF(C45="Not Included","Not Included",C45*'User Inputs'!$F$28/10))</f>
        <v>1.9294117647058822</v>
      </c>
      <c r="D30" s="87">
        <f>IF(D45="NA","NA",IF(D45="Not Included","Not Included",D45*'User Inputs'!$F$29/10))</f>
        <v>4.8</v>
      </c>
      <c r="E30" s="87">
        <f>IF(E45="NA","NA",IF(E45="Not Included","Not Included",E45*'User Inputs'!$F$30/10))</f>
        <v>1.3851851851851853</v>
      </c>
      <c r="F30" s="423" t="str">
        <f>IF(F45="NA","NA",IF(F45="Not Included","Not Included",F45*'User Inputs'!$F$31/10))</f>
        <v>NA</v>
      </c>
      <c r="G30" s="87">
        <f>IF(G45="NA","NA",IF(G45="Not Included","Not Included",G45*'User Inputs'!$F$32/10))</f>
        <v>4.7</v>
      </c>
      <c r="H30" s="87">
        <f>IF(H45="NA","NA",IF(H45="Not Included","Not Included",H45*'User Inputs'!$F$33/10))</f>
        <v>1.0706666666666664</v>
      </c>
      <c r="I30" s="87">
        <f>IF(I45="NA","NA",IF(I45="Not Included","Not Included",I45*'User Inputs'!$F$34/10))</f>
        <v>2.76</v>
      </c>
      <c r="J30" s="87">
        <f>IF(J45="NA","NA",IF(J45="Not Included","Not Included",J45*'User Inputs'!$F$35/10))</f>
        <v>1.9506666666666668</v>
      </c>
      <c r="K30" s="322">
        <f>IF(K45="NA","NA",IF(K45="Not Included","Not Included",K45*'User Inputs'!$F$36/10))</f>
        <v>2.2313615221050718</v>
      </c>
      <c r="L30" s="423">
        <f>IF(L45="NA","NA",IF(L45="Not Included","Not Included",L45*'User Inputs'!$F$37/10))</f>
        <v>2.8414285714285716</v>
      </c>
      <c r="M30" s="321">
        <f>IF(M45="NA","NA",IF(M45="Not Included","Not Included",M45*'User Inputs'!$F$38/10))</f>
        <v>3.2347222222222221</v>
      </c>
      <c r="N30" s="322">
        <f>IF(N45="NA","NA",IF(N45="Not Included","Not Included",N45*'User Inputs'!$F$39/10))</f>
        <v>3.9065811944646414</v>
      </c>
      <c r="O30" s="104">
        <f>IF(O45="NA","NA",IF(O45="Not Included","Not Included",O45*'User Inputs'!$F$40/10))</f>
        <v>2.8333333333333335</v>
      </c>
      <c r="P30" s="87"/>
      <c r="Q30" s="87"/>
    </row>
    <row r="31" spans="1:21" x14ac:dyDescent="0.25">
      <c r="B31" s="65" t="str">
        <f t="shared" si="4"/>
        <v>Stormwater BMPs</v>
      </c>
      <c r="C31" s="87">
        <f>IF(C46="NA","NA",IF(C46="Not Included","Not Included",C46*'User Inputs'!$F$28/10))</f>
        <v>2.7469999999999999</v>
      </c>
      <c r="D31" s="87">
        <f>IF(D46="NA","NA",IF(D46="Not Included","Not Included",D46*'User Inputs'!$F$29/10))</f>
        <v>4.1662090584801641</v>
      </c>
      <c r="E31" s="87">
        <f>IF(E46="NA","NA",IF(E46="Not Included","Not Included",E46*'User Inputs'!$F$30/10))</f>
        <v>2.4392763157894737</v>
      </c>
      <c r="F31" s="423">
        <f>IF(F46="NA","NA",IF(F46="Not Included","Not Included",F46*'User Inputs'!$F$31/10))</f>
        <v>2.8515803571428568</v>
      </c>
      <c r="G31" s="87">
        <f>IF(G46="NA","NA",IF(G46="Not Included","Not Included",G46*'User Inputs'!$F$32/10))</f>
        <v>3.314855769230769</v>
      </c>
      <c r="H31" s="87">
        <f>IF(H46="NA","NA",IF(H46="Not Included","Not Included",H46*'User Inputs'!$F$33/10))</f>
        <v>2.2690833333333336</v>
      </c>
      <c r="I31" s="87">
        <f>IF(I46="NA","NA",IF(I46="Not Included","Not Included",I46*'User Inputs'!$F$34/10))</f>
        <v>2.9360043184885285</v>
      </c>
      <c r="J31" s="87">
        <f>IF(J46="NA","NA",IF(J46="Not Included","Not Included",J46*'User Inputs'!$F$35/10))</f>
        <v>2.4777499999999995</v>
      </c>
      <c r="K31" s="322">
        <f>IF(K46="NA","NA",IF(K46="Not Included","Not Included",K46*'User Inputs'!$F$36/10))</f>
        <v>2.910751712861551</v>
      </c>
      <c r="L31" s="423">
        <f>IF(L46="NA","NA",IF(L46="Not Included","Not Included",L46*'User Inputs'!$F$37/10))</f>
        <v>2.5349999999999997</v>
      </c>
      <c r="M31" s="321">
        <f>IF(M46="NA","NA",IF(M46="Not Included","Not Included",M46*'User Inputs'!$F$38/10))</f>
        <v>2.6175845864661658</v>
      </c>
      <c r="N31" s="322">
        <f>IF(N46="NA","NA",IF(N46="Not Included","Not Included",N46*'User Inputs'!$F$39/10))</f>
        <v>3.2904471365064616</v>
      </c>
      <c r="O31" s="104">
        <f>IF(O46="NA","NA",IF(O46="Not Included","Not Included",O46*'User Inputs'!$F$40/10))</f>
        <v>3.8635964912280714</v>
      </c>
      <c r="P31" s="87"/>
      <c r="Q31" s="87"/>
    </row>
    <row r="32" spans="1:21" x14ac:dyDescent="0.25">
      <c r="B32" s="65" t="str">
        <f t="shared" si="4"/>
        <v>Stormwater Capture</v>
      </c>
      <c r="C32" s="87">
        <f>IF(C47="NA","NA",IF(C47="Not Included","Not Included",C47*'User Inputs'!$F$28/10))</f>
        <v>2.604705882352941</v>
      </c>
      <c r="D32" s="87">
        <f>IF(D47="NA","NA",IF(D47="Not Included","Not Included",D47*'User Inputs'!$F$29/10))</f>
        <v>4.8</v>
      </c>
      <c r="E32" s="87">
        <f>IF(E47="NA","NA",IF(E47="Not Included","Not Included",E47*'User Inputs'!$F$30/10))</f>
        <v>2.2666666666666666</v>
      </c>
      <c r="F32" s="423">
        <f>IF(F47="NA","NA",IF(F47="Not Included","Not Included",F47*'User Inputs'!$F$31/10))</f>
        <v>2.61</v>
      </c>
      <c r="G32" s="87">
        <f>IF(G47="NA","NA",IF(G47="Not Included","Not Included",G47*'User Inputs'!$F$32/10))</f>
        <v>4.4911111111111115</v>
      </c>
      <c r="H32" s="87">
        <f>IF(H47="NA","NA",IF(H47="Not Included","Not Included",H47*'User Inputs'!$F$33/10))</f>
        <v>1.7979629629629632</v>
      </c>
      <c r="I32" s="87">
        <f>IF(I47="NA","NA",IF(I47="Not Included","Not Included",I47*'User Inputs'!$F$34/10))</f>
        <v>2.76</v>
      </c>
      <c r="J32" s="87">
        <f>IF(J47="NA","NA",IF(J47="Not Included","Not Included",J47*'User Inputs'!$F$35/10))</f>
        <v>2.5987499999999999</v>
      </c>
      <c r="K32" s="322">
        <f>IF(K47="NA","NA",IF(K47="Not Included","Not Included",K47*'User Inputs'!$F$36/10))</f>
        <v>2.3944685560620975</v>
      </c>
      <c r="L32" s="423">
        <f>IF(L47="NA","NA",IF(L47="Not Included","Not Included",L47*'User Inputs'!$F$37/10))</f>
        <v>3.12</v>
      </c>
      <c r="M32" s="321">
        <f>IF(M47="NA","NA",IF(M47="Not Included","Not Included",M47*'User Inputs'!$F$38/10))</f>
        <v>3.0812499999999998</v>
      </c>
      <c r="N32" s="322">
        <f>IF(N47="NA","NA",IF(N47="Not Included","Not Included",N47*'User Inputs'!$F$39/10))</f>
        <v>3.6296172585319253</v>
      </c>
      <c r="O32" s="104">
        <f>IF(O47="NA","NA",IF(O47="Not Included","Not Included",O47*'User Inputs'!$F$40/10))</f>
        <v>3.5196078431372548</v>
      </c>
      <c r="P32" s="87"/>
      <c r="Q32" s="87"/>
    </row>
    <row r="33" spans="1:36" x14ac:dyDescent="0.25">
      <c r="B33" s="65" t="s">
        <v>853</v>
      </c>
      <c r="C33" s="87">
        <f>IF(C48="NA","NA",IF(C48="Not Included","Not Included",C48*'User Inputs'!$F$28/10))</f>
        <v>3.0749999999999997</v>
      </c>
      <c r="D33" s="87">
        <f>IF(D48="NA","NA",IF(D48="Not Included","Not Included",D48*'User Inputs'!$F$29/10))</f>
        <v>3.6</v>
      </c>
      <c r="E33" s="87">
        <f>IF(E48="NA","NA",IF(E48="Not Included","Not Included",E48*'User Inputs'!$F$30/10))</f>
        <v>3.4885416666666673</v>
      </c>
      <c r="F33" s="423">
        <f>IF(F48="NA","NA",IF(F48="Not Included","Not Included",F48*'User Inputs'!$F$31/10))</f>
        <v>3.0449999999999995</v>
      </c>
      <c r="G33" s="87">
        <f>IF(G48="NA","NA",IF(G48="Not Included","Not Included",G48*'User Inputs'!$F$32/10))</f>
        <v>4.0008749999999997</v>
      </c>
      <c r="H33" s="87">
        <f>IF(H48="NA","NA",IF(H48="Not Included","Not Included",H48*'User Inputs'!$F$33/10))</f>
        <v>3.0173333333333328</v>
      </c>
      <c r="I33" s="87">
        <f>IF(I48="NA","NA",IF(I48="Not Included","Not Included",I48*'User Inputs'!$F$34/10))</f>
        <v>2.8366666666666669</v>
      </c>
      <c r="J33" s="87">
        <f>IF(J48="NA","NA",IF(J48="Not Included","Not Included",J48*'User Inputs'!$F$35/10))</f>
        <v>3.1349999999999998</v>
      </c>
      <c r="K33" s="322">
        <f>IF(K48="NA","NA",IF(K48="Not Included","Not Included",K48*'User Inputs'!$F$36/10))</f>
        <v>2.78780598063602</v>
      </c>
      <c r="L33" s="423">
        <f>IF(L48="NA","NA",IF(L48="Not Included","Not Included",L48*'User Inputs'!$F$37/10))</f>
        <v>3.2759999999999998</v>
      </c>
      <c r="M33" s="321">
        <f>IF(M48="NA","NA",IF(M48="Not Included","Not Included",M48*'User Inputs'!$F$38/10))</f>
        <v>3.1696651785714289</v>
      </c>
      <c r="N33" s="322">
        <f>IF(N48="NA","NA",IF(N48="Not Included","Not Included",N48*'User Inputs'!$F$39/10))</f>
        <v>3.2012985096013877</v>
      </c>
      <c r="O33" s="104">
        <f>IF(O48="NA","NA",IF(O48="Not Included","Not Included",O48*'User Inputs'!$F$40/10))</f>
        <v>3.5277777777777777</v>
      </c>
      <c r="P33" s="87"/>
      <c r="Q33" s="87"/>
    </row>
    <row r="34" spans="1:36" ht="15.75" thickBot="1" x14ac:dyDescent="0.3">
      <c r="B34" s="105" t="str">
        <f t="shared" si="4"/>
        <v>Watershed and Ecosystem Management</v>
      </c>
      <c r="C34" s="88">
        <f>IF(C49="NA","NA",IF(C49="Not Included","Not Included",C49*'User Inputs'!$F$28/10))</f>
        <v>2.9734761904761902</v>
      </c>
      <c r="D34" s="88">
        <f>IF(D49="NA","NA",IF(D49="Not Included","Not Included",D49*'User Inputs'!$F$29/10))</f>
        <v>3.815712682379349</v>
      </c>
      <c r="E34" s="88">
        <f>IF(E49="NA","NA",IF(E49="Not Included","Not Included",E49*'User Inputs'!$F$30/10))</f>
        <v>2.4842261904761904</v>
      </c>
      <c r="F34" s="424">
        <f>IF(F49="NA","NA",IF(F49="Not Included","Not Included",F49*'User Inputs'!$F$31/10))</f>
        <v>3.2987499999999996</v>
      </c>
      <c r="G34" s="88">
        <f>IF(G49="NA","NA",IF(G49="Not Included","Not Included",G49*'User Inputs'!$F$32/10))</f>
        <v>3.6229166666666672</v>
      </c>
      <c r="H34" s="88">
        <f>IF(H49="NA","NA",IF(H49="Not Included","Not Included",H49*'User Inputs'!$F$33/10))</f>
        <v>2.0683333333333334</v>
      </c>
      <c r="I34" s="88">
        <f>IF(I49="NA","NA",IF(I49="Not Included","Not Included",I49*'User Inputs'!$F$34/10))</f>
        <v>3.084705882352941</v>
      </c>
      <c r="J34" s="88">
        <f>IF(J49="NA","NA",IF(J49="Not Included","Not Included",J49*'User Inputs'!$F$35/10))</f>
        <v>2.6949999999999998</v>
      </c>
      <c r="K34" s="323">
        <f>IF(K49="NA","NA",IF(K49="Not Included","Not Included",K49*'User Inputs'!$F$36/10))</f>
        <v>2.9992832997905214</v>
      </c>
      <c r="L34" s="424">
        <f>IF(L49="NA","NA",IF(L49="Not Included","Not Included",L49*'User Inputs'!$F$37/10))</f>
        <v>2.8191428571428565</v>
      </c>
      <c r="M34" s="323">
        <f>IF(M49="NA","NA",IF(M49="Not Included","Not Included",M49*'User Inputs'!$F$38/10))</f>
        <v>2.6385903159340658</v>
      </c>
      <c r="N34" s="323">
        <f>IF(N49="NA","NA",IF(N49="Not Included","Not Included",N49*'User Inputs'!$F$39/10))</f>
        <v>3.4865854868613311</v>
      </c>
      <c r="O34" s="106">
        <f>IF(O49="NA","NA",IF(O49="Not Included","Not Included",O49*'User Inputs'!$F$40/10))</f>
        <v>3.7329365079365076</v>
      </c>
      <c r="P34" s="87"/>
      <c r="Q34" s="87"/>
    </row>
    <row r="35" spans="1:36" x14ac:dyDescent="0.25">
      <c r="C35" s="18"/>
      <c r="D35" s="18"/>
      <c r="E35" s="18"/>
      <c r="F35" s="18"/>
      <c r="K35" s="324"/>
      <c r="L35" s="556"/>
      <c r="M35" s="324"/>
      <c r="N35" s="324"/>
    </row>
    <row r="36" spans="1:36" ht="19.5" thickBot="1" x14ac:dyDescent="0.35">
      <c r="A36" s="94" t="s">
        <v>1012</v>
      </c>
      <c r="C36" s="18"/>
      <c r="D36" s="18"/>
      <c r="E36" s="18"/>
      <c r="F36" s="18"/>
      <c r="K36" s="324"/>
      <c r="L36" s="556"/>
      <c r="M36" s="324"/>
      <c r="N36" s="324"/>
    </row>
    <row r="37" spans="1:36" ht="75" x14ac:dyDescent="0.25">
      <c r="B37" s="24"/>
      <c r="C37" s="22" t="s">
        <v>827</v>
      </c>
      <c r="D37" s="22" t="s">
        <v>815</v>
      </c>
      <c r="E37" s="22" t="s">
        <v>816</v>
      </c>
      <c r="F37" s="421" t="s">
        <v>817</v>
      </c>
      <c r="G37" s="22" t="s">
        <v>818</v>
      </c>
      <c r="H37" s="22" t="s">
        <v>819</v>
      </c>
      <c r="I37" s="22" t="s">
        <v>820</v>
      </c>
      <c r="J37" s="22" t="s">
        <v>821</v>
      </c>
      <c r="K37" s="22" t="s">
        <v>822</v>
      </c>
      <c r="L37" s="421" t="s">
        <v>823</v>
      </c>
      <c r="M37" s="22" t="s">
        <v>824</v>
      </c>
      <c r="N37" s="22" t="s">
        <v>825</v>
      </c>
      <c r="O37" s="23" t="s">
        <v>826</v>
      </c>
      <c r="P37" s="470" t="s">
        <v>924</v>
      </c>
      <c r="Q37" s="470"/>
      <c r="AI37" s="18"/>
      <c r="AJ37" s="18"/>
    </row>
    <row r="38" spans="1:36" x14ac:dyDescent="0.25">
      <c r="B38" s="65" t="str">
        <f t="shared" ref="B38:B49" si="5">B8</f>
        <v>Conveyance Improvement</v>
      </c>
      <c r="C38" s="102">
        <f>IF(OR('User Inputs'!$C$45="No",'User Inputs'!$C62="No"), "Not Included", 'EO Climate Change GHG'!J8)</f>
        <v>3.1875</v>
      </c>
      <c r="D38" s="102">
        <f>IF(OR('User Inputs'!$C$46="No",'User Inputs'!$C62="No"), "Not Included", 'EO Climate Resilience'!G8)</f>
        <v>2.5696969696969694</v>
      </c>
      <c r="E38" s="102">
        <f>IF(OR('User Inputs'!$C$47="No",'User Inputs'!$C62="No"), "Not Included", 'EO Cost Effectiveness'!F53)</f>
        <v>2.2152777777777777</v>
      </c>
      <c r="F38" s="422">
        <f>IF(OR('User Inputs'!$C$48="No",'User Inputs'!$C62="No"), "Not Included", 'EO Env Justice'!E38)</f>
        <v>3</v>
      </c>
      <c r="G38" s="102">
        <f>IF(OR('User Inputs'!$C$49="No",'User Inputs'!$C62="No"), "Not Included", 'EO Optimize Local Supplies'!J8)</f>
        <v>3.802083333333333</v>
      </c>
      <c r="H38" s="102">
        <f>IF(OR('User Inputs'!$C$50="No",'User Inputs'!$C62="No"), "Not Included", 'EO Project Complexity'!J8)</f>
        <v>2.947916666666667</v>
      </c>
      <c r="I38" s="102">
        <f>IF(OR('User Inputs'!$C$51="No",'User Inputs'!$C62="No"), "Not Included", 'EO Protect Habitats'!F8)</f>
        <v>3</v>
      </c>
      <c r="J38" s="102">
        <f>IF(OR('User Inputs'!$C$52="No",'User Inputs'!$C62="No"), "Not Included", 'EO Scalability'!J8)</f>
        <v>3.2666666666666666</v>
      </c>
      <c r="K38" s="321">
        <f>IF(OR('User Inputs'!$C$54="No",'User Inputs'!$C62="No"), "Not Included", 'EO Quality of Life'!E98)</f>
        <v>3.6339285714285716</v>
      </c>
      <c r="L38" s="422">
        <f>IF(OR('User Inputs'!$C$55="No",'User Inputs'!$C62="No"), "Not Included",'EO Regional Econ Impact'!C24)</f>
        <v>4.0454545454545459</v>
      </c>
      <c r="M38" s="321">
        <f>IF(OR('User Inputs'!$C$56="No",'User Inputs'!$C63="No"), "Not Included",'EO Regional Integration'!E68)</f>
        <v>2.8078124999999998</v>
      </c>
      <c r="N38" s="321">
        <f>IF(OR('User Inputs'!$C$53="No",'User Inputs'!$C62="No"), "Not Included", 'EO Reliability and Robustness'!F115)</f>
        <v>3.7769790502891958</v>
      </c>
      <c r="O38" s="103">
        <f>IF(OR('User Inputs'!$C$57="No",'User Inputs'!$C62="No"), "Not Included", 'EO Water Quality and Watersheds'!F84)</f>
        <v>3.2388888888888889</v>
      </c>
      <c r="P38" s="102">
        <f>MAX(C38:O38)-MIN(C38:O38)</f>
        <v>1.8301767676767682</v>
      </c>
      <c r="Q38" s="102"/>
      <c r="AI38" s="18"/>
      <c r="AJ38" s="18"/>
    </row>
    <row r="39" spans="1:36" x14ac:dyDescent="0.25">
      <c r="B39" s="65" t="str">
        <f t="shared" si="5"/>
        <v>Enhanced Conservation</v>
      </c>
      <c r="C39" s="102" t="str">
        <f>IF(OR('User Inputs'!$C$45="No",'User Inputs'!$C63="No"), "Not Included", 'EO Climate Change GHG'!J9)</f>
        <v>NA</v>
      </c>
      <c r="D39" s="102" t="str">
        <f>IF(OR('User Inputs'!$C$46="No",'User Inputs'!$C63="No"), "Not Included", 'EO Climate Resilience'!G9)</f>
        <v>NA</v>
      </c>
      <c r="E39" s="102" t="str">
        <f>IF(OR('User Inputs'!$C$47="No",'User Inputs'!$C63="No"), "Not Included", 'EO Cost Effectiveness'!F54)</f>
        <v>NA</v>
      </c>
      <c r="F39" s="422" t="str">
        <f>IF(OR('User Inputs'!$C$48="No",'User Inputs'!$C63="No"), "Not Included", 'EO Env Justice'!E39)</f>
        <v>NA</v>
      </c>
      <c r="G39" s="102" t="str">
        <f>IF(OR('User Inputs'!$C$49="No",'User Inputs'!$C63="No"), "Not Included", 'EO Optimize Local Supplies'!J9)</f>
        <v>NA</v>
      </c>
      <c r="H39" s="102" t="str">
        <f>IF(OR('User Inputs'!$C$50="No",'User Inputs'!$C63="No"), "Not Included", 'EO Project Complexity'!J9)</f>
        <v>NA</v>
      </c>
      <c r="I39" s="102" t="str">
        <f>IF(OR('User Inputs'!$C$51="No",'User Inputs'!$C63="No"), "Not Included", 'EO Protect Habitats'!F9)</f>
        <v>NA</v>
      </c>
      <c r="J39" s="102" t="str">
        <f>IF(OR('User Inputs'!$C$52="No",'User Inputs'!$C63="No"), "Not Included", 'EO Scalability'!J9)</f>
        <v>NA</v>
      </c>
      <c r="K39" s="321" t="str">
        <f>IF(OR('User Inputs'!$C$54="No",'User Inputs'!$C63="No"), "Not Included", 'EO Quality of Life'!E99)</f>
        <v>NA</v>
      </c>
      <c r="L39" s="422">
        <f>IF(OR('User Inputs'!$C$55="No",'User Inputs'!$C63="No"), "Not Included",'EO Regional Econ Impact'!C25)</f>
        <v>2.6</v>
      </c>
      <c r="M39" s="324" t="str">
        <f>IF(OR('User Inputs'!$C$56="No",'User Inputs'!$C64="No"), "Not Included",'EO Regional Integration'!E69)</f>
        <v>NA</v>
      </c>
      <c r="N39" s="321" t="str">
        <f>IF(OR('User Inputs'!$C$53="No",'User Inputs'!$C63="No"), "Not Included", 'EO Reliability and Robustness'!F116)</f>
        <v>NA</v>
      </c>
      <c r="O39" s="103" t="str">
        <f>IF(OR('User Inputs'!$C$57="No",'User Inputs'!$C63="No"), "Not Included", 'EO Water Quality and Watersheds'!F85)</f>
        <v>NA</v>
      </c>
      <c r="P39" s="102">
        <f t="shared" ref="P39:P49" si="6">MAX(C39:O39)-MIN(C39:O39)</f>
        <v>0</v>
      </c>
      <c r="Q39" s="102"/>
      <c r="AI39" s="18"/>
      <c r="AJ39" s="18"/>
    </row>
    <row r="40" spans="1:36" x14ac:dyDescent="0.25">
      <c r="B40" s="65" t="str">
        <f t="shared" si="5"/>
        <v>Gray Water Use</v>
      </c>
      <c r="C40" s="102">
        <f>IF(OR('User Inputs'!$C$45="No",'User Inputs'!$C64="No"), "Not Included", 'EO Climate Change GHG'!J10)</f>
        <v>3.25</v>
      </c>
      <c r="D40" s="102">
        <f>IF(OR('User Inputs'!$C$46="No",'User Inputs'!$C64="No"), "Not Included", 'EO Climate Resilience'!G10)</f>
        <v>5</v>
      </c>
      <c r="E40" s="102">
        <f>IF(OR('User Inputs'!$C$47="No",'User Inputs'!$C64="No"), "Not Included", 'EO Cost Effectiveness'!F55)</f>
        <v>3.6666666666666665</v>
      </c>
      <c r="F40" s="422" t="str">
        <f>IF(OR('User Inputs'!$C$48="No",'User Inputs'!$C64="No"), "Not Included", 'EO Env Justice'!E40)</f>
        <v>NA</v>
      </c>
      <c r="G40" s="102">
        <f>IF(OR('User Inputs'!$C$49="No",'User Inputs'!$C64="No"), "Not Included", 'EO Optimize Local Supplies'!J10)</f>
        <v>4.2352941176470589</v>
      </c>
      <c r="H40" s="102">
        <f>IF(OR('User Inputs'!$C$50="No",'User Inputs'!$C64="No"), "Not Included", 'EO Project Complexity'!J10)</f>
        <v>3.0588235294117645</v>
      </c>
      <c r="I40" s="102">
        <f>IF(OR('User Inputs'!$C$51="No",'User Inputs'!$C64="No"), "Not Included", 'EO Protect Habitats'!F10)</f>
        <v>3</v>
      </c>
      <c r="J40" s="102">
        <f>IF(OR('User Inputs'!$C$52="No",'User Inputs'!$C64="No"), "Not Included", 'EO Scalability'!J10)</f>
        <v>3.6</v>
      </c>
      <c r="K40" s="321">
        <f>IF(OR('User Inputs'!$C$54="No",'User Inputs'!$C64="No"), "Not Included", 'EO Quality of Life'!E100)</f>
        <v>3.173625511230421</v>
      </c>
      <c r="L40" s="422">
        <f>IF(OR('User Inputs'!$C$55="No",'User Inputs'!$C64="No"), "Not Included",'EO Regional Econ Impact'!C26)</f>
        <v>3.5</v>
      </c>
      <c r="M40" s="321">
        <f>IF(OR('User Inputs'!$C$56="No",'User Inputs'!$C65="No"), "Not Included",'EO Regional Integration'!E70)</f>
        <v>3.1787815126050418</v>
      </c>
      <c r="N40" s="321">
        <f>IF(OR('User Inputs'!$C$53="No",'User Inputs'!$C64="No"), "Not Included", 'EO Reliability and Robustness'!F117)</f>
        <v>3.2046082828686941</v>
      </c>
      <c r="O40" s="103">
        <f>IF(OR('User Inputs'!$C$57="No",'User Inputs'!$C64="No"), "Not Included", 'EO Water Quality and Watersheds'!F86)</f>
        <v>3.1875</v>
      </c>
      <c r="P40" s="102">
        <f t="shared" si="6"/>
        <v>2</v>
      </c>
      <c r="Q40" s="102"/>
      <c r="AI40" s="18"/>
      <c r="AJ40" s="18"/>
    </row>
    <row r="41" spans="1:36" x14ac:dyDescent="0.25">
      <c r="B41" s="65" t="str">
        <f t="shared" si="5"/>
        <v>Groundwater</v>
      </c>
      <c r="C41" s="102">
        <f>IF(OR('User Inputs'!$C$45="No",'User Inputs'!$C65="No"), "Not Included", 'EO Climate Change GHG'!J11)</f>
        <v>3.0291666666666668</v>
      </c>
      <c r="D41" s="102">
        <f>IF(OR('User Inputs'!$C$46="No",'User Inputs'!$C65="No"), "Not Included", 'EO Climate Resilience'!G11)</f>
        <v>3.7190082644628104</v>
      </c>
      <c r="E41" s="102">
        <f>IF(OR('User Inputs'!$C$47="No",'User Inputs'!$C65="No"), "Not Included", 'EO Cost Effectiveness'!F56)</f>
        <v>2.1428571428571428</v>
      </c>
      <c r="F41" s="422">
        <f>IF(OR('User Inputs'!$C$48="No",'User Inputs'!$C65="No"), "Not Included", 'EO Env Justice'!E41)</f>
        <v>3.083333333333333</v>
      </c>
      <c r="G41" s="102">
        <f>IF(OR('User Inputs'!$C$49="No",'User Inputs'!$C65="No"), "Not Included", 'EO Optimize Local Supplies'!J11)</f>
        <v>4.96875</v>
      </c>
      <c r="H41" s="102">
        <f>IF(OR('User Inputs'!$C$50="No",'User Inputs'!$C65="No"), "Not Included", 'EO Project Complexity'!J11)</f>
        <v>2.0111111111111111</v>
      </c>
      <c r="I41" s="102">
        <f>IF(OR('User Inputs'!$C$51="No",'User Inputs'!$C65="No"), "Not Included", 'EO Protect Habitats'!F11)</f>
        <v>3.0606060606060606</v>
      </c>
      <c r="J41" s="102">
        <f>IF(OR('User Inputs'!$C$52="No",'User Inputs'!$C65="No"), "Not Included", 'EO Scalability'!J11)</f>
        <v>3.0674603174603172</v>
      </c>
      <c r="K41" s="321">
        <f>IF(OR('User Inputs'!$C$54="No",'User Inputs'!$C65="No"), "Not Included", 'EO Quality of Life'!E101)</f>
        <v>3.0242787675283838</v>
      </c>
      <c r="L41" s="422">
        <f>IF(OR('User Inputs'!$C$55="No",'User Inputs'!$C65="No"), "Not Included",'EO Regional Econ Impact'!C27)</f>
        <v>4.3555555555555552</v>
      </c>
      <c r="M41" s="321">
        <f>IF(OR('User Inputs'!$C$56="No",'User Inputs'!$C66="No"), "Not Included",'EO Regional Integration'!E71)</f>
        <v>3.5484871031746028</v>
      </c>
      <c r="N41" s="321">
        <f>IF(OR('User Inputs'!$C$53="No",'User Inputs'!$C65="No"), "Not Included", 'EO Reliability and Robustness'!F118)</f>
        <v>3.777024951913921</v>
      </c>
      <c r="O41" s="103">
        <f>IF(OR('User Inputs'!$C$57="No",'User Inputs'!$C65="No"), "Not Included", 'EO Water Quality and Watersheds'!F87)</f>
        <v>3.361640211640212</v>
      </c>
      <c r="P41" s="102">
        <f t="shared" si="6"/>
        <v>2.9576388888888889</v>
      </c>
      <c r="Q41" s="102"/>
      <c r="AI41" s="18"/>
      <c r="AJ41" s="18"/>
    </row>
    <row r="42" spans="1:36" x14ac:dyDescent="0.25">
      <c r="B42" s="65" t="str">
        <f t="shared" si="5"/>
        <v>Imported Water Purchases</v>
      </c>
      <c r="C42" s="102">
        <f>IF(OR('User Inputs'!$C$45="No",'User Inputs'!$C66="No"), "Not Included", 'EO Climate Change GHG'!J12)</f>
        <v>2.375</v>
      </c>
      <c r="D42" s="102" t="str">
        <f>IF(OR('User Inputs'!$C$46="No",'User Inputs'!$C66="No"), "Not Included", 'EO Climate Resilience'!G12)</f>
        <v>NA</v>
      </c>
      <c r="E42" s="102">
        <f>IF(OR('User Inputs'!$C$47="No",'User Inputs'!$C66="No"), "Not Included", 'EO Cost Effectiveness'!F57)</f>
        <v>3.0784313725490193</v>
      </c>
      <c r="F42" s="422" t="str">
        <f>IF(OR('User Inputs'!$C$48="No",'User Inputs'!$C66="No"), "Not Included", 'EO Env Justice'!E42)</f>
        <v>NA</v>
      </c>
      <c r="G42" s="102">
        <f>IF(OR('User Inputs'!$C$49="No",'User Inputs'!$C66="No"), "Not Included", 'EO Optimize Local Supplies'!J12)</f>
        <v>2.8125</v>
      </c>
      <c r="H42" s="102">
        <f>IF(OR('User Inputs'!$C$50="No",'User Inputs'!$C66="No"), "Not Included", 'EO Project Complexity'!J12)</f>
        <v>3.2605042016806722</v>
      </c>
      <c r="I42" s="102">
        <f>IF(OR('User Inputs'!$C$51="No",'User Inputs'!$C66="No"), "Not Included", 'EO Protect Habitats'!F12)</f>
        <v>3</v>
      </c>
      <c r="J42" s="102">
        <f>IF(OR('User Inputs'!$C$52="No",'User Inputs'!$C66="No"), "Not Included", 'EO Scalability'!J12)</f>
        <v>2.8</v>
      </c>
      <c r="K42" s="321">
        <f>IF(OR('User Inputs'!$C$54="No",'User Inputs'!$C66="No"), "Not Included", 'EO Quality of Life'!E102)</f>
        <v>3.0155009059304234</v>
      </c>
      <c r="L42" s="422">
        <f>IF(OR('User Inputs'!$C$55="No",'User Inputs'!$C66="No"), "Not Included",'EO Regional Econ Impact'!C28)</f>
        <v>2.8333333333333335</v>
      </c>
      <c r="M42" s="321">
        <f>IF(OR('User Inputs'!$C$56="No",'User Inputs'!$C67="No"), "Not Included",'EO Regional Integration'!E72)</f>
        <v>2.5357843137254901</v>
      </c>
      <c r="N42" s="321">
        <f>IF(OR('User Inputs'!$C$53="No",'User Inputs'!$C66="No"), "Not Included", 'EO Reliability and Robustness'!F119)</f>
        <v>3.2033648372076544</v>
      </c>
      <c r="O42" s="103" t="str">
        <f>IF(OR('User Inputs'!$C$57="No",'User Inputs'!$C66="No"), "Not Included", 'EO Water Quality and Watersheds'!F88)</f>
        <v>NA</v>
      </c>
      <c r="P42" s="102">
        <f t="shared" si="6"/>
        <v>0.88550420168067223</v>
      </c>
      <c r="Q42" s="102"/>
      <c r="AI42" s="18"/>
      <c r="AJ42" s="18"/>
    </row>
    <row r="43" spans="1:36" x14ac:dyDescent="0.25">
      <c r="B43" s="65" t="str">
        <f t="shared" si="5"/>
        <v>Potable Reuse</v>
      </c>
      <c r="C43" s="102">
        <f>IF(OR('User Inputs'!$C$45="No",'User Inputs'!$C67="No"), "Not Included", 'EO Climate Change GHG'!J13)</f>
        <v>3.1875</v>
      </c>
      <c r="D43" s="102">
        <f>IF(OR('User Inputs'!$C$46="No",'User Inputs'!$C67="No"), "Not Included", 'EO Climate Resilience'!G13)</f>
        <v>2.6467803030303028</v>
      </c>
      <c r="E43" s="102">
        <f>IF(OR('User Inputs'!$C$47="No",'User Inputs'!$C67="No"), "Not Included", 'EO Cost Effectiveness'!F58)</f>
        <v>1.9083333333333332</v>
      </c>
      <c r="F43" s="422">
        <f>IF(OR('User Inputs'!$C$48="No",'User Inputs'!$C67="No"), "Not Included", 'EO Env Justice'!E43)</f>
        <v>3.125</v>
      </c>
      <c r="G43" s="102">
        <f>IF(OR('User Inputs'!$C$49="No",'User Inputs'!$C67="No"), "Not Included", 'EO Optimize Local Supplies'!J13)</f>
        <v>4.8375000000000004</v>
      </c>
      <c r="H43" s="102">
        <f>IF(OR('User Inputs'!$C$50="No",'User Inputs'!$C67="No"), "Not Included", 'EO Project Complexity'!J13)</f>
        <v>1.75</v>
      </c>
      <c r="I43" s="102">
        <f>IF(OR('User Inputs'!$C$51="No",'User Inputs'!$C67="No"), "Not Included", 'EO Protect Habitats'!F13)</f>
        <v>3</v>
      </c>
      <c r="J43" s="102">
        <f>IF(OR('User Inputs'!$C$52="No",'User Inputs'!$C67="No"), "Not Included", 'EO Scalability'!J13)</f>
        <v>3.7785714285714285</v>
      </c>
      <c r="K43" s="321">
        <f>IF(OR('User Inputs'!$C$54="No",'User Inputs'!$C67="No"), "Not Included", 'EO Quality of Life'!E103)</f>
        <v>3.4599338552467573</v>
      </c>
      <c r="L43" s="422">
        <f>IF(OR('User Inputs'!$C$55="No",'User Inputs'!$C67="No"), "Not Included",'EO Regional Econ Impact'!C29)</f>
        <v>4.8</v>
      </c>
      <c r="M43" s="321">
        <f>IF(OR('User Inputs'!$C$56="No",'User Inputs'!$C68="No"), "Not Included",'EO Regional Integration'!E73)</f>
        <v>4.1991071428571427</v>
      </c>
      <c r="N43" s="321">
        <f>IF(OR('User Inputs'!$C$53="No",'User Inputs'!$C67="No"), "Not Included", 'EO Reliability and Robustness'!F120)</f>
        <v>4.1902521872328489</v>
      </c>
      <c r="O43" s="103">
        <f>IF(OR('User Inputs'!$C$57="No",'User Inputs'!$C67="No"), "Not Included", 'EO Water Quality and Watersheds'!F89)</f>
        <v>3.9805555555555556</v>
      </c>
      <c r="P43" s="102">
        <f t="shared" si="6"/>
        <v>3.0875000000000004</v>
      </c>
      <c r="Q43" s="102"/>
      <c r="AI43" s="18"/>
      <c r="AJ43" s="18"/>
    </row>
    <row r="44" spans="1:36" x14ac:dyDescent="0.25">
      <c r="B44" s="65" t="str">
        <f t="shared" si="5"/>
        <v>Recycled Water</v>
      </c>
      <c r="C44" s="102">
        <f>IF(OR('User Inputs'!$C$45="No",'User Inputs'!$C68="No"), "Not Included", 'EO Climate Change GHG'!J14)</f>
        <v>3.5166666666666666</v>
      </c>
      <c r="D44" s="102">
        <f>IF(OR('User Inputs'!$C$46="No",'User Inputs'!$C68="No"), "Not Included", 'EO Climate Resilience'!G14)</f>
        <v>2.8107606679035246</v>
      </c>
      <c r="E44" s="102">
        <f>IF(OR('User Inputs'!$C$47="No",'User Inputs'!$C68="No"), "Not Included", 'EO Cost Effectiveness'!F59)</f>
        <v>2.5</v>
      </c>
      <c r="F44" s="422">
        <f>IF(OR('User Inputs'!$C$48="No",'User Inputs'!$C68="No"), "Not Included", 'EO Env Justice'!E44)</f>
        <v>3.046875</v>
      </c>
      <c r="G44" s="102">
        <f>IF(OR('User Inputs'!$C$49="No",'User Inputs'!$C68="No"), "Not Included", 'EO Optimize Local Supplies'!J14)</f>
        <v>4.90625</v>
      </c>
      <c r="H44" s="102">
        <f>IF(OR('User Inputs'!$C$50="No",'User Inputs'!$C68="No"), "Not Included", 'EO Project Complexity'!J14)</f>
        <v>3.125</v>
      </c>
      <c r="I44" s="102">
        <f>IF(OR('User Inputs'!$C$51="No",'User Inputs'!$C68="No"), "Not Included", 'EO Protect Habitats'!F14)</f>
        <v>3</v>
      </c>
      <c r="J44" s="102">
        <f>IF(OR('User Inputs'!$C$52="No",'User Inputs'!$C68="No"), "Not Included", 'EO Scalability'!J14)</f>
        <v>3.8482142857142856</v>
      </c>
      <c r="K44" s="321">
        <f>IF(OR('User Inputs'!$C$54="No",'User Inputs'!$C68="No"), "Not Included", 'EO Quality of Life'!E104)</f>
        <v>3.7375700669180363</v>
      </c>
      <c r="L44" s="422">
        <f>IF(OR('User Inputs'!$C$55="No",'User Inputs'!$C68="No"), "Not Included",'EO Regional Econ Impact'!C30)</f>
        <v>4.6500000000000004</v>
      </c>
      <c r="M44" s="321">
        <f>IF(OR('User Inputs'!$C$56="No",'User Inputs'!$C69="No"), "Not Included",'EO Regional Integration'!E74)</f>
        <v>3.6339285714285716</v>
      </c>
      <c r="N44" s="321">
        <f>IF(OR('User Inputs'!$C$53="No",'User Inputs'!$C68="No"), "Not Included", 'EO Reliability and Robustness'!F121)</f>
        <v>3.9043885662387332</v>
      </c>
      <c r="O44" s="103">
        <f>IF(OR('User Inputs'!$C$57="No",'User Inputs'!$C68="No"), "Not Included", 'EO Water Quality and Watersheds'!F90)</f>
        <v>3.2597222222222224</v>
      </c>
      <c r="P44" s="102">
        <f t="shared" si="6"/>
        <v>2.40625</v>
      </c>
      <c r="Q44" s="102"/>
      <c r="AI44" s="18"/>
      <c r="AJ44" s="18"/>
    </row>
    <row r="45" spans="1:36" x14ac:dyDescent="0.25">
      <c r="B45" s="65" t="str">
        <f t="shared" si="5"/>
        <v>Seawater Desalination</v>
      </c>
      <c r="C45" s="102">
        <f>IF(OR('User Inputs'!$C$45="No",'User Inputs'!$C69="No"), "Not Included", 'EO Climate Change GHG'!J15)</f>
        <v>2.3529411764705883</v>
      </c>
      <c r="D45" s="102">
        <f>IF(OR('User Inputs'!$C$46="No",'User Inputs'!$C69="No"), "Not Included", 'EO Climate Resilience'!G15)</f>
        <v>5</v>
      </c>
      <c r="E45" s="102">
        <f>IF(OR('User Inputs'!$C$47="No",'User Inputs'!$C69="No"), "Not Included", 'EO Cost Effectiveness'!F60)</f>
        <v>1.6296296296296298</v>
      </c>
      <c r="F45" s="422" t="str">
        <f>IF(OR('User Inputs'!$C$48="No",'User Inputs'!$C69="No"), "Not Included", 'EO Env Justice'!E45)</f>
        <v>NA</v>
      </c>
      <c r="G45" s="102">
        <f>IF(OR('User Inputs'!$C$49="No",'User Inputs'!$C69="No"), "Not Included", 'EO Optimize Local Supplies'!J15)</f>
        <v>5</v>
      </c>
      <c r="H45" s="102">
        <f>IF(OR('User Inputs'!$C$50="No",'User Inputs'!$C69="No"), "Not Included", 'EO Project Complexity'!J15)</f>
        <v>1.4666666666666666</v>
      </c>
      <c r="I45" s="102">
        <f>IF(OR('User Inputs'!$C$51="No",'User Inputs'!$C69="No"), "Not Included", 'EO Protect Habitats'!F15)</f>
        <v>3</v>
      </c>
      <c r="J45" s="102">
        <f>IF(OR('User Inputs'!$C$52="No",'User Inputs'!$C69="No"), "Not Included", 'EO Scalability'!J15)</f>
        <v>2.5333333333333332</v>
      </c>
      <c r="K45" s="321">
        <f>IF(OR('User Inputs'!$C$54="No",'User Inputs'!$C69="No"), "Not Included", 'EO Quality of Life'!E105)</f>
        <v>3.015353408250097</v>
      </c>
      <c r="L45" s="422">
        <f>IF(OR('User Inputs'!$C$55="No",'User Inputs'!$C69="No"), "Not Included",'EO Regional Econ Impact'!C31)</f>
        <v>3.6428571428571428</v>
      </c>
      <c r="M45" s="321">
        <f>IF(OR('User Inputs'!$C$56="No",'User Inputs'!$C70="No"), "Not Included",'EO Regional Integration'!E75)</f>
        <v>3.8055555555555554</v>
      </c>
      <c r="N45" s="321">
        <f>IF(OR('User Inputs'!$C$53="No",'User Inputs'!$C69="No"), "Not Included", 'EO Reliability and Robustness'!F122)</f>
        <v>3.9065811944646414</v>
      </c>
      <c r="O45" s="103">
        <f>IF(OR('User Inputs'!$C$57="No",'User Inputs'!$C69="No"), "Not Included", 'EO Water Quality and Watersheds'!F91)</f>
        <v>2.8333333333333335</v>
      </c>
      <c r="P45" s="102">
        <f t="shared" si="6"/>
        <v>3.5333333333333332</v>
      </c>
      <c r="Q45" s="102"/>
      <c r="AI45" s="18"/>
      <c r="AJ45" s="18"/>
    </row>
    <row r="46" spans="1:36" x14ac:dyDescent="0.25">
      <c r="B46" s="65" t="str">
        <f t="shared" si="5"/>
        <v>Stormwater BMPs</v>
      </c>
      <c r="C46" s="102">
        <f>IF(OR('User Inputs'!$C$45="No",'User Inputs'!$C70="No"), "Not Included", 'EO Climate Change GHG'!J16)</f>
        <v>3.35</v>
      </c>
      <c r="D46" s="102">
        <f>IF(OR('User Inputs'!$C$46="No",'User Inputs'!$C70="No"), "Not Included", 'EO Climate Resilience'!G16)</f>
        <v>4.3398011025835039</v>
      </c>
      <c r="E46" s="102">
        <f>IF(OR('User Inputs'!$C$47="No",'User Inputs'!$C70="No"), "Not Included", 'EO Cost Effectiveness'!F61)</f>
        <v>2.8697368421052634</v>
      </c>
      <c r="F46" s="422">
        <f>IF(OR('User Inputs'!$C$48="No",'User Inputs'!$C70="No"), "Not Included", 'EO Env Justice'!E46)</f>
        <v>3.2776785714285714</v>
      </c>
      <c r="G46" s="102">
        <f>IF(OR('User Inputs'!$C$49="No",'User Inputs'!$C70="No"), "Not Included", 'EO Optimize Local Supplies'!J16)</f>
        <v>3.5264423076923075</v>
      </c>
      <c r="H46" s="102">
        <f>IF(OR('User Inputs'!$C$50="No",'User Inputs'!$C70="No"), "Not Included", 'EO Project Complexity'!J16)</f>
        <v>3.1083333333333334</v>
      </c>
      <c r="I46" s="102">
        <f>IF(OR('User Inputs'!$C$51="No",'User Inputs'!$C70="No"), "Not Included", 'EO Protect Habitats'!F16)</f>
        <v>3.1913090418353574</v>
      </c>
      <c r="J46" s="102">
        <f>IF(OR('User Inputs'!$C$52="No",'User Inputs'!$C70="No"), "Not Included", 'EO Scalability'!J16)</f>
        <v>3.2178571428571425</v>
      </c>
      <c r="K46" s="321">
        <f>IF(OR('User Inputs'!$C$54="No",'User Inputs'!$C70="No"), "Not Included", 'EO Quality of Life'!E106)</f>
        <v>3.9334482606237171</v>
      </c>
      <c r="L46" s="422">
        <f>IF(OR('User Inputs'!$C$55="No",'User Inputs'!$C70="No"), "Not Included",'EO Regional Econ Impact'!C32)</f>
        <v>3.25</v>
      </c>
      <c r="M46" s="321">
        <f>IF(OR('User Inputs'!$C$56="No",'User Inputs'!$C71="No"), "Not Included",'EO Regional Integration'!E76)</f>
        <v>3.079511278195489</v>
      </c>
      <c r="N46" s="321">
        <f>IF(OR('User Inputs'!$C$53="No",'User Inputs'!$C70="No"), "Not Included", 'EO Reliability and Robustness'!F123)</f>
        <v>3.2904471365064616</v>
      </c>
      <c r="O46" s="103">
        <f>IF(OR('User Inputs'!$C$57="No",'User Inputs'!$C70="No"), "Not Included", 'EO Water Quality and Watersheds'!F92)</f>
        <v>3.8635964912280709</v>
      </c>
      <c r="P46" s="102">
        <f t="shared" si="6"/>
        <v>1.4700642604782406</v>
      </c>
      <c r="Q46" s="102"/>
      <c r="AI46" s="18"/>
      <c r="AJ46" s="18"/>
    </row>
    <row r="47" spans="1:36" x14ac:dyDescent="0.25">
      <c r="B47" s="65" t="str">
        <f t="shared" si="5"/>
        <v>Stormwater Capture</v>
      </c>
      <c r="C47" s="102">
        <f>IF(OR('User Inputs'!$C$45="No",'User Inputs'!$C71="No"), "Not Included", 'EO Climate Change GHG'!J17)</f>
        <v>3.1764705882352939</v>
      </c>
      <c r="D47" s="102">
        <f>IF(OR('User Inputs'!$C$46="No",'User Inputs'!$C71="No"), "Not Included", 'EO Climate Resilience'!G17)</f>
        <v>5</v>
      </c>
      <c r="E47" s="102">
        <f>IF(OR('User Inputs'!$C$47="No",'User Inputs'!$C71="No"), "Not Included", 'EO Cost Effectiveness'!F62)</f>
        <v>2.6666666666666665</v>
      </c>
      <c r="F47" s="422">
        <f>IF(OR('User Inputs'!$C$48="No",'User Inputs'!$C71="No"), "Not Included", 'EO Env Justice'!E47)</f>
        <v>3</v>
      </c>
      <c r="G47" s="102">
        <f>IF(OR('User Inputs'!$C$49="No",'User Inputs'!$C71="No"), "Not Included", 'EO Optimize Local Supplies'!J17)</f>
        <v>4.7777777777777777</v>
      </c>
      <c r="H47" s="102">
        <f>IF(OR('User Inputs'!$C$50="No",'User Inputs'!$C71="No"), "Not Included", 'EO Project Complexity'!J17)</f>
        <v>2.4629629629629632</v>
      </c>
      <c r="I47" s="102">
        <f>IF(OR('User Inputs'!$C$51="No",'User Inputs'!$C71="No"), "Not Included", 'EO Protect Habitats'!F17)</f>
        <v>3</v>
      </c>
      <c r="J47" s="102">
        <f>IF(OR('User Inputs'!$C$52="No",'User Inputs'!$C71="No"), "Not Included", 'EO Scalability'!J17)</f>
        <v>3.375</v>
      </c>
      <c r="K47" s="321">
        <f>IF(OR('User Inputs'!$C$54="No",'User Inputs'!$C71="No"), "Not Included", 'EO Quality of Life'!E107)</f>
        <v>3.2357683190028346</v>
      </c>
      <c r="L47" s="422">
        <f>IF(OR('User Inputs'!$C$55="No",'User Inputs'!$C71="No"), "Not Included",'EO Regional Econ Impact'!C33)</f>
        <v>4</v>
      </c>
      <c r="M47" s="321">
        <f>IF(OR('User Inputs'!$C$56="No",'User Inputs'!$C72="No"), "Not Included",'EO Regional Integration'!E77)</f>
        <v>3.625</v>
      </c>
      <c r="N47" s="321">
        <f>IF(OR('User Inputs'!$C$53="No",'User Inputs'!$C71="No"), "Not Included", 'EO Reliability and Robustness'!F124)</f>
        <v>3.6296172585319257</v>
      </c>
      <c r="O47" s="103">
        <f>IF(OR('User Inputs'!$C$57="No",'User Inputs'!$C71="No"), "Not Included", 'EO Water Quality and Watersheds'!F93)</f>
        <v>3.5196078431372548</v>
      </c>
      <c r="P47" s="102">
        <f t="shared" si="6"/>
        <v>2.5370370370370368</v>
      </c>
      <c r="Q47" s="102"/>
      <c r="AI47" s="18"/>
      <c r="AJ47" s="18"/>
    </row>
    <row r="48" spans="1:36" x14ac:dyDescent="0.25">
      <c r="B48" s="65" t="s">
        <v>853</v>
      </c>
      <c r="C48" s="102">
        <f>IF(OR('User Inputs'!$C$45="No",'User Inputs'!$C72="No"), "Not Included", 'EO Climate Change GHG'!J18)</f>
        <v>3.75</v>
      </c>
      <c r="D48" s="102">
        <f>IF(OR('User Inputs'!$C$46="No",'User Inputs'!$C72="No"), "Not Included", 'EO Climate Resilience'!G18)</f>
        <v>3.75</v>
      </c>
      <c r="E48" s="102">
        <f>IF(OR('User Inputs'!$C$47="No",'User Inputs'!$C72="No"), "Not Included", 'EO Cost Effectiveness'!F63)</f>
        <v>4.104166666666667</v>
      </c>
      <c r="F48" s="422">
        <f>IF(OR('User Inputs'!$C$48="No",'User Inputs'!$C72="No"), "Not Included", 'EO Env Justice'!E48)</f>
        <v>3.5</v>
      </c>
      <c r="G48" s="102">
        <f>IF(OR('User Inputs'!$C$49="No",'User Inputs'!$C72="No"), "Not Included", 'EO Optimize Local Supplies'!J18)</f>
        <v>4.2562499999999996</v>
      </c>
      <c r="H48" s="102">
        <f>IF(OR('User Inputs'!$C$50="No",'User Inputs'!$C72="No"), "Not Included", 'EO Project Complexity'!J18)</f>
        <v>4.1333333333333329</v>
      </c>
      <c r="I48" s="102">
        <f>IF(OR('User Inputs'!$C$51="No",'User Inputs'!$C72="No"), "Not Included", 'EO Protect Habitats'!F18)</f>
        <v>3.0833333333333335</v>
      </c>
      <c r="J48" s="102">
        <f>IF(OR('User Inputs'!$C$52="No",'User Inputs'!$C72="No"), "Not Included", 'EO Scalability'!J18)</f>
        <v>4.0714285714285712</v>
      </c>
      <c r="K48" s="321">
        <f>IF(OR('User Inputs'!$C$54="No",'User Inputs'!$C72="No"), "Not Included", 'EO Quality of Life'!E108)</f>
        <v>3.7673053792378646</v>
      </c>
      <c r="L48" s="422">
        <f>IF(OR('User Inputs'!$C$55="No",'User Inputs'!$C72="No"), "Not Included",'EO Regional Econ Impact'!C34)</f>
        <v>4.2</v>
      </c>
      <c r="M48" s="321">
        <f>IF(OR('User Inputs'!$C$56="No",'User Inputs'!$C73="No"), "Not Included",'EO Regional Integration'!E78)</f>
        <v>3.7290178571428574</v>
      </c>
      <c r="N48" s="321">
        <f>IF(OR('User Inputs'!$C$53="No",'User Inputs'!$C72="No"), "Not Included", 'EO Reliability and Robustness'!F125)</f>
        <v>3.2012985096013877</v>
      </c>
      <c r="O48" s="103">
        <f>IF(OR('User Inputs'!$C$57="No",'User Inputs'!$C72="No"), "Not Included", 'EO Water Quality and Watersheds'!F94)</f>
        <v>3.5277777777777781</v>
      </c>
      <c r="P48" s="102">
        <f t="shared" si="6"/>
        <v>1.1729166666666662</v>
      </c>
      <c r="Q48" s="102"/>
      <c r="AI48" s="18"/>
      <c r="AJ48" s="18"/>
    </row>
    <row r="49" spans="1:36" ht="15.75" thickBot="1" x14ac:dyDescent="0.3">
      <c r="B49" s="107" t="str">
        <f t="shared" si="5"/>
        <v>Watershed and Ecosystem Management</v>
      </c>
      <c r="C49" s="108">
        <f>IF(OR('User Inputs'!$C$45="No",'User Inputs'!$C73="No"), "Not Included", 'EO Climate Change GHG'!J19)</f>
        <v>3.6261904761904762</v>
      </c>
      <c r="D49" s="108">
        <f>IF(OR('User Inputs'!$C$46="No",'User Inputs'!$C73="No"), "Not Included", 'EO Climate Resilience'!G19)</f>
        <v>3.9747007108118222</v>
      </c>
      <c r="E49" s="108">
        <f>IF(OR('User Inputs'!$C$47="No",'User Inputs'!$C73="No"), "Not Included", 'EO Cost Effectiveness'!F64)</f>
        <v>2.9226190476190474</v>
      </c>
      <c r="F49" s="425">
        <f>IF(OR('User Inputs'!$C$48="No",'User Inputs'!$C73="No"), "Not Included", 'EO Env Justice'!E49)</f>
        <v>3.791666666666667</v>
      </c>
      <c r="G49" s="108">
        <f>IF(OR('User Inputs'!$C$49="No",'User Inputs'!$C73="No"), "Not Included", 'EO Optimize Local Supplies'!J19)</f>
        <v>3.854166666666667</v>
      </c>
      <c r="H49" s="108">
        <f>IF(OR('User Inputs'!$C$50="No",'User Inputs'!$C73="No"), "Not Included", 'EO Project Complexity'!J19)</f>
        <v>2.8333333333333335</v>
      </c>
      <c r="I49" s="108">
        <f>IF(OR('User Inputs'!$C$51="No",'User Inputs'!$C73="No"), "Not Included", 'EO Protect Habitats'!F19)</f>
        <v>3.3529411764705883</v>
      </c>
      <c r="J49" s="108">
        <f>IF(OR('User Inputs'!$C$52="No",'User Inputs'!$C73="No"), "Not Included", 'EO Scalability'!J19)</f>
        <v>3.5</v>
      </c>
      <c r="K49" s="325">
        <f>IF(OR('User Inputs'!$C$54="No",'User Inputs'!$C73="No"), "Not Included", 'EO Quality of Life'!E109)</f>
        <v>4.0530855402574613</v>
      </c>
      <c r="L49" s="425">
        <f>IF(OR('User Inputs'!$C$55="No",'User Inputs'!$C73="No"), "Not Included",'EO Regional Econ Impact'!C35)</f>
        <v>3.6142857142857139</v>
      </c>
      <c r="M49" s="325">
        <f>IF(OR('User Inputs'!$C$56="No",'User Inputs'!$C74="No"), "Not Included",'EO Regional Integration'!E79)</f>
        <v>3.104223901098901</v>
      </c>
      <c r="N49" s="325">
        <f>IF(OR('User Inputs'!$C$53="No",'User Inputs'!$C73="No"), "Not Included", 'EO Reliability and Robustness'!F126)</f>
        <v>3.4865854868613311</v>
      </c>
      <c r="O49" s="109">
        <f>IF(OR('User Inputs'!$C$57="No",'User Inputs'!$C73="No"), "Not Included", 'EO Water Quality and Watersheds'!F95)</f>
        <v>3.7329365079365076</v>
      </c>
      <c r="P49" s="102">
        <f t="shared" si="6"/>
        <v>1.2197522069241278</v>
      </c>
      <c r="Q49" s="102"/>
      <c r="AI49" s="18"/>
      <c r="AJ49" s="18"/>
    </row>
    <row r="50" spans="1:36" x14ac:dyDescent="0.25">
      <c r="C50" s="18"/>
      <c r="D50" s="18"/>
      <c r="E50" s="18"/>
      <c r="F50" s="18"/>
      <c r="AI50" s="18"/>
      <c r="AJ50" s="18"/>
    </row>
    <row r="51" spans="1:36" ht="19.5" hidden="1" thickBot="1" x14ac:dyDescent="0.35">
      <c r="A51" s="94" t="s">
        <v>917</v>
      </c>
      <c r="C51" s="18"/>
      <c r="D51" s="18"/>
      <c r="E51" s="18"/>
      <c r="F51" s="18"/>
      <c r="K51" s="324"/>
      <c r="L51" s="324"/>
      <c r="M51" s="324"/>
      <c r="N51" s="324"/>
      <c r="AI51" s="18"/>
      <c r="AJ51" s="18"/>
    </row>
    <row r="52" spans="1:36" ht="75" hidden="1" x14ac:dyDescent="0.25">
      <c r="B52" s="24"/>
      <c r="C52" s="22" t="s">
        <v>827</v>
      </c>
      <c r="D52" s="22" t="s">
        <v>815</v>
      </c>
      <c r="E52" s="22" t="s">
        <v>816</v>
      </c>
      <c r="F52" s="421" t="s">
        <v>817</v>
      </c>
      <c r="G52" s="22" t="s">
        <v>818</v>
      </c>
      <c r="H52" s="22" t="s">
        <v>819</v>
      </c>
      <c r="I52" s="22" t="s">
        <v>820</v>
      </c>
      <c r="J52" s="22" t="s">
        <v>821</v>
      </c>
      <c r="K52" s="22" t="s">
        <v>822</v>
      </c>
      <c r="L52" s="22" t="s">
        <v>823</v>
      </c>
      <c r="M52" s="22" t="s">
        <v>824</v>
      </c>
      <c r="N52" s="22" t="s">
        <v>825</v>
      </c>
      <c r="O52" s="23" t="s">
        <v>826</v>
      </c>
      <c r="P52" s="470"/>
      <c r="Q52" s="470"/>
      <c r="AI52" s="18"/>
      <c r="AJ52" s="18"/>
    </row>
    <row r="53" spans="1:36" hidden="1" x14ac:dyDescent="0.25">
      <c r="B53" s="65" t="s">
        <v>842</v>
      </c>
      <c r="C53" s="102">
        <f>MIN(C38:C49)</f>
        <v>2.3529411764705883</v>
      </c>
      <c r="D53" s="102">
        <f t="shared" ref="D53:O53" si="7">MIN(D38:D49)</f>
        <v>2.5696969696969694</v>
      </c>
      <c r="E53" s="102">
        <f t="shared" si="7"/>
        <v>1.6296296296296298</v>
      </c>
      <c r="F53" s="422">
        <f t="shared" si="7"/>
        <v>3</v>
      </c>
      <c r="G53" s="102">
        <f t="shared" si="7"/>
        <v>2.8125</v>
      </c>
      <c r="H53" s="102">
        <f t="shared" si="7"/>
        <v>1.4666666666666666</v>
      </c>
      <c r="I53" s="102">
        <f t="shared" si="7"/>
        <v>3</v>
      </c>
      <c r="J53" s="102">
        <f t="shared" si="7"/>
        <v>2.5333333333333332</v>
      </c>
      <c r="K53" s="321">
        <f t="shared" si="7"/>
        <v>3.015353408250097</v>
      </c>
      <c r="L53" s="321">
        <f t="shared" si="7"/>
        <v>2.6</v>
      </c>
      <c r="M53" s="321">
        <f t="shared" si="7"/>
        <v>2.5357843137254901</v>
      </c>
      <c r="N53" s="321">
        <f t="shared" si="7"/>
        <v>3.2012985096013877</v>
      </c>
      <c r="O53" s="103">
        <f t="shared" si="7"/>
        <v>2.8333333333333335</v>
      </c>
      <c r="P53" s="102"/>
      <c r="Q53" s="102"/>
      <c r="AI53" s="18"/>
      <c r="AJ53" s="18"/>
    </row>
    <row r="54" spans="1:36" hidden="1" x14ac:dyDescent="0.25">
      <c r="B54" s="65" t="s">
        <v>843</v>
      </c>
      <c r="C54" s="102">
        <f>MAX(C38:C49)</f>
        <v>3.75</v>
      </c>
      <c r="D54" s="102">
        <f t="shared" ref="D54:O54" si="8">MAX(D38:D49)</f>
        <v>5</v>
      </c>
      <c r="E54" s="102">
        <f t="shared" si="8"/>
        <v>4.104166666666667</v>
      </c>
      <c r="F54" s="422">
        <f t="shared" si="8"/>
        <v>3.791666666666667</v>
      </c>
      <c r="G54" s="102">
        <f t="shared" si="8"/>
        <v>5</v>
      </c>
      <c r="H54" s="102">
        <f t="shared" si="8"/>
        <v>4.1333333333333329</v>
      </c>
      <c r="I54" s="102">
        <f t="shared" si="8"/>
        <v>3.3529411764705883</v>
      </c>
      <c r="J54" s="102">
        <f t="shared" si="8"/>
        <v>4.0714285714285712</v>
      </c>
      <c r="K54" s="321">
        <f t="shared" si="8"/>
        <v>4.0530855402574613</v>
      </c>
      <c r="L54" s="321">
        <f t="shared" si="8"/>
        <v>4.8</v>
      </c>
      <c r="M54" s="456">
        <f t="shared" si="8"/>
        <v>4.1991071428571427</v>
      </c>
      <c r="N54" s="321">
        <f t="shared" si="8"/>
        <v>4.1902521872328489</v>
      </c>
      <c r="O54" s="103">
        <f t="shared" si="8"/>
        <v>3.9805555555555556</v>
      </c>
      <c r="P54" s="102"/>
      <c r="Q54" s="102"/>
      <c r="AI54" s="18"/>
      <c r="AJ54" s="18"/>
    </row>
    <row r="55" spans="1:36" hidden="1" x14ac:dyDescent="0.25">
      <c r="B55" s="65" t="s">
        <v>845</v>
      </c>
      <c r="C55" s="102">
        <f>C54-C53</f>
        <v>1.3970588235294117</v>
      </c>
      <c r="D55" s="102">
        <f t="shared" ref="D55:O55" si="9">D54-D53</f>
        <v>2.4303030303030306</v>
      </c>
      <c r="E55" s="102">
        <f t="shared" si="9"/>
        <v>2.4745370370370372</v>
      </c>
      <c r="F55" s="422">
        <f t="shared" si="9"/>
        <v>0.79166666666666696</v>
      </c>
      <c r="G55" s="102">
        <f t="shared" si="9"/>
        <v>2.1875</v>
      </c>
      <c r="H55" s="102">
        <f t="shared" si="9"/>
        <v>2.6666666666666661</v>
      </c>
      <c r="I55" s="102">
        <f t="shared" si="9"/>
        <v>0.35294117647058831</v>
      </c>
      <c r="J55" s="102">
        <f t="shared" si="9"/>
        <v>1.538095238095238</v>
      </c>
      <c r="K55" s="321">
        <f t="shared" si="9"/>
        <v>1.0377321320073642</v>
      </c>
      <c r="L55" s="321">
        <f t="shared" si="9"/>
        <v>2.1999999999999997</v>
      </c>
      <c r="M55" s="321">
        <f t="shared" si="9"/>
        <v>1.6633228291316526</v>
      </c>
      <c r="N55" s="321">
        <f t="shared" si="9"/>
        <v>0.98895367763146114</v>
      </c>
      <c r="O55" s="103">
        <f t="shared" si="9"/>
        <v>1.1472222222222221</v>
      </c>
      <c r="P55" s="102"/>
      <c r="Q55" s="102"/>
      <c r="AI55" s="18"/>
      <c r="AJ55" s="18"/>
    </row>
    <row r="56" spans="1:36" hidden="1" x14ac:dyDescent="0.25">
      <c r="B56" s="65" t="s">
        <v>854</v>
      </c>
      <c r="C56" s="102">
        <f>AVERAGE(C38:C49)</f>
        <v>3.1637668703845176</v>
      </c>
      <c r="D56" s="102">
        <f t="shared" ref="D56:O56" si="10">AVERAGE(D38:D49)</f>
        <v>3.881074801848893</v>
      </c>
      <c r="E56" s="102">
        <f t="shared" si="10"/>
        <v>2.7003986496246561</v>
      </c>
      <c r="F56" s="422">
        <f t="shared" si="10"/>
        <v>3.2280691964285713</v>
      </c>
      <c r="G56" s="102">
        <f t="shared" si="10"/>
        <v>4.270637654828831</v>
      </c>
      <c r="H56" s="102">
        <f t="shared" si="10"/>
        <v>2.7416350125908946</v>
      </c>
      <c r="I56" s="102">
        <f t="shared" si="10"/>
        <v>3.0625626920223037</v>
      </c>
      <c r="J56" s="102">
        <f t="shared" si="10"/>
        <v>3.3689574314574311</v>
      </c>
      <c r="K56" s="321">
        <f t="shared" si="10"/>
        <v>3.4590725986958692</v>
      </c>
      <c r="L56" s="321">
        <f t="shared" si="10"/>
        <v>3.7909571909571915</v>
      </c>
      <c r="M56" s="321">
        <f t="shared" si="10"/>
        <v>3.3861099759803319</v>
      </c>
      <c r="N56" s="321">
        <f t="shared" si="10"/>
        <v>3.5973770419742537</v>
      </c>
      <c r="O56" s="103">
        <f t="shared" si="10"/>
        <v>3.4505558831719823</v>
      </c>
      <c r="P56" s="102"/>
      <c r="Q56" s="102"/>
      <c r="AI56" s="18"/>
      <c r="AJ56" s="18"/>
    </row>
    <row r="57" spans="1:36" hidden="1" x14ac:dyDescent="0.25">
      <c r="B57" s="65"/>
      <c r="C57" s="102"/>
      <c r="D57" s="102"/>
      <c r="E57" s="102"/>
      <c r="F57" s="422"/>
      <c r="G57" s="102"/>
      <c r="H57" s="102"/>
      <c r="I57" s="102"/>
      <c r="J57" s="102"/>
      <c r="K57" s="321"/>
      <c r="L57" s="321"/>
      <c r="M57" s="321"/>
      <c r="N57" s="321"/>
      <c r="O57" s="103"/>
      <c r="P57" s="102"/>
      <c r="Q57" s="102"/>
      <c r="AI57" s="18"/>
      <c r="AJ57" s="18"/>
    </row>
    <row r="58" spans="1:36" hidden="1" x14ac:dyDescent="0.25">
      <c r="B58" s="65"/>
      <c r="C58" s="102"/>
      <c r="D58" s="102"/>
      <c r="E58" s="102"/>
      <c r="F58" s="422"/>
      <c r="G58" s="102"/>
      <c r="H58" s="102"/>
      <c r="I58" s="102"/>
      <c r="J58" s="102"/>
      <c r="K58" s="321"/>
      <c r="L58" s="321"/>
      <c r="M58" s="321"/>
      <c r="N58" s="321"/>
      <c r="O58" s="103"/>
      <c r="P58" s="102"/>
      <c r="Q58" s="102"/>
      <c r="AI58" s="18"/>
      <c r="AJ58" s="18"/>
    </row>
    <row r="59" spans="1:36" hidden="1" x14ac:dyDescent="0.25">
      <c r="B59" s="65"/>
      <c r="C59" s="102"/>
      <c r="D59" s="102"/>
      <c r="E59" s="102"/>
      <c r="F59" s="422"/>
      <c r="G59" s="102"/>
      <c r="H59" s="102"/>
      <c r="I59" s="102"/>
      <c r="J59" s="102"/>
      <c r="K59" s="321"/>
      <c r="L59" s="321"/>
      <c r="M59" s="321"/>
      <c r="N59" s="321"/>
      <c r="O59" s="103"/>
      <c r="P59" s="102"/>
      <c r="Q59" s="102"/>
      <c r="AI59" s="18"/>
      <c r="AJ59" s="18"/>
    </row>
    <row r="60" spans="1:36" hidden="1" x14ac:dyDescent="0.25">
      <c r="B60" s="65"/>
      <c r="C60" s="102"/>
      <c r="D60" s="102"/>
      <c r="E60" s="102"/>
      <c r="F60" s="422"/>
      <c r="G60" s="102"/>
      <c r="H60" s="102"/>
      <c r="I60" s="102"/>
      <c r="J60" s="102"/>
      <c r="K60" s="321"/>
      <c r="L60" s="321"/>
      <c r="M60" s="321"/>
      <c r="N60" s="321"/>
      <c r="O60" s="103"/>
      <c r="P60" s="102"/>
      <c r="Q60" s="102"/>
      <c r="AI60" s="18"/>
      <c r="AJ60" s="18"/>
    </row>
    <row r="61" spans="1:36" hidden="1" x14ac:dyDescent="0.25">
      <c r="B61" s="65"/>
      <c r="C61" s="102"/>
      <c r="D61" s="102"/>
      <c r="E61" s="102"/>
      <c r="F61" s="422"/>
      <c r="G61" s="102"/>
      <c r="H61" s="102"/>
      <c r="I61" s="102"/>
      <c r="J61" s="102"/>
      <c r="K61" s="321"/>
      <c r="L61" s="321"/>
      <c r="M61" s="321"/>
      <c r="N61" s="321"/>
      <c r="O61" s="103"/>
      <c r="P61" s="102"/>
      <c r="Q61" s="102"/>
      <c r="AI61" s="18"/>
      <c r="AJ61" s="18"/>
    </row>
    <row r="62" spans="1:36" hidden="1" x14ac:dyDescent="0.25">
      <c r="B62" s="65"/>
      <c r="C62" s="102"/>
      <c r="D62" s="102"/>
      <c r="E62" s="102"/>
      <c r="F62" s="422"/>
      <c r="G62" s="102"/>
      <c r="H62" s="102"/>
      <c r="I62" s="102"/>
      <c r="J62" s="102"/>
      <c r="K62" s="321"/>
      <c r="L62" s="321"/>
      <c r="M62" s="321"/>
      <c r="N62" s="321"/>
      <c r="O62" s="103"/>
      <c r="P62" s="102"/>
      <c r="Q62" s="102"/>
      <c r="AI62" s="18"/>
      <c r="AJ62" s="18"/>
    </row>
    <row r="63" spans="1:36" hidden="1" x14ac:dyDescent="0.25">
      <c r="B63" s="65"/>
      <c r="C63" s="102"/>
      <c r="D63" s="102"/>
      <c r="E63" s="102"/>
      <c r="F63" s="422"/>
      <c r="G63" s="102"/>
      <c r="H63" s="102"/>
      <c r="I63" s="102"/>
      <c r="J63" s="102"/>
      <c r="K63" s="321"/>
      <c r="L63" s="321"/>
      <c r="M63" s="321"/>
      <c r="N63" s="321"/>
      <c r="O63" s="103"/>
      <c r="P63" s="102"/>
      <c r="Q63" s="102"/>
      <c r="AI63" s="18"/>
      <c r="AJ63" s="18"/>
    </row>
    <row r="64" spans="1:36" ht="15.75" hidden="1" thickBot="1" x14ac:dyDescent="0.3">
      <c r="B64" s="107"/>
      <c r="C64" s="108"/>
      <c r="D64" s="108"/>
      <c r="E64" s="108"/>
      <c r="F64" s="425"/>
      <c r="G64" s="108"/>
      <c r="H64" s="108"/>
      <c r="I64" s="108"/>
      <c r="J64" s="108"/>
      <c r="K64" s="325"/>
      <c r="L64" s="325"/>
      <c r="M64" s="325"/>
      <c r="N64" s="325"/>
      <c r="O64" s="109"/>
      <c r="P64" s="102"/>
      <c r="Q64" s="102"/>
      <c r="AI64" s="18"/>
      <c r="AJ64" s="18"/>
    </row>
    <row r="65" spans="1:36" hidden="1" x14ac:dyDescent="0.25">
      <c r="C65" s="18"/>
      <c r="D65" s="18"/>
      <c r="E65" s="18"/>
      <c r="F65" s="18"/>
      <c r="AI65" s="18"/>
      <c r="AJ65" s="18"/>
    </row>
    <row r="66" spans="1:36" ht="19.5" hidden="1" thickBot="1" x14ac:dyDescent="0.35">
      <c r="A66" s="94" t="s">
        <v>918</v>
      </c>
      <c r="C66" s="18"/>
      <c r="D66" s="18"/>
      <c r="E66" s="18"/>
      <c r="F66" s="18"/>
      <c r="K66" s="324"/>
      <c r="L66" s="324"/>
      <c r="M66" s="324"/>
      <c r="N66" s="324"/>
      <c r="AI66" s="18"/>
      <c r="AJ66" s="18"/>
    </row>
    <row r="67" spans="1:36" ht="75" hidden="1" x14ac:dyDescent="0.25">
      <c r="B67" s="24"/>
      <c r="C67" s="22" t="s">
        <v>829</v>
      </c>
      <c r="D67" s="22" t="s">
        <v>830</v>
      </c>
      <c r="E67" s="22" t="s">
        <v>833</v>
      </c>
      <c r="F67" s="421" t="s">
        <v>832</v>
      </c>
      <c r="G67" s="22" t="s">
        <v>831</v>
      </c>
      <c r="H67" s="22" t="s">
        <v>834</v>
      </c>
      <c r="I67" s="22" t="s">
        <v>835</v>
      </c>
      <c r="J67" s="22" t="s">
        <v>836</v>
      </c>
      <c r="K67" s="22" t="s">
        <v>837</v>
      </c>
      <c r="L67" s="22" t="s">
        <v>838</v>
      </c>
      <c r="M67" s="22" t="s">
        <v>839</v>
      </c>
      <c r="N67" s="22" t="s">
        <v>840</v>
      </c>
      <c r="O67" s="23" t="s">
        <v>841</v>
      </c>
      <c r="P67" s="470"/>
      <c r="Q67" s="470"/>
      <c r="AI67" s="18"/>
      <c r="AJ67" s="18"/>
    </row>
    <row r="68" spans="1:36" ht="45" hidden="1" x14ac:dyDescent="0.25">
      <c r="B68" s="454">
        <v>1</v>
      </c>
      <c r="C68" s="450" t="str">
        <f>INDEX($B$83:$B$94, MATCH($B68,C$83:C$94,0))</f>
        <v>Urban &amp; Ag. Water Use Efficiency</v>
      </c>
      <c r="D68" s="450" t="str">
        <f t="shared" ref="D68:O68" si="11">INDEX($B$83:$B$94, MATCH($B68,D$83:D$94,0))</f>
        <v>Gray Water Use</v>
      </c>
      <c r="E68" s="450" t="str">
        <f t="shared" si="11"/>
        <v>Urban &amp; Ag. Water Use Efficiency</v>
      </c>
      <c r="F68" s="450" t="str">
        <f t="shared" si="11"/>
        <v>Watershed and Ecosystem Management</v>
      </c>
      <c r="G68" s="450" t="str">
        <f t="shared" si="11"/>
        <v>Seawater Desalination</v>
      </c>
      <c r="H68" s="450" t="str">
        <f t="shared" si="11"/>
        <v>Urban &amp; Ag. Water Use Efficiency</v>
      </c>
      <c r="I68" s="450" t="str">
        <f t="shared" si="11"/>
        <v>Watershed and Ecosystem Management</v>
      </c>
      <c r="J68" s="450" t="str">
        <f t="shared" si="11"/>
        <v>Urban &amp; Ag. Water Use Efficiency</v>
      </c>
      <c r="K68" s="450" t="str">
        <f t="shared" si="11"/>
        <v>Watershed and Ecosystem Management</v>
      </c>
      <c r="L68" s="450" t="str">
        <f t="shared" si="11"/>
        <v>Potable Reuse</v>
      </c>
      <c r="M68" s="450" t="str">
        <f t="shared" si="11"/>
        <v>Potable Reuse</v>
      </c>
      <c r="N68" s="450" t="str">
        <f t="shared" si="11"/>
        <v>Potable Reuse</v>
      </c>
      <c r="O68" s="451" t="str">
        <f t="shared" si="11"/>
        <v>Potable Reuse</v>
      </c>
      <c r="P68" s="558"/>
      <c r="Q68" s="558"/>
      <c r="AI68" s="18"/>
      <c r="AJ68" s="18"/>
    </row>
    <row r="69" spans="1:36" ht="45" hidden="1" x14ac:dyDescent="0.25">
      <c r="B69" s="454">
        <v>2</v>
      </c>
      <c r="C69" s="450" t="str">
        <f t="shared" ref="C69:O79" si="12">INDEX($B$83:$B$94, MATCH($B69,C$83:C$94,0))</f>
        <v>Watershed and Ecosystem Management</v>
      </c>
      <c r="D69" s="450" t="e">
        <f t="shared" si="12"/>
        <v>#N/A</v>
      </c>
      <c r="E69" s="450" t="str">
        <f t="shared" si="12"/>
        <v>Gray Water Use</v>
      </c>
      <c r="F69" s="450" t="str">
        <f t="shared" si="12"/>
        <v>Urban &amp; Ag. Water Use Efficiency</v>
      </c>
      <c r="G69" s="450" t="str">
        <f t="shared" si="12"/>
        <v>Groundwater</v>
      </c>
      <c r="H69" s="450" t="str">
        <f t="shared" si="12"/>
        <v>Imported Water Purchases</v>
      </c>
      <c r="I69" s="450" t="str">
        <f t="shared" si="12"/>
        <v>Stormwater BMPs</v>
      </c>
      <c r="J69" s="450" t="str">
        <f t="shared" si="12"/>
        <v>Recycled Water</v>
      </c>
      <c r="K69" s="450" t="str">
        <f t="shared" si="12"/>
        <v>Stormwater BMPs</v>
      </c>
      <c r="L69" s="450" t="str">
        <f t="shared" si="12"/>
        <v>Recycled Water</v>
      </c>
      <c r="M69" s="450" t="str">
        <f t="shared" si="12"/>
        <v>Seawater Desalination</v>
      </c>
      <c r="N69" s="450" t="str">
        <f t="shared" si="12"/>
        <v>Seawater Desalination</v>
      </c>
      <c r="O69" s="451" t="str">
        <f t="shared" si="12"/>
        <v>Stormwater BMPs</v>
      </c>
      <c r="P69" s="558"/>
      <c r="Q69" s="558"/>
      <c r="AI69" s="18"/>
      <c r="AJ69" s="18"/>
    </row>
    <row r="70" spans="1:36" ht="45" hidden="1" x14ac:dyDescent="0.25">
      <c r="B70" s="454">
        <v>3</v>
      </c>
      <c r="C70" s="450" t="str">
        <f t="shared" si="12"/>
        <v>Recycled Water</v>
      </c>
      <c r="D70" s="450" t="e">
        <f t="shared" si="12"/>
        <v>#N/A</v>
      </c>
      <c r="E70" s="450" t="str">
        <f t="shared" si="12"/>
        <v>Imported Water Purchases</v>
      </c>
      <c r="F70" s="450" t="str">
        <f t="shared" si="12"/>
        <v>Stormwater BMPs</v>
      </c>
      <c r="G70" s="450" t="str">
        <f t="shared" si="12"/>
        <v>Recycled Water</v>
      </c>
      <c r="H70" s="450" t="str">
        <f t="shared" si="12"/>
        <v>Recycled Water</v>
      </c>
      <c r="I70" s="450" t="str">
        <f t="shared" si="12"/>
        <v>Urban &amp; Ag. Water Use Efficiency</v>
      </c>
      <c r="J70" s="450" t="str">
        <f t="shared" si="12"/>
        <v>Potable Reuse</v>
      </c>
      <c r="K70" s="450" t="str">
        <f t="shared" si="12"/>
        <v>Urban &amp; Ag. Water Use Efficiency</v>
      </c>
      <c r="L70" s="450" t="str">
        <f t="shared" si="12"/>
        <v>Groundwater</v>
      </c>
      <c r="M70" s="450" t="str">
        <f t="shared" si="12"/>
        <v>Urban &amp; Ag. Water Use Efficiency</v>
      </c>
      <c r="N70" s="450" t="str">
        <f t="shared" si="12"/>
        <v>Recycled Water</v>
      </c>
      <c r="O70" s="451" t="str">
        <f t="shared" si="12"/>
        <v>Watershed and Ecosystem Management</v>
      </c>
      <c r="P70" s="558"/>
      <c r="Q70" s="558"/>
      <c r="AI70" s="18"/>
      <c r="AJ70" s="18"/>
    </row>
    <row r="71" spans="1:36" ht="45" hidden="1" x14ac:dyDescent="0.25">
      <c r="B71" s="454">
        <v>4</v>
      </c>
      <c r="C71" s="450" t="str">
        <f t="shared" si="12"/>
        <v>Stormwater BMPs</v>
      </c>
      <c r="D71" s="450" t="str">
        <f t="shared" si="12"/>
        <v>Stormwater BMPs</v>
      </c>
      <c r="E71" s="450" t="str">
        <f t="shared" si="12"/>
        <v>Watershed and Ecosystem Management</v>
      </c>
      <c r="F71" s="450" t="str">
        <f t="shared" si="12"/>
        <v>Potable Reuse</v>
      </c>
      <c r="G71" s="450" t="str">
        <f t="shared" si="12"/>
        <v>Potable Reuse</v>
      </c>
      <c r="H71" s="450" t="str">
        <f t="shared" si="12"/>
        <v>Stormwater BMPs</v>
      </c>
      <c r="I71" s="450" t="str">
        <f t="shared" si="12"/>
        <v>Groundwater</v>
      </c>
      <c r="J71" s="450" t="str">
        <f t="shared" si="12"/>
        <v>Gray Water Use</v>
      </c>
      <c r="K71" s="450" t="str">
        <f t="shared" si="12"/>
        <v>Recycled Water</v>
      </c>
      <c r="L71" s="450" t="str">
        <f t="shared" si="12"/>
        <v>Urban &amp; Ag. Water Use Efficiency</v>
      </c>
      <c r="M71" s="450" t="str">
        <f t="shared" si="12"/>
        <v>Recycled Water</v>
      </c>
      <c r="N71" s="450" t="str">
        <f t="shared" si="12"/>
        <v>Groundwater</v>
      </c>
      <c r="O71" s="451" t="str">
        <f t="shared" si="12"/>
        <v>Urban &amp; Ag. Water Use Efficiency</v>
      </c>
      <c r="P71" s="558"/>
      <c r="Q71" s="558"/>
      <c r="AI71" s="18"/>
      <c r="AJ71" s="18"/>
    </row>
    <row r="72" spans="1:36" ht="45" hidden="1" x14ac:dyDescent="0.25">
      <c r="B72" s="454">
        <v>5</v>
      </c>
      <c r="C72" s="450" t="str">
        <f t="shared" si="12"/>
        <v>Gray Water Use</v>
      </c>
      <c r="D72" s="450" t="str">
        <f t="shared" si="12"/>
        <v>Watershed and Ecosystem Management</v>
      </c>
      <c r="E72" s="450" t="str">
        <f t="shared" si="12"/>
        <v>Stormwater BMPs</v>
      </c>
      <c r="F72" s="450" t="str">
        <f t="shared" si="12"/>
        <v>Groundwater</v>
      </c>
      <c r="G72" s="450" t="str">
        <f t="shared" si="12"/>
        <v>Stormwater Capture</v>
      </c>
      <c r="H72" s="450" t="str">
        <f t="shared" si="12"/>
        <v>Gray Water Use</v>
      </c>
      <c r="I72" s="450" t="str">
        <f t="shared" si="12"/>
        <v>Conveyance Improvement</v>
      </c>
      <c r="J72" s="450" t="str">
        <f t="shared" si="12"/>
        <v>Watershed and Ecosystem Management</v>
      </c>
      <c r="K72" s="450" t="str">
        <f t="shared" si="12"/>
        <v>Conveyance Improvement</v>
      </c>
      <c r="L72" s="450" t="str">
        <f t="shared" si="12"/>
        <v>Conveyance Improvement</v>
      </c>
      <c r="M72" s="450" t="str">
        <f t="shared" si="12"/>
        <v>Stormwater Capture</v>
      </c>
      <c r="N72" s="450" t="str">
        <f t="shared" si="12"/>
        <v>Conveyance Improvement</v>
      </c>
      <c r="O72" s="451" t="str">
        <f t="shared" si="12"/>
        <v>Stormwater Capture</v>
      </c>
      <c r="P72" s="558"/>
      <c r="Q72" s="558"/>
      <c r="AI72" s="18"/>
      <c r="AJ72" s="18"/>
    </row>
    <row r="73" spans="1:36" ht="30" hidden="1" x14ac:dyDescent="0.25">
      <c r="B73" s="454">
        <v>6</v>
      </c>
      <c r="C73" s="450" t="str">
        <f t="shared" si="12"/>
        <v>Conveyance Improvement</v>
      </c>
      <c r="D73" s="450" t="str">
        <f t="shared" si="12"/>
        <v>Urban &amp; Ag. Water Use Efficiency</v>
      </c>
      <c r="E73" s="450" t="str">
        <f t="shared" si="12"/>
        <v>Stormwater Capture</v>
      </c>
      <c r="F73" s="450" t="str">
        <f t="shared" si="12"/>
        <v>Recycled Water</v>
      </c>
      <c r="G73" s="450" t="str">
        <f t="shared" si="12"/>
        <v>Urban &amp; Ag. Water Use Efficiency</v>
      </c>
      <c r="H73" s="450" t="str">
        <f t="shared" si="12"/>
        <v>Conveyance Improvement</v>
      </c>
      <c r="I73" s="450" t="e">
        <f t="shared" si="12"/>
        <v>#N/A</v>
      </c>
      <c r="J73" s="450" t="str">
        <f t="shared" si="12"/>
        <v>Stormwater Capture</v>
      </c>
      <c r="K73" s="450" t="str">
        <f t="shared" si="12"/>
        <v>Potable Reuse</v>
      </c>
      <c r="L73" s="450" t="str">
        <f t="shared" si="12"/>
        <v>Stormwater Capture</v>
      </c>
      <c r="M73" s="450" t="str">
        <f t="shared" si="12"/>
        <v>Groundwater</v>
      </c>
      <c r="N73" s="450" t="str">
        <f t="shared" si="12"/>
        <v>Stormwater Capture</v>
      </c>
      <c r="O73" s="451" t="str">
        <f t="shared" si="12"/>
        <v>Groundwater</v>
      </c>
      <c r="P73" s="558"/>
      <c r="Q73" s="558"/>
      <c r="AI73" s="18"/>
      <c r="AJ73" s="18"/>
    </row>
    <row r="74" spans="1:36" ht="45" hidden="1" x14ac:dyDescent="0.25">
      <c r="B74" s="454">
        <v>7</v>
      </c>
      <c r="C74" s="450" t="e">
        <f t="shared" si="12"/>
        <v>#N/A</v>
      </c>
      <c r="D74" s="450" t="str">
        <f t="shared" si="12"/>
        <v>Groundwater</v>
      </c>
      <c r="E74" s="450" t="str">
        <f t="shared" si="12"/>
        <v>Recycled Water</v>
      </c>
      <c r="F74" s="450" t="str">
        <f t="shared" si="12"/>
        <v>Conveyance Improvement</v>
      </c>
      <c r="G74" s="450" t="str">
        <f t="shared" si="12"/>
        <v>Gray Water Use</v>
      </c>
      <c r="H74" s="450" t="str">
        <f t="shared" si="12"/>
        <v>Watershed and Ecosystem Management</v>
      </c>
      <c r="I74" s="450" t="e">
        <f t="shared" si="12"/>
        <v>#N/A</v>
      </c>
      <c r="J74" s="450" t="str">
        <f t="shared" si="12"/>
        <v>Conveyance Improvement</v>
      </c>
      <c r="K74" s="450" t="str">
        <f t="shared" si="12"/>
        <v>Stormwater Capture</v>
      </c>
      <c r="L74" s="450" t="str">
        <f t="shared" si="12"/>
        <v>Seawater Desalination</v>
      </c>
      <c r="M74" s="450" t="str">
        <f t="shared" si="12"/>
        <v>Gray Water Use</v>
      </c>
      <c r="N74" s="450" t="str">
        <f t="shared" si="12"/>
        <v>Watershed and Ecosystem Management</v>
      </c>
      <c r="O74" s="451" t="str">
        <f t="shared" si="12"/>
        <v>Recycled Water</v>
      </c>
      <c r="P74" s="558"/>
      <c r="Q74" s="558"/>
      <c r="AI74" s="18"/>
      <c r="AJ74" s="18"/>
    </row>
    <row r="75" spans="1:36" ht="45" hidden="1" x14ac:dyDescent="0.25">
      <c r="B75" s="454">
        <v>8</v>
      </c>
      <c r="C75" s="450" t="str">
        <f t="shared" si="12"/>
        <v>Stormwater Capture</v>
      </c>
      <c r="D75" s="450" t="str">
        <f t="shared" si="12"/>
        <v>Recycled Water</v>
      </c>
      <c r="E75" s="450" t="str">
        <f t="shared" si="12"/>
        <v>Conveyance Improvement</v>
      </c>
      <c r="F75" s="450" t="e">
        <f t="shared" si="12"/>
        <v>#N/A</v>
      </c>
      <c r="G75" s="450" t="str">
        <f t="shared" si="12"/>
        <v>Watershed and Ecosystem Management</v>
      </c>
      <c r="H75" s="450" t="str">
        <f t="shared" si="12"/>
        <v>Stormwater Capture</v>
      </c>
      <c r="I75" s="450" t="e">
        <f t="shared" si="12"/>
        <v>#N/A</v>
      </c>
      <c r="J75" s="450" t="str">
        <f t="shared" si="12"/>
        <v>Stormwater BMPs</v>
      </c>
      <c r="K75" s="450" t="str">
        <f t="shared" si="12"/>
        <v>Gray Water Use</v>
      </c>
      <c r="L75" s="450" t="str">
        <f t="shared" si="12"/>
        <v>Watershed and Ecosystem Management</v>
      </c>
      <c r="M75" s="450" t="str">
        <f t="shared" si="12"/>
        <v>Watershed and Ecosystem Management</v>
      </c>
      <c r="N75" s="450" t="str">
        <f t="shared" si="12"/>
        <v>Stormwater BMPs</v>
      </c>
      <c r="O75" s="451" t="str">
        <f t="shared" si="12"/>
        <v>Conveyance Improvement</v>
      </c>
      <c r="P75" s="558"/>
      <c r="Q75" s="558"/>
      <c r="AI75" s="18"/>
      <c r="AJ75" s="18"/>
    </row>
    <row r="76" spans="1:36" ht="30" hidden="1" x14ac:dyDescent="0.25">
      <c r="B76" s="454">
        <v>9</v>
      </c>
      <c r="C76" s="450" t="str">
        <f t="shared" si="12"/>
        <v>Groundwater</v>
      </c>
      <c r="D76" s="450" t="str">
        <f t="shared" si="12"/>
        <v>Potable Reuse</v>
      </c>
      <c r="E76" s="450" t="str">
        <f t="shared" si="12"/>
        <v>Groundwater</v>
      </c>
      <c r="F76" s="450" t="e">
        <f t="shared" si="12"/>
        <v>#N/A</v>
      </c>
      <c r="G76" s="450" t="str">
        <f t="shared" si="12"/>
        <v>Conveyance Improvement</v>
      </c>
      <c r="H76" s="450" t="str">
        <f t="shared" si="12"/>
        <v>Groundwater</v>
      </c>
      <c r="I76" s="450" t="e">
        <f t="shared" si="12"/>
        <v>#N/A</v>
      </c>
      <c r="J76" s="450" t="str">
        <f t="shared" si="12"/>
        <v>Groundwater</v>
      </c>
      <c r="K76" s="450" t="str">
        <f t="shared" si="12"/>
        <v>Groundwater</v>
      </c>
      <c r="L76" s="450" t="str">
        <f t="shared" si="12"/>
        <v>Gray Water Use</v>
      </c>
      <c r="M76" s="450" t="str">
        <f t="shared" si="12"/>
        <v>Stormwater BMPs</v>
      </c>
      <c r="N76" s="450" t="str">
        <f t="shared" si="12"/>
        <v>Gray Water Use</v>
      </c>
      <c r="O76" s="451" t="str">
        <f t="shared" si="12"/>
        <v>Gray Water Use</v>
      </c>
      <c r="P76" s="558"/>
      <c r="Q76" s="558"/>
      <c r="AI76" s="18"/>
      <c r="AJ76" s="18"/>
    </row>
    <row r="77" spans="1:36" ht="30" hidden="1" x14ac:dyDescent="0.25">
      <c r="B77" s="454">
        <v>10</v>
      </c>
      <c r="C77" s="450" t="str">
        <f t="shared" si="12"/>
        <v>Imported Water Purchases</v>
      </c>
      <c r="D77" s="450" t="str">
        <f t="shared" si="12"/>
        <v>Conveyance Improvement</v>
      </c>
      <c r="E77" s="450" t="str">
        <f t="shared" si="12"/>
        <v>Potable Reuse</v>
      </c>
      <c r="F77" s="450" t="e">
        <f t="shared" si="12"/>
        <v>#N/A</v>
      </c>
      <c r="G77" s="450" t="str">
        <f t="shared" si="12"/>
        <v>Stormwater BMPs</v>
      </c>
      <c r="H77" s="450" t="str">
        <f t="shared" si="12"/>
        <v>Potable Reuse</v>
      </c>
      <c r="I77" s="450" t="e">
        <f t="shared" si="12"/>
        <v>#N/A</v>
      </c>
      <c r="J77" s="450" t="str">
        <f t="shared" si="12"/>
        <v>Imported Water Purchases</v>
      </c>
      <c r="K77" s="450" t="str">
        <f t="shared" si="12"/>
        <v>Imported Water Purchases</v>
      </c>
      <c r="L77" s="450" t="str">
        <f t="shared" si="12"/>
        <v>Stormwater BMPs</v>
      </c>
      <c r="M77" s="450" t="str">
        <f t="shared" si="12"/>
        <v>Conveyance Improvement</v>
      </c>
      <c r="N77" s="450" t="str">
        <f t="shared" si="12"/>
        <v>Imported Water Purchases</v>
      </c>
      <c r="O77" s="451" t="str">
        <f t="shared" si="12"/>
        <v>Seawater Desalination</v>
      </c>
      <c r="P77" s="558"/>
      <c r="Q77" s="558"/>
      <c r="AI77" s="18"/>
      <c r="AJ77" s="18"/>
    </row>
    <row r="78" spans="1:36" ht="30" hidden="1" x14ac:dyDescent="0.25">
      <c r="B78" s="454">
        <v>11</v>
      </c>
      <c r="C78" s="450" t="str">
        <f t="shared" si="12"/>
        <v>Seawater Desalination</v>
      </c>
      <c r="D78" s="450" t="e">
        <f t="shared" si="12"/>
        <v>#N/A</v>
      </c>
      <c r="E78" s="450" t="str">
        <f t="shared" si="12"/>
        <v>Seawater Desalination</v>
      </c>
      <c r="F78" s="450" t="e">
        <f t="shared" si="12"/>
        <v>#N/A</v>
      </c>
      <c r="G78" s="450" t="str">
        <f t="shared" si="12"/>
        <v>Imported Water Purchases</v>
      </c>
      <c r="H78" s="450" t="str">
        <f t="shared" si="12"/>
        <v>Seawater Desalination</v>
      </c>
      <c r="I78" s="450" t="e">
        <f t="shared" si="12"/>
        <v>#N/A</v>
      </c>
      <c r="J78" s="450" t="str">
        <f t="shared" si="12"/>
        <v>Seawater Desalination</v>
      </c>
      <c r="K78" s="450" t="str">
        <f t="shared" si="12"/>
        <v>Seawater Desalination</v>
      </c>
      <c r="L78" s="450" t="str">
        <f t="shared" si="12"/>
        <v>Imported Water Purchases</v>
      </c>
      <c r="M78" s="450" t="str">
        <f t="shared" si="12"/>
        <v>Imported Water Purchases</v>
      </c>
      <c r="N78" s="450" t="str">
        <f t="shared" si="12"/>
        <v>Urban &amp; Ag. Water Use Efficiency</v>
      </c>
      <c r="O78" s="451" t="e">
        <f t="shared" si="12"/>
        <v>#N/A</v>
      </c>
      <c r="P78" s="558"/>
      <c r="Q78" s="558"/>
      <c r="AI78" s="18"/>
      <c r="AJ78" s="18"/>
    </row>
    <row r="79" spans="1:36" ht="30.75" hidden="1" thickBot="1" x14ac:dyDescent="0.3">
      <c r="B79" s="455">
        <v>12</v>
      </c>
      <c r="C79" s="452" t="e">
        <f t="shared" si="12"/>
        <v>#N/A</v>
      </c>
      <c r="D79" s="452" t="e">
        <f t="shared" si="12"/>
        <v>#N/A</v>
      </c>
      <c r="E79" s="452" t="e">
        <f t="shared" si="12"/>
        <v>#N/A</v>
      </c>
      <c r="F79" s="452" t="e">
        <f t="shared" si="12"/>
        <v>#N/A</v>
      </c>
      <c r="G79" s="452" t="e">
        <f t="shared" si="12"/>
        <v>#N/A</v>
      </c>
      <c r="H79" s="452" t="e">
        <f t="shared" si="12"/>
        <v>#N/A</v>
      </c>
      <c r="I79" s="452" t="e">
        <f t="shared" si="12"/>
        <v>#N/A</v>
      </c>
      <c r="J79" s="452" t="e">
        <f t="shared" si="12"/>
        <v>#N/A</v>
      </c>
      <c r="K79" s="452" t="e">
        <f t="shared" si="12"/>
        <v>#N/A</v>
      </c>
      <c r="L79" s="452" t="str">
        <f t="shared" si="12"/>
        <v>Enhanced Conservation</v>
      </c>
      <c r="M79" s="452" t="e">
        <f t="shared" si="12"/>
        <v>#N/A</v>
      </c>
      <c r="N79" s="452" t="e">
        <f t="shared" si="12"/>
        <v>#N/A</v>
      </c>
      <c r="O79" s="453" t="e">
        <f t="shared" si="12"/>
        <v>#N/A</v>
      </c>
      <c r="P79" s="558"/>
      <c r="Q79" s="558"/>
      <c r="AI79" s="18"/>
      <c r="AJ79" s="18"/>
    </row>
    <row r="80" spans="1:36" hidden="1" x14ac:dyDescent="0.25">
      <c r="C80" s="18"/>
      <c r="D80" s="18"/>
      <c r="E80" s="18"/>
      <c r="F80" s="18"/>
      <c r="AI80" s="18"/>
      <c r="AJ80" s="18"/>
    </row>
    <row r="81" spans="1:36" ht="19.5" hidden="1" thickBot="1" x14ac:dyDescent="0.35">
      <c r="A81" s="94" t="s">
        <v>918</v>
      </c>
      <c r="C81" s="18"/>
      <c r="D81" s="18"/>
      <c r="E81" s="18"/>
      <c r="F81" s="18"/>
      <c r="K81" s="324"/>
      <c r="L81" s="324"/>
      <c r="M81" s="324"/>
      <c r="N81" s="324"/>
      <c r="AI81" s="18"/>
      <c r="AJ81" s="18"/>
    </row>
    <row r="82" spans="1:36" ht="75" hidden="1" x14ac:dyDescent="0.25">
      <c r="B82" s="24"/>
      <c r="C82" s="22" t="s">
        <v>829</v>
      </c>
      <c r="D82" s="22" t="s">
        <v>830</v>
      </c>
      <c r="E82" s="22" t="s">
        <v>833</v>
      </c>
      <c r="F82" s="421" t="s">
        <v>832</v>
      </c>
      <c r="G82" s="22" t="s">
        <v>831</v>
      </c>
      <c r="H82" s="22" t="s">
        <v>834</v>
      </c>
      <c r="I82" s="22" t="s">
        <v>835</v>
      </c>
      <c r="J82" s="22" t="s">
        <v>836</v>
      </c>
      <c r="K82" s="22" t="s">
        <v>837</v>
      </c>
      <c r="L82" s="22" t="s">
        <v>838</v>
      </c>
      <c r="M82" s="22" t="s">
        <v>839</v>
      </c>
      <c r="N82" s="22" t="s">
        <v>840</v>
      </c>
      <c r="O82" s="23" t="s">
        <v>841</v>
      </c>
      <c r="P82" s="23" t="s">
        <v>921</v>
      </c>
      <c r="Q82" s="23" t="s">
        <v>923</v>
      </c>
      <c r="R82" s="23" t="s">
        <v>923</v>
      </c>
      <c r="S82" s="23" t="s">
        <v>923</v>
      </c>
      <c r="T82" s="23" t="s">
        <v>922</v>
      </c>
      <c r="AI82" s="18"/>
      <c r="AJ82" s="18"/>
    </row>
    <row r="83" spans="1:36" hidden="1" x14ac:dyDescent="0.25">
      <c r="B83" s="65" t="str">
        <f t="shared" ref="B83:B94" si="13">B23</f>
        <v>Conveyance Improvement</v>
      </c>
      <c r="C83" s="445">
        <f>IFERROR(_xlfn.RANK.EQ(C38,C$38:C$49,0),"NA")</f>
        <v>6</v>
      </c>
      <c r="D83" s="445">
        <f t="shared" ref="D83:O83" si="14">IFERROR(_xlfn.RANK.EQ(D38,D$38:D$49,0),"NA")</f>
        <v>10</v>
      </c>
      <c r="E83" s="445">
        <f t="shared" si="14"/>
        <v>8</v>
      </c>
      <c r="F83" s="446">
        <f t="shared" si="14"/>
        <v>7</v>
      </c>
      <c r="G83" s="445">
        <f t="shared" si="14"/>
        <v>9</v>
      </c>
      <c r="H83" s="445">
        <f t="shared" si="14"/>
        <v>6</v>
      </c>
      <c r="I83" s="445">
        <f t="shared" si="14"/>
        <v>5</v>
      </c>
      <c r="J83" s="445">
        <f t="shared" si="14"/>
        <v>7</v>
      </c>
      <c r="K83" s="447">
        <f t="shared" si="14"/>
        <v>5</v>
      </c>
      <c r="L83" s="447">
        <f t="shared" si="14"/>
        <v>5</v>
      </c>
      <c r="M83" s="447">
        <f t="shared" si="14"/>
        <v>10</v>
      </c>
      <c r="N83" s="447">
        <f t="shared" si="14"/>
        <v>5</v>
      </c>
      <c r="O83" s="448">
        <f t="shared" si="14"/>
        <v>8</v>
      </c>
      <c r="P83" s="448">
        <f>AVERAGE($C83:$O83)</f>
        <v>7</v>
      </c>
      <c r="Q83" s="448">
        <f>COUNTIF($C83:$O83, "=1")</f>
        <v>0</v>
      </c>
      <c r="R83" s="448">
        <f>COUNTIF($C83:$O83, "=2")</f>
        <v>0</v>
      </c>
      <c r="S83" s="448">
        <f>COUNTIF($C83:$O83, "=3")</f>
        <v>0</v>
      </c>
      <c r="T83" s="448">
        <v>8</v>
      </c>
      <c r="AI83" s="18"/>
      <c r="AJ83" s="18"/>
    </row>
    <row r="84" spans="1:36" hidden="1" x14ac:dyDescent="0.25">
      <c r="B84" s="65" t="str">
        <f t="shared" si="13"/>
        <v>Enhanced Conservation</v>
      </c>
      <c r="C84" s="445" t="str">
        <f t="shared" ref="C84:C94" si="15">IFERROR(_xlfn.RANK.EQ(C39,C$38:C$49,0),"NA")</f>
        <v>NA</v>
      </c>
      <c r="D84" s="445" t="str">
        <f t="shared" ref="D84:O84" si="16">IFERROR(_xlfn.RANK.EQ(D39,D$38:D$49,0),"NA")</f>
        <v>NA</v>
      </c>
      <c r="E84" s="445" t="str">
        <f t="shared" si="16"/>
        <v>NA</v>
      </c>
      <c r="F84" s="446" t="str">
        <f t="shared" si="16"/>
        <v>NA</v>
      </c>
      <c r="G84" s="445" t="str">
        <f t="shared" si="16"/>
        <v>NA</v>
      </c>
      <c r="H84" s="445" t="str">
        <f t="shared" si="16"/>
        <v>NA</v>
      </c>
      <c r="I84" s="445" t="str">
        <f t="shared" si="16"/>
        <v>NA</v>
      </c>
      <c r="J84" s="445" t="str">
        <f t="shared" si="16"/>
        <v>NA</v>
      </c>
      <c r="K84" s="447" t="str">
        <f t="shared" si="16"/>
        <v>NA</v>
      </c>
      <c r="L84" s="447">
        <f t="shared" si="16"/>
        <v>12</v>
      </c>
      <c r="M84" s="449" t="str">
        <f t="shared" si="16"/>
        <v>NA</v>
      </c>
      <c r="N84" s="447" t="str">
        <f t="shared" si="16"/>
        <v>NA</v>
      </c>
      <c r="O84" s="448" t="str">
        <f t="shared" si="16"/>
        <v>NA</v>
      </c>
      <c r="P84" s="448">
        <f t="shared" ref="P84:P94" si="17">AVERAGE($C84:$O84)</f>
        <v>12</v>
      </c>
      <c r="Q84" s="448">
        <f t="shared" ref="Q84:Q94" si="18">COUNTIF($C84:$O84, "=1")</f>
        <v>0</v>
      </c>
      <c r="R84" s="448">
        <f t="shared" ref="R84:R94" si="19">COUNTIF($C84:$O84, "=2")</f>
        <v>0</v>
      </c>
      <c r="S84" s="448">
        <f t="shared" ref="S84:S94" si="20">COUNTIF($C84:$O84, "=3")</f>
        <v>0</v>
      </c>
      <c r="T84" s="448" t="s">
        <v>20</v>
      </c>
      <c r="AI84" s="18"/>
      <c r="AJ84" s="18"/>
    </row>
    <row r="85" spans="1:36" hidden="1" x14ac:dyDescent="0.25">
      <c r="B85" s="65" t="str">
        <f t="shared" si="13"/>
        <v>Gray Water Use</v>
      </c>
      <c r="C85" s="445">
        <f t="shared" si="15"/>
        <v>5</v>
      </c>
      <c r="D85" s="445">
        <f t="shared" ref="D85:O85" si="21">IFERROR(_xlfn.RANK.EQ(D40,D$38:D$49,0),"NA")</f>
        <v>1</v>
      </c>
      <c r="E85" s="445">
        <f t="shared" si="21"/>
        <v>2</v>
      </c>
      <c r="F85" s="446" t="str">
        <f t="shared" si="21"/>
        <v>NA</v>
      </c>
      <c r="G85" s="445">
        <f t="shared" si="21"/>
        <v>7</v>
      </c>
      <c r="H85" s="445">
        <f t="shared" si="21"/>
        <v>5</v>
      </c>
      <c r="I85" s="445">
        <f t="shared" si="21"/>
        <v>5</v>
      </c>
      <c r="J85" s="445">
        <f t="shared" si="21"/>
        <v>4</v>
      </c>
      <c r="K85" s="447">
        <f t="shared" si="21"/>
        <v>8</v>
      </c>
      <c r="L85" s="447">
        <f t="shared" si="21"/>
        <v>9</v>
      </c>
      <c r="M85" s="447">
        <f t="shared" si="21"/>
        <v>7</v>
      </c>
      <c r="N85" s="447">
        <f t="shared" si="21"/>
        <v>9</v>
      </c>
      <c r="O85" s="448">
        <f t="shared" si="21"/>
        <v>9</v>
      </c>
      <c r="P85" s="448">
        <f t="shared" si="17"/>
        <v>5.916666666666667</v>
      </c>
      <c r="Q85" s="448">
        <f t="shared" si="18"/>
        <v>1</v>
      </c>
      <c r="R85" s="448">
        <f t="shared" si="19"/>
        <v>1</v>
      </c>
      <c r="S85" s="448">
        <f t="shared" si="20"/>
        <v>0</v>
      </c>
      <c r="T85" s="448" t="s">
        <v>20</v>
      </c>
      <c r="AI85" s="18"/>
      <c r="AJ85" s="18"/>
    </row>
    <row r="86" spans="1:36" hidden="1" x14ac:dyDescent="0.25">
      <c r="B86" s="65" t="str">
        <f t="shared" si="13"/>
        <v>Groundwater</v>
      </c>
      <c r="C86" s="445">
        <f t="shared" si="15"/>
        <v>9</v>
      </c>
      <c r="D86" s="445">
        <f t="shared" ref="D86:O86" si="22">IFERROR(_xlfn.RANK.EQ(D41,D$38:D$49,0),"NA")</f>
        <v>7</v>
      </c>
      <c r="E86" s="445">
        <f t="shared" si="22"/>
        <v>9</v>
      </c>
      <c r="F86" s="446">
        <f t="shared" si="22"/>
        <v>5</v>
      </c>
      <c r="G86" s="445">
        <f t="shared" si="22"/>
        <v>2</v>
      </c>
      <c r="H86" s="445">
        <f t="shared" si="22"/>
        <v>9</v>
      </c>
      <c r="I86" s="445">
        <f t="shared" si="22"/>
        <v>4</v>
      </c>
      <c r="J86" s="445">
        <f t="shared" si="22"/>
        <v>9</v>
      </c>
      <c r="K86" s="447">
        <f t="shared" si="22"/>
        <v>9</v>
      </c>
      <c r="L86" s="447">
        <f t="shared" si="22"/>
        <v>3</v>
      </c>
      <c r="M86" s="447">
        <f t="shared" si="22"/>
        <v>6</v>
      </c>
      <c r="N86" s="447">
        <f t="shared" si="22"/>
        <v>4</v>
      </c>
      <c r="O86" s="448">
        <f t="shared" si="22"/>
        <v>6</v>
      </c>
      <c r="P86" s="448">
        <f t="shared" si="17"/>
        <v>6.3076923076923075</v>
      </c>
      <c r="Q86" s="448">
        <f t="shared" si="18"/>
        <v>0</v>
      </c>
      <c r="R86" s="448">
        <f t="shared" si="19"/>
        <v>1</v>
      </c>
      <c r="S86" s="448">
        <f t="shared" si="20"/>
        <v>1</v>
      </c>
      <c r="T86" s="448">
        <v>7</v>
      </c>
      <c r="AI86" s="18"/>
      <c r="AJ86" s="18"/>
    </row>
    <row r="87" spans="1:36" hidden="1" x14ac:dyDescent="0.25">
      <c r="B87" s="65" t="str">
        <f t="shared" si="13"/>
        <v>Imported Water Purchases</v>
      </c>
      <c r="C87" s="445">
        <f t="shared" si="15"/>
        <v>10</v>
      </c>
      <c r="D87" s="445" t="str">
        <f t="shared" ref="D87:O87" si="23">IFERROR(_xlfn.RANK.EQ(D42,D$38:D$49,0),"NA")</f>
        <v>NA</v>
      </c>
      <c r="E87" s="445">
        <f t="shared" si="23"/>
        <v>3</v>
      </c>
      <c r="F87" s="446" t="str">
        <f t="shared" si="23"/>
        <v>NA</v>
      </c>
      <c r="G87" s="445">
        <f t="shared" si="23"/>
        <v>11</v>
      </c>
      <c r="H87" s="445">
        <f t="shared" si="23"/>
        <v>2</v>
      </c>
      <c r="I87" s="445">
        <f t="shared" si="23"/>
        <v>5</v>
      </c>
      <c r="J87" s="445">
        <f t="shared" si="23"/>
        <v>10</v>
      </c>
      <c r="K87" s="447">
        <f t="shared" si="23"/>
        <v>10</v>
      </c>
      <c r="L87" s="447">
        <f t="shared" si="23"/>
        <v>11</v>
      </c>
      <c r="M87" s="447">
        <f t="shared" si="23"/>
        <v>11</v>
      </c>
      <c r="N87" s="447">
        <f t="shared" si="23"/>
        <v>10</v>
      </c>
      <c r="O87" s="448" t="str">
        <f t="shared" si="23"/>
        <v>NA</v>
      </c>
      <c r="P87" s="448">
        <f t="shared" si="17"/>
        <v>8.3000000000000007</v>
      </c>
      <c r="Q87" s="448">
        <f t="shared" si="18"/>
        <v>0</v>
      </c>
      <c r="R87" s="448">
        <f t="shared" si="19"/>
        <v>1</v>
      </c>
      <c r="S87" s="448">
        <f t="shared" si="20"/>
        <v>1</v>
      </c>
      <c r="T87" s="448" t="s">
        <v>20</v>
      </c>
      <c r="AI87" s="18"/>
      <c r="AJ87" s="18"/>
    </row>
    <row r="88" spans="1:36" s="564" customFormat="1" hidden="1" x14ac:dyDescent="0.25">
      <c r="B88" s="571" t="str">
        <f t="shared" si="13"/>
        <v>Potable Reuse</v>
      </c>
      <c r="C88" s="572">
        <f t="shared" si="15"/>
        <v>6</v>
      </c>
      <c r="D88" s="572">
        <f t="shared" ref="D88:O88" si="24">IFERROR(_xlfn.RANK.EQ(D43,D$38:D$49,0),"NA")</f>
        <v>9</v>
      </c>
      <c r="E88" s="572">
        <f t="shared" si="24"/>
        <v>10</v>
      </c>
      <c r="F88" s="573">
        <f t="shared" si="24"/>
        <v>4</v>
      </c>
      <c r="G88" s="572">
        <f t="shared" si="24"/>
        <v>4</v>
      </c>
      <c r="H88" s="572">
        <f t="shared" si="24"/>
        <v>10</v>
      </c>
      <c r="I88" s="572">
        <f t="shared" si="24"/>
        <v>5</v>
      </c>
      <c r="J88" s="572">
        <f t="shared" si="24"/>
        <v>3</v>
      </c>
      <c r="K88" s="572">
        <f t="shared" si="24"/>
        <v>6</v>
      </c>
      <c r="L88" s="572">
        <f t="shared" si="24"/>
        <v>1</v>
      </c>
      <c r="M88" s="572">
        <f t="shared" si="24"/>
        <v>1</v>
      </c>
      <c r="N88" s="572">
        <f t="shared" si="24"/>
        <v>1</v>
      </c>
      <c r="O88" s="574">
        <f t="shared" si="24"/>
        <v>1</v>
      </c>
      <c r="P88" s="574">
        <f t="shared" si="17"/>
        <v>4.6923076923076925</v>
      </c>
      <c r="Q88" s="574">
        <f t="shared" si="18"/>
        <v>4</v>
      </c>
      <c r="R88" s="574">
        <f t="shared" si="19"/>
        <v>0</v>
      </c>
      <c r="S88" s="574">
        <f t="shared" si="20"/>
        <v>1</v>
      </c>
      <c r="T88" s="574">
        <v>5</v>
      </c>
      <c r="U88" s="569"/>
      <c r="V88" s="570"/>
      <c r="W88" s="570"/>
      <c r="AI88" s="570"/>
      <c r="AJ88" s="570"/>
    </row>
    <row r="89" spans="1:36" s="564" customFormat="1" hidden="1" x14ac:dyDescent="0.25">
      <c r="B89" s="571" t="str">
        <f t="shared" si="13"/>
        <v>Recycled Water</v>
      </c>
      <c r="C89" s="572">
        <f t="shared" si="15"/>
        <v>3</v>
      </c>
      <c r="D89" s="572">
        <f t="shared" ref="D89:O89" si="25">IFERROR(_xlfn.RANK.EQ(D44,D$38:D$49,0),"NA")</f>
        <v>8</v>
      </c>
      <c r="E89" s="572">
        <f t="shared" si="25"/>
        <v>7</v>
      </c>
      <c r="F89" s="573">
        <f t="shared" si="25"/>
        <v>6</v>
      </c>
      <c r="G89" s="572">
        <f t="shared" si="25"/>
        <v>3</v>
      </c>
      <c r="H89" s="572">
        <f t="shared" si="25"/>
        <v>3</v>
      </c>
      <c r="I89" s="572">
        <f t="shared" si="25"/>
        <v>5</v>
      </c>
      <c r="J89" s="572">
        <f t="shared" si="25"/>
        <v>2</v>
      </c>
      <c r="K89" s="572">
        <f t="shared" si="25"/>
        <v>4</v>
      </c>
      <c r="L89" s="572">
        <f t="shared" si="25"/>
        <v>2</v>
      </c>
      <c r="M89" s="572">
        <f t="shared" si="25"/>
        <v>4</v>
      </c>
      <c r="N89" s="572">
        <f t="shared" si="25"/>
        <v>3</v>
      </c>
      <c r="O89" s="574">
        <f t="shared" si="25"/>
        <v>7</v>
      </c>
      <c r="P89" s="574">
        <f t="shared" si="17"/>
        <v>4.384615384615385</v>
      </c>
      <c r="Q89" s="574">
        <f t="shared" si="18"/>
        <v>0</v>
      </c>
      <c r="R89" s="574">
        <f t="shared" si="19"/>
        <v>2</v>
      </c>
      <c r="S89" s="574">
        <f t="shared" si="20"/>
        <v>4</v>
      </c>
      <c r="T89" s="574">
        <v>4</v>
      </c>
      <c r="U89" s="569"/>
      <c r="V89" s="570"/>
      <c r="W89" s="570"/>
      <c r="AI89" s="570"/>
      <c r="AJ89" s="570"/>
    </row>
    <row r="90" spans="1:36" hidden="1" x14ac:dyDescent="0.25">
      <c r="B90" s="65" t="str">
        <f t="shared" si="13"/>
        <v>Seawater Desalination</v>
      </c>
      <c r="C90" s="445">
        <f t="shared" si="15"/>
        <v>11</v>
      </c>
      <c r="D90" s="445">
        <f t="shared" ref="D90:O90" si="26">IFERROR(_xlfn.RANK.EQ(D45,D$38:D$49,0),"NA")</f>
        <v>1</v>
      </c>
      <c r="E90" s="445">
        <f t="shared" si="26"/>
        <v>11</v>
      </c>
      <c r="F90" s="446" t="str">
        <f t="shared" si="26"/>
        <v>NA</v>
      </c>
      <c r="G90" s="445">
        <f t="shared" si="26"/>
        <v>1</v>
      </c>
      <c r="H90" s="445">
        <f t="shared" si="26"/>
        <v>11</v>
      </c>
      <c r="I90" s="445">
        <f t="shared" si="26"/>
        <v>5</v>
      </c>
      <c r="J90" s="445">
        <f t="shared" si="26"/>
        <v>11</v>
      </c>
      <c r="K90" s="447">
        <f t="shared" si="26"/>
        <v>11</v>
      </c>
      <c r="L90" s="447">
        <f t="shared" si="26"/>
        <v>7</v>
      </c>
      <c r="M90" s="447">
        <f t="shared" si="26"/>
        <v>2</v>
      </c>
      <c r="N90" s="447">
        <f t="shared" si="26"/>
        <v>2</v>
      </c>
      <c r="O90" s="448">
        <f t="shared" si="26"/>
        <v>10</v>
      </c>
      <c r="P90" s="448">
        <f t="shared" si="17"/>
        <v>6.916666666666667</v>
      </c>
      <c r="Q90" s="448">
        <f t="shared" si="18"/>
        <v>2</v>
      </c>
      <c r="R90" s="448">
        <f t="shared" si="19"/>
        <v>2</v>
      </c>
      <c r="S90" s="448">
        <f t="shared" si="20"/>
        <v>0</v>
      </c>
      <c r="T90" s="448" t="s">
        <v>20</v>
      </c>
      <c r="AI90" s="18"/>
      <c r="AJ90" s="18"/>
    </row>
    <row r="91" spans="1:36" s="564" customFormat="1" hidden="1" x14ac:dyDescent="0.25">
      <c r="B91" s="571" t="str">
        <f t="shared" si="13"/>
        <v>Stormwater BMPs</v>
      </c>
      <c r="C91" s="572">
        <f t="shared" si="15"/>
        <v>4</v>
      </c>
      <c r="D91" s="572">
        <f t="shared" ref="D91:O91" si="27">IFERROR(_xlfn.RANK.EQ(D46,D$38:D$49,0),"NA")</f>
        <v>4</v>
      </c>
      <c r="E91" s="572">
        <f t="shared" si="27"/>
        <v>5</v>
      </c>
      <c r="F91" s="573">
        <f t="shared" si="27"/>
        <v>3</v>
      </c>
      <c r="G91" s="572">
        <f t="shared" si="27"/>
        <v>10</v>
      </c>
      <c r="H91" s="572">
        <f t="shared" si="27"/>
        <v>4</v>
      </c>
      <c r="I91" s="572">
        <f t="shared" si="27"/>
        <v>2</v>
      </c>
      <c r="J91" s="572">
        <f t="shared" si="27"/>
        <v>8</v>
      </c>
      <c r="K91" s="572">
        <f t="shared" si="27"/>
        <v>2</v>
      </c>
      <c r="L91" s="572">
        <f t="shared" si="27"/>
        <v>10</v>
      </c>
      <c r="M91" s="572">
        <f t="shared" si="27"/>
        <v>9</v>
      </c>
      <c r="N91" s="572">
        <f t="shared" si="27"/>
        <v>8</v>
      </c>
      <c r="O91" s="574">
        <f t="shared" si="27"/>
        <v>2</v>
      </c>
      <c r="P91" s="574">
        <f t="shared" si="17"/>
        <v>5.4615384615384617</v>
      </c>
      <c r="Q91" s="574">
        <f t="shared" si="18"/>
        <v>0</v>
      </c>
      <c r="R91" s="574">
        <f t="shared" si="19"/>
        <v>3</v>
      </c>
      <c r="S91" s="574">
        <f t="shared" si="20"/>
        <v>1</v>
      </c>
      <c r="T91" s="574">
        <v>6</v>
      </c>
      <c r="U91" s="569"/>
      <c r="V91" s="570"/>
      <c r="W91" s="570"/>
      <c r="AI91" s="570"/>
      <c r="AJ91" s="570"/>
    </row>
    <row r="92" spans="1:36" s="564" customFormat="1" hidden="1" x14ac:dyDescent="0.25">
      <c r="B92" s="571" t="str">
        <f t="shared" si="13"/>
        <v>Stormwater Capture</v>
      </c>
      <c r="C92" s="572">
        <f t="shared" si="15"/>
        <v>8</v>
      </c>
      <c r="D92" s="572">
        <f t="shared" ref="D92:O92" si="28">IFERROR(_xlfn.RANK.EQ(D47,D$38:D$49,0),"NA")</f>
        <v>1</v>
      </c>
      <c r="E92" s="572">
        <f t="shared" si="28"/>
        <v>6</v>
      </c>
      <c r="F92" s="573">
        <f t="shared" si="28"/>
        <v>7</v>
      </c>
      <c r="G92" s="572">
        <f t="shared" si="28"/>
        <v>5</v>
      </c>
      <c r="H92" s="572">
        <f t="shared" si="28"/>
        <v>8</v>
      </c>
      <c r="I92" s="572">
        <f t="shared" si="28"/>
        <v>5</v>
      </c>
      <c r="J92" s="572">
        <f t="shared" si="28"/>
        <v>6</v>
      </c>
      <c r="K92" s="572">
        <f t="shared" si="28"/>
        <v>7</v>
      </c>
      <c r="L92" s="572">
        <f t="shared" si="28"/>
        <v>6</v>
      </c>
      <c r="M92" s="572">
        <f t="shared" si="28"/>
        <v>5</v>
      </c>
      <c r="N92" s="572">
        <f t="shared" si="28"/>
        <v>6</v>
      </c>
      <c r="O92" s="574">
        <f t="shared" si="28"/>
        <v>5</v>
      </c>
      <c r="P92" s="574">
        <f t="shared" si="17"/>
        <v>5.7692307692307692</v>
      </c>
      <c r="Q92" s="574">
        <f t="shared" si="18"/>
        <v>1</v>
      </c>
      <c r="R92" s="574">
        <f t="shared" si="19"/>
        <v>0</v>
      </c>
      <c r="S92" s="574">
        <f t="shared" si="20"/>
        <v>0</v>
      </c>
      <c r="T92" s="574">
        <v>3</v>
      </c>
      <c r="U92" s="569"/>
      <c r="V92" s="570"/>
      <c r="W92" s="570"/>
      <c r="AI92" s="570"/>
      <c r="AJ92" s="570"/>
    </row>
    <row r="93" spans="1:36" s="1" customFormat="1" hidden="1" x14ac:dyDescent="0.25">
      <c r="B93" s="559" t="str">
        <f t="shared" si="13"/>
        <v>Urban &amp; Ag. Water Use Efficiency</v>
      </c>
      <c r="C93" s="560">
        <f t="shared" si="15"/>
        <v>1</v>
      </c>
      <c r="D93" s="560">
        <f t="shared" ref="D93:O93" si="29">IFERROR(_xlfn.RANK.EQ(D48,D$38:D$49,0),"NA")</f>
        <v>6</v>
      </c>
      <c r="E93" s="560">
        <f t="shared" si="29"/>
        <v>1</v>
      </c>
      <c r="F93" s="561">
        <f t="shared" si="29"/>
        <v>2</v>
      </c>
      <c r="G93" s="560">
        <f t="shared" si="29"/>
        <v>6</v>
      </c>
      <c r="H93" s="560">
        <f t="shared" si="29"/>
        <v>1</v>
      </c>
      <c r="I93" s="560">
        <f t="shared" si="29"/>
        <v>3</v>
      </c>
      <c r="J93" s="560">
        <f t="shared" si="29"/>
        <v>1</v>
      </c>
      <c r="K93" s="560">
        <f t="shared" si="29"/>
        <v>3</v>
      </c>
      <c r="L93" s="560">
        <f t="shared" si="29"/>
        <v>4</v>
      </c>
      <c r="M93" s="560">
        <f t="shared" si="29"/>
        <v>3</v>
      </c>
      <c r="N93" s="560">
        <f t="shared" si="29"/>
        <v>11</v>
      </c>
      <c r="O93" s="562">
        <f t="shared" si="29"/>
        <v>4</v>
      </c>
      <c r="P93" s="562">
        <f t="shared" si="17"/>
        <v>3.5384615384615383</v>
      </c>
      <c r="Q93" s="562">
        <f t="shared" si="18"/>
        <v>4</v>
      </c>
      <c r="R93" s="562">
        <f t="shared" si="19"/>
        <v>1</v>
      </c>
      <c r="S93" s="562">
        <f t="shared" si="20"/>
        <v>3</v>
      </c>
      <c r="T93" s="562">
        <v>1</v>
      </c>
      <c r="U93" s="563"/>
      <c r="V93" s="555"/>
      <c r="W93" s="555"/>
      <c r="AI93" s="555"/>
      <c r="AJ93" s="555"/>
    </row>
    <row r="94" spans="1:36" s="564" customFormat="1" ht="15.75" hidden="1" thickBot="1" x14ac:dyDescent="0.3">
      <c r="B94" s="565" t="str">
        <f t="shared" si="13"/>
        <v>Watershed and Ecosystem Management</v>
      </c>
      <c r="C94" s="566">
        <f t="shared" si="15"/>
        <v>2</v>
      </c>
      <c r="D94" s="566">
        <f t="shared" ref="D94:O94" si="30">IFERROR(_xlfn.RANK.EQ(D49,D$38:D$49,0),"NA")</f>
        <v>5</v>
      </c>
      <c r="E94" s="566">
        <f t="shared" si="30"/>
        <v>4</v>
      </c>
      <c r="F94" s="567">
        <f t="shared" si="30"/>
        <v>1</v>
      </c>
      <c r="G94" s="566">
        <f t="shared" si="30"/>
        <v>8</v>
      </c>
      <c r="H94" s="566">
        <f t="shared" si="30"/>
        <v>7</v>
      </c>
      <c r="I94" s="566">
        <f t="shared" si="30"/>
        <v>1</v>
      </c>
      <c r="J94" s="566">
        <f t="shared" si="30"/>
        <v>5</v>
      </c>
      <c r="K94" s="566">
        <f t="shared" si="30"/>
        <v>1</v>
      </c>
      <c r="L94" s="566">
        <f t="shared" si="30"/>
        <v>8</v>
      </c>
      <c r="M94" s="566">
        <f t="shared" si="30"/>
        <v>8</v>
      </c>
      <c r="N94" s="566">
        <f t="shared" si="30"/>
        <v>7</v>
      </c>
      <c r="O94" s="568">
        <f t="shared" si="30"/>
        <v>3</v>
      </c>
      <c r="P94" s="568">
        <f t="shared" si="17"/>
        <v>4.615384615384615</v>
      </c>
      <c r="Q94" s="568">
        <f t="shared" si="18"/>
        <v>3</v>
      </c>
      <c r="R94" s="568">
        <f t="shared" si="19"/>
        <v>1</v>
      </c>
      <c r="S94" s="568">
        <f t="shared" si="20"/>
        <v>1</v>
      </c>
      <c r="T94" s="568">
        <v>2</v>
      </c>
      <c r="U94" s="569"/>
      <c r="V94" s="570"/>
      <c r="W94" s="570"/>
      <c r="AI94" s="570"/>
      <c r="AJ94" s="570"/>
    </row>
    <row r="95" spans="1:36" hidden="1" x14ac:dyDescent="0.25">
      <c r="B95" s="54"/>
      <c r="C95" s="102"/>
      <c r="D95" s="102"/>
      <c r="E95" s="102"/>
      <c r="F95" s="422"/>
      <c r="G95" s="102"/>
      <c r="H95" s="102"/>
      <c r="I95" s="102"/>
      <c r="J95" s="102"/>
      <c r="K95" s="321"/>
      <c r="L95" s="321"/>
      <c r="M95" s="321"/>
      <c r="N95" s="321"/>
      <c r="O95" s="102"/>
      <c r="P95" s="102"/>
      <c r="Q95" s="102"/>
      <c r="AI95" s="18"/>
      <c r="AJ95" s="18"/>
    </row>
    <row r="96" spans="1:36" ht="19.5" hidden="1" thickBot="1" x14ac:dyDescent="0.3">
      <c r="A96" s="101" t="s">
        <v>919</v>
      </c>
      <c r="C96" s="101"/>
      <c r="D96" s="101"/>
      <c r="E96" s="101"/>
      <c r="F96" s="101"/>
      <c r="G96" s="101"/>
      <c r="H96" s="101"/>
      <c r="I96" s="101"/>
      <c r="J96" s="101"/>
      <c r="K96" s="101"/>
      <c r="L96" s="101"/>
      <c r="M96" s="101"/>
      <c r="N96" s="101"/>
      <c r="O96" s="101"/>
      <c r="P96" s="101"/>
      <c r="Q96" s="101"/>
      <c r="AI96" s="18"/>
      <c r="AJ96" s="18"/>
    </row>
    <row r="97" spans="1:36" ht="60" hidden="1" x14ac:dyDescent="0.25">
      <c r="B97" s="21" t="s">
        <v>6</v>
      </c>
      <c r="C97" s="22" t="s">
        <v>106</v>
      </c>
      <c r="D97" s="22" t="s">
        <v>33</v>
      </c>
      <c r="E97" s="22" t="s">
        <v>1</v>
      </c>
      <c r="F97" s="421" t="s">
        <v>107</v>
      </c>
      <c r="G97" s="22" t="s">
        <v>249</v>
      </c>
      <c r="H97" s="22" t="s">
        <v>73</v>
      </c>
      <c r="I97" s="22" t="s">
        <v>35</v>
      </c>
      <c r="J97" s="22" t="s">
        <v>3</v>
      </c>
      <c r="K97" s="22" t="s">
        <v>98</v>
      </c>
      <c r="L97" s="22" t="s">
        <v>31</v>
      </c>
      <c r="M97" s="22" t="s">
        <v>2</v>
      </c>
      <c r="N97" s="22" t="s">
        <v>0</v>
      </c>
      <c r="O97" s="23" t="s">
        <v>36</v>
      </c>
      <c r="P97" s="470"/>
      <c r="Q97" s="470"/>
      <c r="AI97" s="18"/>
      <c r="AJ97" s="18"/>
    </row>
    <row r="98" spans="1:36" hidden="1" x14ac:dyDescent="0.25">
      <c r="B98" s="65" t="str">
        <f t="shared" ref="B98:B109" si="31">B38</f>
        <v>Conveyance Improvement</v>
      </c>
      <c r="C98" s="102">
        <f>IF(OR('User Inputs'!$C$45="No",'User Inputs'!$C62="No"),"Not Included", IF(C38="NA","NA",5*'User Inputs'!$F$28/10))</f>
        <v>4.0999999999999996</v>
      </c>
      <c r="D98" s="102">
        <f>IF(OR('User Inputs'!$C$45="No",'User Inputs'!$C62="No"),"Not Included", IF(D38="NA","NA",5*'User Inputs'!$F$29/10))</f>
        <v>4.8</v>
      </c>
      <c r="E98" s="102">
        <f>IF(OR('User Inputs'!$C$45="No",'User Inputs'!$C62="No"),"Not Included", IF(E38="NA","NA",5*'User Inputs'!$F$30/10))</f>
        <v>4.25</v>
      </c>
      <c r="F98" s="422">
        <f>IF(OR('User Inputs'!$C$45="No",'User Inputs'!$C62="No"),"Not Included", IF(F38="NA","NA",5*'User Inputs'!$F$31/10))</f>
        <v>4.3499999999999996</v>
      </c>
      <c r="G98" s="102">
        <f>IF(OR('User Inputs'!$C$45="No",'User Inputs'!$C62="No"),"Not Included", IF(G38="NA","NA",5*'User Inputs'!$F$32/10))</f>
        <v>4.7</v>
      </c>
      <c r="H98" s="102">
        <f>IF(OR('User Inputs'!$C$45="No",'User Inputs'!$C62="No"),"Not Included", IF(H38="NA","NA",5*'User Inputs'!$F$33/10))</f>
        <v>3.65</v>
      </c>
      <c r="I98" s="102">
        <f>IF(OR('User Inputs'!$C$45="No",'User Inputs'!$C62="No"),"Not Included", IF(I38="NA","NA",5*'User Inputs'!$F$34/10))</f>
        <v>4.5999999999999996</v>
      </c>
      <c r="J98" s="102">
        <f>IF(OR('User Inputs'!$C$45="No",'User Inputs'!$C62="No"),"Not Included", IF(J38="NA","NA",5*'User Inputs'!$F$35/10))</f>
        <v>3.85</v>
      </c>
      <c r="K98" s="321">
        <f>IF(OR('User Inputs'!$C$45="No",'User Inputs'!$C62="No"),"Not Included", IF(K38="NA","NA",5*'User Inputs'!$F$36/10))</f>
        <v>3.7</v>
      </c>
      <c r="L98" s="321">
        <f>IF(OR('User Inputs'!$C$45="No",'User Inputs'!$C62="No"),"Not Included", IF(L38="NA","NA",5*'User Inputs'!$F$37/10))</f>
        <v>3.9</v>
      </c>
      <c r="M98" s="321">
        <f>IF(OR('User Inputs'!$C$45="No",'User Inputs'!$C62="No"),"Not Included", IF(M38="NA","NA",5*'User Inputs'!$F$38/10))</f>
        <v>4.25</v>
      </c>
      <c r="N98" s="321">
        <f>IF(OR('User Inputs'!$C$45="No",'User Inputs'!$C62="No"),"Not Included", IF(N38="NA","NA",5*'User Inputs'!$F$39/10))</f>
        <v>5</v>
      </c>
      <c r="O98" s="103">
        <f>IF(OR('User Inputs'!$C$45="No",'User Inputs'!$C62="No"),"Not Included", IF(O38="NA","NA",5*'User Inputs'!$F$40/10))</f>
        <v>5</v>
      </c>
      <c r="P98" s="102"/>
      <c r="Q98" s="102"/>
      <c r="AI98" s="18"/>
      <c r="AJ98" s="18"/>
    </row>
    <row r="99" spans="1:36" hidden="1" x14ac:dyDescent="0.25">
      <c r="B99" s="65" t="str">
        <f t="shared" si="31"/>
        <v>Enhanced Conservation</v>
      </c>
      <c r="C99" s="87" t="str">
        <f>IF(OR('User Inputs'!$C$45="No",'User Inputs'!$C63="No"),"Not Included", IF(C39="NA","NA",5*'User Inputs'!$F$28/10))</f>
        <v>NA</v>
      </c>
      <c r="D99" s="87" t="str">
        <f>IF(OR('User Inputs'!$C$45="No",'User Inputs'!$C63="No"),"Not Included", IF(D39="NA","NA",5*'User Inputs'!$F$29/10))</f>
        <v>NA</v>
      </c>
      <c r="E99" s="87" t="str">
        <f>IF(OR('User Inputs'!$C$45="No",'User Inputs'!$C63="No"),"Not Included", IF(E39="NA","NA",5*'User Inputs'!$F$30/10))</f>
        <v>NA</v>
      </c>
      <c r="F99" s="423" t="str">
        <f>IF(OR('User Inputs'!$C$45="No",'User Inputs'!$C63="No"),"Not Included", IF(F39="NA","NA",5*'User Inputs'!$F$31/10))</f>
        <v>NA</v>
      </c>
      <c r="G99" s="87" t="str">
        <f>IF(OR('User Inputs'!$C$45="No",'User Inputs'!$C63="No"),"Not Included", IF(G39="NA","NA",5*'User Inputs'!$F$32/10))</f>
        <v>NA</v>
      </c>
      <c r="H99" s="87" t="str">
        <f>IF(OR('User Inputs'!$C$45="No",'User Inputs'!$C63="No"),"Not Included", IF(H39="NA","NA",5*'User Inputs'!$F$33/10))</f>
        <v>NA</v>
      </c>
      <c r="I99" s="87" t="str">
        <f>IF(OR('User Inputs'!$C$45="No",'User Inputs'!$C63="No"),"Not Included", IF(I39="NA","NA",5*'User Inputs'!$F$34/10))</f>
        <v>NA</v>
      </c>
      <c r="J99" s="87" t="str">
        <f>IF(OR('User Inputs'!$C$45="No",'User Inputs'!$C63="No"),"Not Included", IF(J39="NA","NA",5*'User Inputs'!$F$35/10))</f>
        <v>NA</v>
      </c>
      <c r="K99" s="322" t="str">
        <f>IF(OR('User Inputs'!$C$45="No",'User Inputs'!$C63="No"),"Not Included", IF(K39="NA","NA",5*'User Inputs'!$F$36/10))</f>
        <v>NA</v>
      </c>
      <c r="L99" s="322">
        <f>IF(OR('User Inputs'!$C$45="No",'User Inputs'!$C63="No"),"Not Included", IF(L39="NA","NA",5*'User Inputs'!$F$37/10))</f>
        <v>3.9</v>
      </c>
      <c r="M99" s="321" t="str">
        <f>IF(OR('User Inputs'!$C$45="No",'User Inputs'!$C63="No"),"Not Included", IF(M39="NA","NA",5*'User Inputs'!$F$38/10))</f>
        <v>NA</v>
      </c>
      <c r="N99" s="322" t="str">
        <f>IF(OR('User Inputs'!$C$45="No",'User Inputs'!$C63="No"),"Not Included", IF(N39="NA","NA",5*'User Inputs'!$F$39/10))</f>
        <v>NA</v>
      </c>
      <c r="O99" s="104" t="str">
        <f>IF(OR('User Inputs'!$C$45="No",'User Inputs'!$C63="No"),"Not Included", IF(O39="NA","NA",5*'User Inputs'!$F$40/10))</f>
        <v>NA</v>
      </c>
      <c r="P99" s="87"/>
      <c r="Q99" s="87"/>
      <c r="AI99" s="18"/>
      <c r="AJ99" s="18"/>
    </row>
    <row r="100" spans="1:36" hidden="1" x14ac:dyDescent="0.25">
      <c r="A100" s="16"/>
      <c r="B100" s="65" t="str">
        <f t="shared" si="31"/>
        <v>Gray Water Use</v>
      </c>
      <c r="C100" s="87">
        <f>IF(OR('User Inputs'!$C$45="No",'User Inputs'!$C64="No"),"Not Included", IF(C40="NA","NA",5*'User Inputs'!$F$28/10))</f>
        <v>4.0999999999999996</v>
      </c>
      <c r="D100" s="87">
        <f>IF(OR('User Inputs'!$C$45="No",'User Inputs'!$C64="No"),"Not Included", IF(D40="NA","NA",5*'User Inputs'!$F$29/10))</f>
        <v>4.8</v>
      </c>
      <c r="E100" s="87">
        <f>IF(OR('User Inputs'!$C$45="No",'User Inputs'!$C64="No"),"Not Included", IF(E40="NA","NA",5*'User Inputs'!$F$30/10))</f>
        <v>4.25</v>
      </c>
      <c r="F100" s="423" t="str">
        <f>IF(OR('User Inputs'!$C$45="No",'User Inputs'!$C64="No"),"Not Included", IF(F40="NA","NA",5*'User Inputs'!$F$31/10))</f>
        <v>NA</v>
      </c>
      <c r="G100" s="87">
        <f>IF(OR('User Inputs'!$C$45="No",'User Inputs'!$C64="No"),"Not Included", IF(G40="NA","NA",5*'User Inputs'!$F$32/10))</f>
        <v>4.7</v>
      </c>
      <c r="H100" s="87">
        <f>IF(OR('User Inputs'!$C$45="No",'User Inputs'!$C64="No"),"Not Included", IF(H40="NA","NA",5*'User Inputs'!$F$33/10))</f>
        <v>3.65</v>
      </c>
      <c r="I100" s="87">
        <f>IF(OR('User Inputs'!$C$45="No",'User Inputs'!$C64="No"),"Not Included", IF(I40="NA","NA",5*'User Inputs'!$F$34/10))</f>
        <v>4.5999999999999996</v>
      </c>
      <c r="J100" s="87">
        <f>IF(OR('User Inputs'!$C$45="No",'User Inputs'!$C64="No"),"Not Included", IF(J40="NA","NA",5*'User Inputs'!$F$35/10))</f>
        <v>3.85</v>
      </c>
      <c r="K100" s="322">
        <f>IF(OR('User Inputs'!$C$45="No",'User Inputs'!$C64="No"),"Not Included", IF(K40="NA","NA",5*'User Inputs'!$F$36/10))</f>
        <v>3.7</v>
      </c>
      <c r="L100" s="322">
        <f>IF(OR('User Inputs'!$C$45="No",'User Inputs'!$C64="No"),"Not Included", IF(L40="NA","NA",5*'User Inputs'!$F$37/10))</f>
        <v>3.9</v>
      </c>
      <c r="M100" s="321">
        <f>IF(OR('User Inputs'!$C$45="No",'User Inputs'!$C64="No"),"Not Included", IF(M40="NA","NA",5*'User Inputs'!$F$38/10))</f>
        <v>4.25</v>
      </c>
      <c r="N100" s="322">
        <f>IF(OR('User Inputs'!$C$45="No",'User Inputs'!$C64="No"),"Not Included", IF(N40="NA","NA",5*'User Inputs'!$F$39/10))</f>
        <v>5</v>
      </c>
      <c r="O100" s="104">
        <f>IF(OR('User Inputs'!$C$45="No",'User Inputs'!$C64="No"),"Not Included", IF(O40="NA","NA",5*'User Inputs'!$F$40/10))</f>
        <v>5</v>
      </c>
      <c r="P100" s="87"/>
      <c r="Q100" s="87"/>
      <c r="AI100" s="18"/>
      <c r="AJ100" s="18"/>
    </row>
    <row r="101" spans="1:36" hidden="1" x14ac:dyDescent="0.25">
      <c r="B101" s="65" t="str">
        <f t="shared" si="31"/>
        <v>Groundwater</v>
      </c>
      <c r="C101" s="87">
        <f>IF(OR('User Inputs'!$C$45="No",'User Inputs'!$C65="No"),"Not Included", IF(C41="NA","NA",5*'User Inputs'!$F$28/10))</f>
        <v>4.0999999999999996</v>
      </c>
      <c r="D101" s="87">
        <f>IF(OR('User Inputs'!$C$45="No",'User Inputs'!$C65="No"),"Not Included", IF(D41="NA","NA",5*'User Inputs'!$F$29/10))</f>
        <v>4.8</v>
      </c>
      <c r="E101" s="87">
        <f>IF(OR('User Inputs'!$C$45="No",'User Inputs'!$C65="No"),"Not Included", IF(E41="NA","NA",5*'User Inputs'!$F$30/10))</f>
        <v>4.25</v>
      </c>
      <c r="F101" s="423">
        <f>IF(OR('User Inputs'!$C$45="No",'User Inputs'!$C65="No"),"Not Included", IF(F41="NA","NA",5*'User Inputs'!$F$31/10))</f>
        <v>4.3499999999999996</v>
      </c>
      <c r="G101" s="87">
        <f>IF(OR('User Inputs'!$C$45="No",'User Inputs'!$C65="No"),"Not Included", IF(G41="NA","NA",5*'User Inputs'!$F$32/10))</f>
        <v>4.7</v>
      </c>
      <c r="H101" s="87">
        <f>IF(OR('User Inputs'!$C$45="No",'User Inputs'!$C65="No"),"Not Included", IF(H41="NA","NA",5*'User Inputs'!$F$33/10))</f>
        <v>3.65</v>
      </c>
      <c r="I101" s="87">
        <f>IF(OR('User Inputs'!$C$45="No",'User Inputs'!$C65="No"),"Not Included", IF(I41="NA","NA",5*'User Inputs'!$F$34/10))</f>
        <v>4.5999999999999996</v>
      </c>
      <c r="J101" s="87">
        <f>IF(OR('User Inputs'!$C$45="No",'User Inputs'!$C65="No"),"Not Included", IF(J41="NA","NA",5*'User Inputs'!$F$35/10))</f>
        <v>3.85</v>
      </c>
      <c r="K101" s="322">
        <f>IF(OR('User Inputs'!$C$45="No",'User Inputs'!$C65="No"),"Not Included", IF(K41="NA","NA",5*'User Inputs'!$F$36/10))</f>
        <v>3.7</v>
      </c>
      <c r="L101" s="322">
        <f>IF(OR('User Inputs'!$C$45="No",'User Inputs'!$C65="No"),"Not Included", IF(L41="NA","NA",5*'User Inputs'!$F$37/10))</f>
        <v>3.9</v>
      </c>
      <c r="M101" s="321">
        <f>IF(OR('User Inputs'!$C$45="No",'User Inputs'!$C65="No"),"Not Included", IF(M41="NA","NA",5*'User Inputs'!$F$38/10))</f>
        <v>4.25</v>
      </c>
      <c r="N101" s="322">
        <f>IF(OR('User Inputs'!$C$45="No",'User Inputs'!$C65="No"),"Not Included", IF(N41="NA","NA",5*'User Inputs'!$F$39/10))</f>
        <v>5</v>
      </c>
      <c r="O101" s="104">
        <f>IF(OR('User Inputs'!$C$45="No",'User Inputs'!$C65="No"),"Not Included", IF(O41="NA","NA",5*'User Inputs'!$F$40/10))</f>
        <v>5</v>
      </c>
      <c r="P101" s="87"/>
      <c r="Q101" s="87"/>
      <c r="AI101" s="18"/>
      <c r="AJ101" s="18"/>
    </row>
    <row r="102" spans="1:36" hidden="1" x14ac:dyDescent="0.25">
      <c r="B102" s="65" t="str">
        <f t="shared" si="31"/>
        <v>Imported Water Purchases</v>
      </c>
      <c r="C102" s="87">
        <f>IF(OR('User Inputs'!$C$45="No",'User Inputs'!$C66="No"),"Not Included", IF(C42="NA","NA",5*'User Inputs'!$F$28/10))</f>
        <v>4.0999999999999996</v>
      </c>
      <c r="D102" s="87" t="str">
        <f>IF(OR('User Inputs'!$C$45="No",'User Inputs'!$C66="No"),"Not Included", IF(D42="NA","NA",5*'User Inputs'!$F$29/10))</f>
        <v>NA</v>
      </c>
      <c r="E102" s="87">
        <f>IF(OR('User Inputs'!$C$45="No",'User Inputs'!$C66="No"),"Not Included", IF(E42="NA","NA",5*'User Inputs'!$F$30/10))</f>
        <v>4.25</v>
      </c>
      <c r="F102" s="423" t="str">
        <f>IF(OR('User Inputs'!$C$45="No",'User Inputs'!$C66="No"),"Not Included", IF(F42="NA","NA",5*'User Inputs'!$F$31/10))</f>
        <v>NA</v>
      </c>
      <c r="G102" s="87">
        <f>IF(OR('User Inputs'!$C$45="No",'User Inputs'!$C66="No"),"Not Included", IF(G42="NA","NA",5*'User Inputs'!$F$32/10))</f>
        <v>4.7</v>
      </c>
      <c r="H102" s="87">
        <f>IF(OR('User Inputs'!$C$45="No",'User Inputs'!$C66="No"),"Not Included", IF(H42="NA","NA",5*'User Inputs'!$F$33/10))</f>
        <v>3.65</v>
      </c>
      <c r="I102" s="87">
        <f>IF(OR('User Inputs'!$C$45="No",'User Inputs'!$C66="No"),"Not Included", IF(I42="NA","NA",5*'User Inputs'!$F$34/10))</f>
        <v>4.5999999999999996</v>
      </c>
      <c r="J102" s="87">
        <f>IF(OR('User Inputs'!$C$45="No",'User Inputs'!$C66="No"),"Not Included", IF(J42="NA","NA",5*'User Inputs'!$F$35/10))</f>
        <v>3.85</v>
      </c>
      <c r="K102" s="322">
        <f>IF(OR('User Inputs'!$C$45="No",'User Inputs'!$C66="No"),"Not Included", IF(K42="NA","NA",5*'User Inputs'!$F$36/10))</f>
        <v>3.7</v>
      </c>
      <c r="L102" s="322">
        <f>IF(OR('User Inputs'!$C$45="No",'User Inputs'!$C66="No"),"Not Included", IF(L42="NA","NA",5*'User Inputs'!$F$37/10))</f>
        <v>3.9</v>
      </c>
      <c r="M102" s="321">
        <f>IF(OR('User Inputs'!$C$45="No",'User Inputs'!$C66="No"),"Not Included", IF(M42="NA","NA",5*'User Inputs'!$F$38/10))</f>
        <v>4.25</v>
      </c>
      <c r="N102" s="322">
        <f>IF(OR('User Inputs'!$C$45="No",'User Inputs'!$C66="No"),"Not Included", IF(N42="NA","NA",5*'User Inputs'!$F$39/10))</f>
        <v>5</v>
      </c>
      <c r="O102" s="104" t="str">
        <f>IF(OR('User Inputs'!$C$45="No",'User Inputs'!$C66="No"),"Not Included", IF(O42="NA","NA",5*'User Inputs'!$F$40/10))</f>
        <v>NA</v>
      </c>
      <c r="P102" s="87"/>
      <c r="Q102" s="87"/>
      <c r="AI102" s="18"/>
      <c r="AJ102" s="18"/>
    </row>
    <row r="103" spans="1:36" hidden="1" x14ac:dyDescent="0.25">
      <c r="B103" s="65" t="str">
        <f t="shared" si="31"/>
        <v>Potable Reuse</v>
      </c>
      <c r="C103" s="87">
        <f>IF(OR('User Inputs'!$C$45="No",'User Inputs'!$C67="No"),"Not Included", IF(C43="NA","NA",5*'User Inputs'!$F$28/10))</f>
        <v>4.0999999999999996</v>
      </c>
      <c r="D103" s="87">
        <f>IF(OR('User Inputs'!$C$45="No",'User Inputs'!$C67="No"),"Not Included", IF(D43="NA","NA",5*'User Inputs'!$F$29/10))</f>
        <v>4.8</v>
      </c>
      <c r="E103" s="87">
        <f>IF(OR('User Inputs'!$C$45="No",'User Inputs'!$C67="No"),"Not Included", IF(E43="NA","NA",5*'User Inputs'!$F$30/10))</f>
        <v>4.25</v>
      </c>
      <c r="F103" s="423">
        <f>IF(OR('User Inputs'!$C$45="No",'User Inputs'!$C67="No"),"Not Included", IF(F43="NA","NA",5*'User Inputs'!$F$31/10))</f>
        <v>4.3499999999999996</v>
      </c>
      <c r="G103" s="87">
        <f>IF(OR('User Inputs'!$C$45="No",'User Inputs'!$C67="No"),"Not Included", IF(G43="NA","NA",5*'User Inputs'!$F$32/10))</f>
        <v>4.7</v>
      </c>
      <c r="H103" s="87">
        <f>IF(OR('User Inputs'!$C$45="No",'User Inputs'!$C67="No"),"Not Included", IF(H43="NA","NA",5*'User Inputs'!$F$33/10))</f>
        <v>3.65</v>
      </c>
      <c r="I103" s="87">
        <f>IF(OR('User Inputs'!$C$45="No",'User Inputs'!$C67="No"),"Not Included", IF(I43="NA","NA",5*'User Inputs'!$F$34/10))</f>
        <v>4.5999999999999996</v>
      </c>
      <c r="J103" s="87">
        <f>IF(OR('User Inputs'!$C$45="No",'User Inputs'!$C67="No"),"Not Included", IF(J43="NA","NA",5*'User Inputs'!$F$35/10))</f>
        <v>3.85</v>
      </c>
      <c r="K103" s="322">
        <f>IF(OR('User Inputs'!$C$45="No",'User Inputs'!$C67="No"),"Not Included", IF(K43="NA","NA",5*'User Inputs'!$F$36/10))</f>
        <v>3.7</v>
      </c>
      <c r="L103" s="322">
        <f>IF(OR('User Inputs'!$C$45="No",'User Inputs'!$C67="No"),"Not Included", IF(L43="NA","NA",5*'User Inputs'!$F$37/10))</f>
        <v>3.9</v>
      </c>
      <c r="M103" s="321">
        <f>IF(OR('User Inputs'!$C$45="No",'User Inputs'!$C67="No"),"Not Included", IF(M43="NA","NA",5*'User Inputs'!$F$38/10))</f>
        <v>4.25</v>
      </c>
      <c r="N103" s="322">
        <f>IF(OR('User Inputs'!$C$45="No",'User Inputs'!$C67="No"),"Not Included", IF(N43="NA","NA",5*'User Inputs'!$F$39/10))</f>
        <v>5</v>
      </c>
      <c r="O103" s="104">
        <f>IF(OR('User Inputs'!$C$45="No",'User Inputs'!$C67="No"),"Not Included", IF(O43="NA","NA",5*'User Inputs'!$F$40/10))</f>
        <v>5</v>
      </c>
      <c r="P103" s="87"/>
      <c r="Q103" s="87"/>
      <c r="AI103" s="18"/>
      <c r="AJ103" s="18"/>
    </row>
    <row r="104" spans="1:36" hidden="1" x14ac:dyDescent="0.25">
      <c r="B104" s="65" t="str">
        <f t="shared" si="31"/>
        <v>Recycled Water</v>
      </c>
      <c r="C104" s="87">
        <f>IF(OR('User Inputs'!$C$45="No",'User Inputs'!$C68="No"),"Not Included", IF(C44="NA","NA",5*'User Inputs'!$F$28/10))</f>
        <v>4.0999999999999996</v>
      </c>
      <c r="D104" s="87">
        <f>IF(OR('User Inputs'!$C$45="No",'User Inputs'!$C68="No"),"Not Included", IF(D44="NA","NA",5*'User Inputs'!$F$29/10))</f>
        <v>4.8</v>
      </c>
      <c r="E104" s="87">
        <f>IF(OR('User Inputs'!$C$45="No",'User Inputs'!$C68="No"),"Not Included", IF(E44="NA","NA",5*'User Inputs'!$F$30/10))</f>
        <v>4.25</v>
      </c>
      <c r="F104" s="423">
        <f>IF(OR('User Inputs'!$C$45="No",'User Inputs'!$C68="No"),"Not Included", IF(F44="NA","NA",5*'User Inputs'!$F$31/10))</f>
        <v>4.3499999999999996</v>
      </c>
      <c r="G104" s="87">
        <f>IF(OR('User Inputs'!$C$45="No",'User Inputs'!$C68="No"),"Not Included", IF(G44="NA","NA",5*'User Inputs'!$F$32/10))</f>
        <v>4.7</v>
      </c>
      <c r="H104" s="87">
        <f>IF(OR('User Inputs'!$C$45="No",'User Inputs'!$C68="No"),"Not Included", IF(H44="NA","NA",5*'User Inputs'!$F$33/10))</f>
        <v>3.65</v>
      </c>
      <c r="I104" s="87">
        <f>IF(OR('User Inputs'!$C$45="No",'User Inputs'!$C68="No"),"Not Included", IF(I44="NA","NA",5*'User Inputs'!$F$34/10))</f>
        <v>4.5999999999999996</v>
      </c>
      <c r="J104" s="87">
        <f>IF(OR('User Inputs'!$C$45="No",'User Inputs'!$C68="No"),"Not Included", IF(J44="NA","NA",5*'User Inputs'!$F$35/10))</f>
        <v>3.85</v>
      </c>
      <c r="K104" s="322">
        <f>IF(OR('User Inputs'!$C$45="No",'User Inputs'!$C68="No"),"Not Included", IF(K44="NA","NA",5*'User Inputs'!$F$36/10))</f>
        <v>3.7</v>
      </c>
      <c r="L104" s="322">
        <f>IF(OR('User Inputs'!$C$45="No",'User Inputs'!$C68="No"),"Not Included", IF(L44="NA","NA",5*'User Inputs'!$F$37/10))</f>
        <v>3.9</v>
      </c>
      <c r="M104" s="321">
        <f>IF(OR('User Inputs'!$C$45="No",'User Inputs'!$C68="No"),"Not Included", IF(M44="NA","NA",5*'User Inputs'!$F$38/10))</f>
        <v>4.25</v>
      </c>
      <c r="N104" s="322">
        <f>IF(OR('User Inputs'!$C$45="No",'User Inputs'!$C68="No"),"Not Included", IF(N44="NA","NA",5*'User Inputs'!$F$39/10))</f>
        <v>5</v>
      </c>
      <c r="O104" s="104">
        <f>IF(OR('User Inputs'!$C$45="No",'User Inputs'!$C68="No"),"Not Included", IF(O44="NA","NA",5*'User Inputs'!$F$40/10))</f>
        <v>5</v>
      </c>
      <c r="P104" s="87"/>
      <c r="Q104" s="87"/>
      <c r="AI104" s="18"/>
      <c r="AJ104" s="18"/>
    </row>
    <row r="105" spans="1:36" hidden="1" x14ac:dyDescent="0.25">
      <c r="B105" s="65" t="str">
        <f t="shared" si="31"/>
        <v>Seawater Desalination</v>
      </c>
      <c r="C105" s="87">
        <f>IF(OR('User Inputs'!$C$45="No",'User Inputs'!$C69="No"),"Not Included", IF(C45="NA","NA",5*'User Inputs'!$F$28/10))</f>
        <v>4.0999999999999996</v>
      </c>
      <c r="D105" s="87">
        <f>IF(OR('User Inputs'!$C$45="No",'User Inputs'!$C69="No"),"Not Included", IF(D45="NA","NA",5*'User Inputs'!$F$29/10))</f>
        <v>4.8</v>
      </c>
      <c r="E105" s="87">
        <f>IF(OR('User Inputs'!$C$45="No",'User Inputs'!$C69="No"),"Not Included", IF(E45="NA","NA",5*'User Inputs'!$F$30/10))</f>
        <v>4.25</v>
      </c>
      <c r="F105" s="423" t="str">
        <f>IF(OR('User Inputs'!$C$45="No",'User Inputs'!$C69="No"),"Not Included", IF(F45="NA","NA",5*'User Inputs'!$F$31/10))</f>
        <v>NA</v>
      </c>
      <c r="G105" s="87">
        <f>IF(OR('User Inputs'!$C$45="No",'User Inputs'!$C69="No"),"Not Included", IF(G45="NA","NA",5*'User Inputs'!$F$32/10))</f>
        <v>4.7</v>
      </c>
      <c r="H105" s="87">
        <f>IF(OR('User Inputs'!$C$45="No",'User Inputs'!$C69="No"),"Not Included", IF(H45="NA","NA",5*'User Inputs'!$F$33/10))</f>
        <v>3.65</v>
      </c>
      <c r="I105" s="87">
        <f>IF(OR('User Inputs'!$C$45="No",'User Inputs'!$C69="No"),"Not Included", IF(I45="NA","NA",5*'User Inputs'!$F$34/10))</f>
        <v>4.5999999999999996</v>
      </c>
      <c r="J105" s="87">
        <f>IF(OR('User Inputs'!$C$45="No",'User Inputs'!$C69="No"),"Not Included", IF(J45="NA","NA",5*'User Inputs'!$F$35/10))</f>
        <v>3.85</v>
      </c>
      <c r="K105" s="322">
        <f>IF(OR('User Inputs'!$C$45="No",'User Inputs'!$C69="No"),"Not Included", IF(K45="NA","NA",5*'User Inputs'!$F$36/10))</f>
        <v>3.7</v>
      </c>
      <c r="L105" s="322">
        <f>IF(OR('User Inputs'!$C$45="No",'User Inputs'!$C69="No"),"Not Included", IF(L45="NA","NA",5*'User Inputs'!$F$37/10))</f>
        <v>3.9</v>
      </c>
      <c r="M105" s="321">
        <f>IF(OR('User Inputs'!$C$45="No",'User Inputs'!$C69="No"),"Not Included", IF(M45="NA","NA",5*'User Inputs'!$F$38/10))</f>
        <v>4.25</v>
      </c>
      <c r="N105" s="322">
        <f>IF(OR('User Inputs'!$C$45="No",'User Inputs'!$C69="No"),"Not Included", IF(N45="NA","NA",5*'User Inputs'!$F$39/10))</f>
        <v>5</v>
      </c>
      <c r="O105" s="104">
        <f>IF(OR('User Inputs'!$C$45="No",'User Inputs'!$C69="No"),"Not Included", IF(O45="NA","NA",5*'User Inputs'!$F$40/10))</f>
        <v>5</v>
      </c>
      <c r="P105" s="87"/>
      <c r="Q105" s="87"/>
      <c r="AI105" s="18"/>
      <c r="AJ105" s="18"/>
    </row>
    <row r="106" spans="1:36" hidden="1" x14ac:dyDescent="0.25">
      <c r="B106" s="65" t="str">
        <f t="shared" si="31"/>
        <v>Stormwater BMPs</v>
      </c>
      <c r="C106" s="87">
        <f>IF(OR('User Inputs'!$C$45="No",'User Inputs'!$C70="No"),"Not Included", IF(C46="NA","NA",5*'User Inputs'!$F$28/10))</f>
        <v>4.0999999999999996</v>
      </c>
      <c r="D106" s="87">
        <f>IF(OR('User Inputs'!$C$45="No",'User Inputs'!$C70="No"),"Not Included", IF(D46="NA","NA",5*'User Inputs'!$F$29/10))</f>
        <v>4.8</v>
      </c>
      <c r="E106" s="87">
        <f>IF(OR('User Inputs'!$C$45="No",'User Inputs'!$C70="No"),"Not Included", IF(E46="NA","NA",5*'User Inputs'!$F$30/10))</f>
        <v>4.25</v>
      </c>
      <c r="F106" s="423">
        <f>IF(OR('User Inputs'!$C$45="No",'User Inputs'!$C70="No"),"Not Included", IF(F46="NA","NA",5*'User Inputs'!$F$31/10))</f>
        <v>4.3499999999999996</v>
      </c>
      <c r="G106" s="87">
        <f>IF(OR('User Inputs'!$C$45="No",'User Inputs'!$C70="No"),"Not Included", IF(G46="NA","NA",5*'User Inputs'!$F$32/10))</f>
        <v>4.7</v>
      </c>
      <c r="H106" s="87">
        <f>IF(OR('User Inputs'!$C$45="No",'User Inputs'!$C70="No"),"Not Included", IF(H46="NA","NA",5*'User Inputs'!$F$33/10))</f>
        <v>3.65</v>
      </c>
      <c r="I106" s="87">
        <f>IF(OR('User Inputs'!$C$45="No",'User Inputs'!$C70="No"),"Not Included", IF(I46="NA","NA",5*'User Inputs'!$F$34/10))</f>
        <v>4.5999999999999996</v>
      </c>
      <c r="J106" s="87">
        <f>IF(OR('User Inputs'!$C$45="No",'User Inputs'!$C70="No"),"Not Included", IF(J46="NA","NA",5*'User Inputs'!$F$35/10))</f>
        <v>3.85</v>
      </c>
      <c r="K106" s="322">
        <f>IF(OR('User Inputs'!$C$45="No",'User Inputs'!$C70="No"),"Not Included", IF(K46="NA","NA",5*'User Inputs'!$F$36/10))</f>
        <v>3.7</v>
      </c>
      <c r="L106" s="322">
        <f>IF(OR('User Inputs'!$C$45="No",'User Inputs'!$C70="No"),"Not Included", IF(L46="NA","NA",5*'User Inputs'!$F$37/10))</f>
        <v>3.9</v>
      </c>
      <c r="M106" s="321">
        <f>IF(OR('User Inputs'!$C$45="No",'User Inputs'!$C70="No"),"Not Included", IF(M46="NA","NA",5*'User Inputs'!$F$38/10))</f>
        <v>4.25</v>
      </c>
      <c r="N106" s="322">
        <f>IF(OR('User Inputs'!$C$45="No",'User Inputs'!$C70="No"),"Not Included", IF(N46="NA","NA",5*'User Inputs'!$F$39/10))</f>
        <v>5</v>
      </c>
      <c r="O106" s="104">
        <f>IF(OR('User Inputs'!$C$45="No",'User Inputs'!$C70="No"),"Not Included", IF(O46="NA","NA",5*'User Inputs'!$F$40/10))</f>
        <v>5</v>
      </c>
      <c r="P106" s="87"/>
      <c r="Q106" s="87"/>
      <c r="AI106" s="18"/>
      <c r="AJ106" s="18"/>
    </row>
    <row r="107" spans="1:36" hidden="1" x14ac:dyDescent="0.25">
      <c r="B107" s="65" t="str">
        <f t="shared" si="31"/>
        <v>Stormwater Capture</v>
      </c>
      <c r="C107" s="87">
        <f>IF(OR('User Inputs'!$C$45="No",'User Inputs'!$C71="No"),"Not Included", IF(C47="NA","NA",5*'User Inputs'!$F$28/10))</f>
        <v>4.0999999999999996</v>
      </c>
      <c r="D107" s="87">
        <f>IF(OR('User Inputs'!$C$45="No",'User Inputs'!$C71="No"),"Not Included", IF(D47="NA","NA",5*'User Inputs'!$F$29/10))</f>
        <v>4.8</v>
      </c>
      <c r="E107" s="87">
        <f>IF(OR('User Inputs'!$C$45="No",'User Inputs'!$C71="No"),"Not Included", IF(E47="NA","NA",5*'User Inputs'!$F$30/10))</f>
        <v>4.25</v>
      </c>
      <c r="F107" s="423">
        <f>IF(OR('User Inputs'!$C$45="No",'User Inputs'!$C71="No"),"Not Included", IF(F47="NA","NA",5*'User Inputs'!$F$31/10))</f>
        <v>4.3499999999999996</v>
      </c>
      <c r="G107" s="87">
        <f>IF(OR('User Inputs'!$C$45="No",'User Inputs'!$C71="No"),"Not Included", IF(G47="NA","NA",5*'User Inputs'!$F$32/10))</f>
        <v>4.7</v>
      </c>
      <c r="H107" s="87">
        <f>IF(OR('User Inputs'!$C$45="No",'User Inputs'!$C71="No"),"Not Included", IF(H47="NA","NA",5*'User Inputs'!$F$33/10))</f>
        <v>3.65</v>
      </c>
      <c r="I107" s="87">
        <f>IF(OR('User Inputs'!$C$45="No",'User Inputs'!$C71="No"),"Not Included", IF(I47="NA","NA",5*'User Inputs'!$F$34/10))</f>
        <v>4.5999999999999996</v>
      </c>
      <c r="J107" s="87">
        <f>IF(OR('User Inputs'!$C$45="No",'User Inputs'!$C71="No"),"Not Included", IF(J47="NA","NA",5*'User Inputs'!$F$35/10))</f>
        <v>3.85</v>
      </c>
      <c r="K107" s="322">
        <f>IF(OR('User Inputs'!$C$45="No",'User Inputs'!$C71="No"),"Not Included", IF(K47="NA","NA",5*'User Inputs'!$F$36/10))</f>
        <v>3.7</v>
      </c>
      <c r="L107" s="322">
        <f>IF(OR('User Inputs'!$C$45="No",'User Inputs'!$C71="No"),"Not Included", IF(L47="NA","NA",5*'User Inputs'!$F$37/10))</f>
        <v>3.9</v>
      </c>
      <c r="M107" s="321">
        <f>IF(OR('User Inputs'!$C$45="No",'User Inputs'!$C71="No"),"Not Included", IF(M47="NA","NA",5*'User Inputs'!$F$38/10))</f>
        <v>4.25</v>
      </c>
      <c r="N107" s="322">
        <f>IF(OR('User Inputs'!$C$45="No",'User Inputs'!$C71="No"),"Not Included", IF(N47="NA","NA",5*'User Inputs'!$F$39/10))</f>
        <v>5</v>
      </c>
      <c r="O107" s="104">
        <f>IF(OR('User Inputs'!$C$45="No",'User Inputs'!$C71="No"),"Not Included", IF(O47="NA","NA",5*'User Inputs'!$F$40/10))</f>
        <v>5</v>
      </c>
      <c r="P107" s="87"/>
      <c r="Q107" s="87"/>
      <c r="AI107" s="18"/>
      <c r="AJ107" s="18"/>
    </row>
    <row r="108" spans="1:36" hidden="1" x14ac:dyDescent="0.25">
      <c r="B108" s="65" t="str">
        <f t="shared" si="31"/>
        <v>Urban &amp; Ag. Water Use Efficiency</v>
      </c>
      <c r="C108" s="87">
        <f>IF(OR('User Inputs'!$C$45="No",'User Inputs'!$C72="No"),"Not Included", IF(C48="NA","NA",5*'User Inputs'!$F$28/10))</f>
        <v>4.0999999999999996</v>
      </c>
      <c r="D108" s="87">
        <f>IF(OR('User Inputs'!$C$45="No",'User Inputs'!$C72="No"),"Not Included", IF(D48="NA","NA",5*'User Inputs'!$F$29/10))</f>
        <v>4.8</v>
      </c>
      <c r="E108" s="87">
        <f>IF(OR('User Inputs'!$C$45="No",'User Inputs'!$C72="No"),"Not Included", IF(E48="NA","NA",5*'User Inputs'!$F$30/10))</f>
        <v>4.25</v>
      </c>
      <c r="F108" s="423">
        <f>IF(OR('User Inputs'!$C$45="No",'User Inputs'!$C72="No"),"Not Included", IF(F48="NA","NA",5*'User Inputs'!$F$31/10))</f>
        <v>4.3499999999999996</v>
      </c>
      <c r="G108" s="87">
        <f>IF(OR('User Inputs'!$C$45="No",'User Inputs'!$C72="No"),"Not Included", IF(G48="NA","NA",5*'User Inputs'!$F$32/10))</f>
        <v>4.7</v>
      </c>
      <c r="H108" s="87">
        <f>IF(OR('User Inputs'!$C$45="No",'User Inputs'!$C72="No"),"Not Included", IF(H48="NA","NA",5*'User Inputs'!$F$33/10))</f>
        <v>3.65</v>
      </c>
      <c r="I108" s="87">
        <f>IF(OR('User Inputs'!$C$45="No",'User Inputs'!$C72="No"),"Not Included", IF(I48="NA","NA",5*'User Inputs'!$F$34/10))</f>
        <v>4.5999999999999996</v>
      </c>
      <c r="J108" s="87">
        <f>IF(OR('User Inputs'!$C$45="No",'User Inputs'!$C72="No"),"Not Included", IF(J48="NA","NA",5*'User Inputs'!$F$35/10))</f>
        <v>3.85</v>
      </c>
      <c r="K108" s="322">
        <f>IF(OR('User Inputs'!$C$45="No",'User Inputs'!$C72="No"),"Not Included", IF(K48="NA","NA",5*'User Inputs'!$F$36/10))</f>
        <v>3.7</v>
      </c>
      <c r="L108" s="322">
        <f>IF(OR('User Inputs'!$C$45="No",'User Inputs'!$C72="No"),"Not Included", IF(L48="NA","NA",5*'User Inputs'!$F$37/10))</f>
        <v>3.9</v>
      </c>
      <c r="M108" s="321">
        <f>IF(OR('User Inputs'!$C$45="No",'User Inputs'!$C72="No"),"Not Included", IF(M48="NA","NA",5*'User Inputs'!$F$38/10))</f>
        <v>4.25</v>
      </c>
      <c r="N108" s="322">
        <f>IF(OR('User Inputs'!$C$45="No",'User Inputs'!$C72="No"),"Not Included", IF(N48="NA","NA",5*'User Inputs'!$F$39/10))</f>
        <v>5</v>
      </c>
      <c r="O108" s="104">
        <f>IF(OR('User Inputs'!$C$45="No",'User Inputs'!$C72="No"),"Not Included", IF(O48="NA","NA",5*'User Inputs'!$F$40/10))</f>
        <v>5</v>
      </c>
      <c r="P108" s="87"/>
      <c r="Q108" s="87"/>
      <c r="AI108" s="18"/>
      <c r="AJ108" s="18"/>
    </row>
    <row r="109" spans="1:36" ht="15.75" hidden="1" thickBot="1" x14ac:dyDescent="0.3">
      <c r="B109" s="105" t="str">
        <f t="shared" si="31"/>
        <v>Watershed and Ecosystem Management</v>
      </c>
      <c r="C109" s="88">
        <f>IF(OR('User Inputs'!$C$45="No",'User Inputs'!$C73="No"),"Not Included", IF(C49="NA","NA",5*'User Inputs'!$F$28/10))</f>
        <v>4.0999999999999996</v>
      </c>
      <c r="D109" s="88">
        <f>IF(OR('User Inputs'!$C$45="No",'User Inputs'!$C73="No"),"Not Included", IF(D49="NA","NA",5*'User Inputs'!$F$29/10))</f>
        <v>4.8</v>
      </c>
      <c r="E109" s="88">
        <f>IF(OR('User Inputs'!$C$45="No",'User Inputs'!$C73="No"),"Not Included", IF(E49="NA","NA",5*'User Inputs'!$F$30/10))</f>
        <v>4.25</v>
      </c>
      <c r="F109" s="424">
        <f>IF(OR('User Inputs'!$C$45="No",'User Inputs'!$C73="No"),"Not Included", IF(F49="NA","NA",5*'User Inputs'!$F$31/10))</f>
        <v>4.3499999999999996</v>
      </c>
      <c r="G109" s="88">
        <f>IF(OR('User Inputs'!$C$45="No",'User Inputs'!$C73="No"),"Not Included", IF(G49="NA","NA",5*'User Inputs'!$F$32/10))</f>
        <v>4.7</v>
      </c>
      <c r="H109" s="88">
        <f>IF(OR('User Inputs'!$C$45="No",'User Inputs'!$C73="No"),"Not Included", IF(H49="NA","NA",5*'User Inputs'!$F$33/10))</f>
        <v>3.65</v>
      </c>
      <c r="I109" s="88">
        <f>IF(OR('User Inputs'!$C$45="No",'User Inputs'!$C73="No"),"Not Included", IF(I49="NA","NA",5*'User Inputs'!$F$34/10))</f>
        <v>4.5999999999999996</v>
      </c>
      <c r="J109" s="88">
        <f>IF(OR('User Inputs'!$C$45="No",'User Inputs'!$C73="No"),"Not Included", IF(J49="NA","NA",5*'User Inputs'!$F$35/10))</f>
        <v>3.85</v>
      </c>
      <c r="K109" s="323">
        <f>IF(OR('User Inputs'!$C$45="No",'User Inputs'!$C73="No"),"Not Included", IF(K49="NA","NA",5*'User Inputs'!$F$36/10))</f>
        <v>3.7</v>
      </c>
      <c r="L109" s="323">
        <f>IF(OR('User Inputs'!$C$45="No",'User Inputs'!$C73="No"),"Not Included", IF(L49="NA","NA",5*'User Inputs'!$F$37/10))</f>
        <v>3.9</v>
      </c>
      <c r="M109" s="323">
        <f>IF(OR('User Inputs'!$C$45="No",'User Inputs'!$C73="No"),"Not Included", IF(M49="NA","NA",5*'User Inputs'!$F$38/10))</f>
        <v>4.25</v>
      </c>
      <c r="N109" s="323">
        <f>IF(OR('User Inputs'!$C$45="No",'User Inputs'!$C73="No"),"Not Included", IF(N49="NA","NA",5*'User Inputs'!$F$39/10))</f>
        <v>5</v>
      </c>
      <c r="O109" s="106">
        <f>IF(OR('User Inputs'!$C$45="No",'User Inputs'!$C73="No"),"Not Included", IF(O49="NA","NA",5*'User Inputs'!$F$40/10))</f>
        <v>5</v>
      </c>
      <c r="P109" s="87"/>
      <c r="Q109" s="87"/>
      <c r="AI109" s="18"/>
      <c r="AJ109" s="18"/>
    </row>
    <row r="110" spans="1:36" hidden="1" x14ac:dyDescent="0.25">
      <c r="AI110" s="18"/>
      <c r="AJ110" s="18"/>
    </row>
    <row r="111" spans="1:36" hidden="1" x14ac:dyDescent="0.25">
      <c r="AI111" s="18"/>
      <c r="AJ111" s="18"/>
    </row>
    <row r="112" spans="1:36" hidden="1" x14ac:dyDescent="0.25">
      <c r="AI112" s="18"/>
      <c r="AJ112" s="18"/>
    </row>
    <row r="113" spans="35:36" hidden="1" x14ac:dyDescent="0.25">
      <c r="AI113" s="18"/>
      <c r="AJ113" s="18"/>
    </row>
    <row r="114" spans="35:36" hidden="1" x14ac:dyDescent="0.25">
      <c r="AI114" s="18"/>
      <c r="AJ114" s="18"/>
    </row>
    <row r="115" spans="35:36" x14ac:dyDescent="0.25">
      <c r="AI115" s="18"/>
      <c r="AJ115" s="18"/>
    </row>
    <row r="116" spans="35:36" x14ac:dyDescent="0.25">
      <c r="AI116" s="18"/>
      <c r="AJ116" s="18"/>
    </row>
    <row r="117" spans="35:36" x14ac:dyDescent="0.25">
      <c r="AI117" s="18"/>
      <c r="AJ117" s="18"/>
    </row>
    <row r="118" spans="35:36" x14ac:dyDescent="0.25">
      <c r="AI118" s="18"/>
      <c r="AJ118" s="18"/>
    </row>
    <row r="119" spans="35:36" x14ac:dyDescent="0.25">
      <c r="AI119" s="18"/>
      <c r="AJ119" s="18"/>
    </row>
    <row r="120" spans="35:36" x14ac:dyDescent="0.25">
      <c r="AI120" s="18"/>
      <c r="AJ120" s="18"/>
    </row>
    <row r="121" spans="35:36" x14ac:dyDescent="0.25">
      <c r="AI121" s="18"/>
      <c r="AJ121" s="18"/>
    </row>
    <row r="122" spans="35:36" x14ac:dyDescent="0.25">
      <c r="AI122" s="18"/>
      <c r="AJ122" s="18"/>
    </row>
    <row r="123" spans="35:36" x14ac:dyDescent="0.25">
      <c r="AI123" s="18"/>
      <c r="AJ123" s="18"/>
    </row>
    <row r="124" spans="35:36" x14ac:dyDescent="0.25">
      <c r="AI124" s="18"/>
      <c r="AJ124" s="18"/>
    </row>
    <row r="125" spans="35:36" x14ac:dyDescent="0.25">
      <c r="AI125" s="18"/>
      <c r="AJ125" s="18"/>
    </row>
    <row r="126" spans="35:36" x14ac:dyDescent="0.25">
      <c r="AI126" s="18"/>
      <c r="AJ126" s="18"/>
    </row>
    <row r="127" spans="35:36" x14ac:dyDescent="0.25">
      <c r="AI127" s="18"/>
      <c r="AJ127" s="18"/>
    </row>
    <row r="128" spans="35:36" x14ac:dyDescent="0.25">
      <c r="AI128" s="18"/>
      <c r="AJ128" s="18"/>
    </row>
    <row r="129" spans="35:36" x14ac:dyDescent="0.25">
      <c r="AI129" s="18"/>
      <c r="AJ129" s="18"/>
    </row>
    <row r="130" spans="35:36" x14ac:dyDescent="0.25">
      <c r="AI130" s="18"/>
      <c r="AJ130" s="18"/>
    </row>
    <row r="131" spans="35:36" x14ac:dyDescent="0.25">
      <c r="AI131" s="18"/>
      <c r="AJ131" s="18"/>
    </row>
    <row r="132" spans="35:36" x14ac:dyDescent="0.25">
      <c r="AI132" s="18"/>
      <c r="AJ132" s="18"/>
    </row>
    <row r="133" spans="35:36" x14ac:dyDescent="0.25">
      <c r="AI133" s="18"/>
      <c r="AJ133" s="18"/>
    </row>
    <row r="134" spans="35:36" x14ac:dyDescent="0.25">
      <c r="AI134" s="18"/>
      <c r="AJ134" s="18"/>
    </row>
    <row r="135" spans="35:36" x14ac:dyDescent="0.25">
      <c r="AI135" s="18"/>
      <c r="AJ135" s="18"/>
    </row>
    <row r="136" spans="35:36" x14ac:dyDescent="0.25">
      <c r="AI136" s="18"/>
      <c r="AJ136" s="18"/>
    </row>
    <row r="137" spans="35:36" x14ac:dyDescent="0.25">
      <c r="AI137" s="18"/>
      <c r="AJ137" s="18"/>
    </row>
    <row r="138" spans="35:36" x14ac:dyDescent="0.25">
      <c r="AI138" s="18"/>
      <c r="AJ138" s="18"/>
    </row>
    <row r="139" spans="35:36" x14ac:dyDescent="0.25">
      <c r="AI139" s="18"/>
      <c r="AJ139" s="18"/>
    </row>
    <row r="140" spans="35:36" x14ac:dyDescent="0.25">
      <c r="AI140" s="18"/>
      <c r="AJ140" s="18"/>
    </row>
    <row r="141" spans="35:36" x14ac:dyDescent="0.25">
      <c r="AI141" s="18"/>
      <c r="AJ141" s="18"/>
    </row>
    <row r="142" spans="35:36" x14ac:dyDescent="0.25">
      <c r="AI142" s="18"/>
      <c r="AJ142" s="18"/>
    </row>
    <row r="143" spans="35:36" x14ac:dyDescent="0.25">
      <c r="AI143" s="18"/>
      <c r="AJ143" s="18"/>
    </row>
    <row r="144" spans="35:36" x14ac:dyDescent="0.25">
      <c r="AI144" s="18"/>
      <c r="AJ144" s="18"/>
    </row>
    <row r="145" spans="35:36" x14ac:dyDescent="0.25">
      <c r="AI145" s="18"/>
      <c r="AJ145" s="18"/>
    </row>
    <row r="146" spans="35:36" x14ac:dyDescent="0.25">
      <c r="AI146" s="18"/>
      <c r="AJ146" s="18"/>
    </row>
    <row r="147" spans="35:36" x14ac:dyDescent="0.25">
      <c r="AI147" s="18"/>
      <c r="AJ147" s="18"/>
    </row>
    <row r="148" spans="35:36" x14ac:dyDescent="0.25">
      <c r="AI148" s="18"/>
      <c r="AJ148" s="18"/>
    </row>
    <row r="149" spans="35:36" x14ac:dyDescent="0.25">
      <c r="AI149" s="18"/>
      <c r="AJ149" s="18"/>
    </row>
    <row r="150" spans="35:36" x14ac:dyDescent="0.25">
      <c r="AI150" s="18"/>
      <c r="AJ150" s="18"/>
    </row>
    <row r="151" spans="35:36" x14ac:dyDescent="0.25">
      <c r="AI151" s="18"/>
      <c r="AJ151" s="18"/>
    </row>
    <row r="152" spans="35:36" x14ac:dyDescent="0.25">
      <c r="AI152" s="18"/>
      <c r="AJ152" s="18"/>
    </row>
    <row r="153" spans="35:36" x14ac:dyDescent="0.25">
      <c r="AI153" s="18"/>
      <c r="AJ153" s="18"/>
    </row>
    <row r="154" spans="35:36" x14ac:dyDescent="0.25">
      <c r="AI154" s="18"/>
      <c r="AJ154" s="18"/>
    </row>
    <row r="155" spans="35:36" x14ac:dyDescent="0.25">
      <c r="AI155" s="18"/>
      <c r="AJ155" s="18"/>
    </row>
    <row r="156" spans="35:36" x14ac:dyDescent="0.25">
      <c r="AI156" s="18"/>
      <c r="AJ156" s="18"/>
    </row>
    <row r="157" spans="35:36" x14ac:dyDescent="0.25">
      <c r="AI157" s="18"/>
      <c r="AJ157" s="18"/>
    </row>
    <row r="158" spans="35:36" x14ac:dyDescent="0.25">
      <c r="AI158" s="18"/>
      <c r="AJ158" s="18"/>
    </row>
    <row r="159" spans="35:36" x14ac:dyDescent="0.25">
      <c r="AI159" s="18"/>
      <c r="AJ159" s="18"/>
    </row>
    <row r="160" spans="35:36" x14ac:dyDescent="0.25">
      <c r="AI160" s="18"/>
      <c r="AJ160" s="18"/>
    </row>
    <row r="161" spans="35:36" x14ac:dyDescent="0.25">
      <c r="AI161" s="18"/>
      <c r="AJ161" s="18"/>
    </row>
    <row r="162" spans="35:36" x14ac:dyDescent="0.25">
      <c r="AI162" s="18"/>
      <c r="AJ162" s="18"/>
    </row>
    <row r="163" spans="35:36" x14ac:dyDescent="0.25">
      <c r="AI163" s="18"/>
      <c r="AJ163" s="18"/>
    </row>
    <row r="164" spans="35:36" x14ac:dyDescent="0.25">
      <c r="AI164" s="18"/>
      <c r="AJ164" s="18"/>
    </row>
    <row r="165" spans="35:36" x14ac:dyDescent="0.25">
      <c r="AI165" s="18"/>
      <c r="AJ165" s="18"/>
    </row>
    <row r="166" spans="35:36" x14ac:dyDescent="0.25">
      <c r="AI166" s="18"/>
      <c r="AJ166" s="18"/>
    </row>
    <row r="167" spans="35:36" x14ac:dyDescent="0.25">
      <c r="AI167" s="18"/>
      <c r="AJ167" s="18"/>
    </row>
    <row r="168" spans="35:36" x14ac:dyDescent="0.25">
      <c r="AI168" s="18"/>
      <c r="AJ168" s="18"/>
    </row>
    <row r="169" spans="35:36" x14ac:dyDescent="0.25">
      <c r="AI169" s="18"/>
      <c r="AJ169" s="18"/>
    </row>
    <row r="170" spans="35:36" x14ac:dyDescent="0.25">
      <c r="AI170" s="18"/>
      <c r="AJ170" s="18"/>
    </row>
    <row r="171" spans="35:36" x14ac:dyDescent="0.25">
      <c r="AI171" s="18"/>
      <c r="AJ171" s="18"/>
    </row>
    <row r="172" spans="35:36" x14ac:dyDescent="0.25">
      <c r="AI172" s="18"/>
      <c r="AJ172" s="18"/>
    </row>
    <row r="173" spans="35:36" x14ac:dyDescent="0.25">
      <c r="AI173" s="18"/>
      <c r="AJ173" s="18"/>
    </row>
    <row r="174" spans="35:36" x14ac:dyDescent="0.25">
      <c r="AI174" s="18"/>
      <c r="AJ174" s="18"/>
    </row>
    <row r="175" spans="35:36" x14ac:dyDescent="0.25">
      <c r="AI175" s="18"/>
      <c r="AJ175" s="18"/>
    </row>
    <row r="176" spans="35:36" x14ac:dyDescent="0.25">
      <c r="AI176" s="18"/>
      <c r="AJ176" s="18"/>
    </row>
    <row r="177" spans="35:36" x14ac:dyDescent="0.25">
      <c r="AI177" s="18"/>
      <c r="AJ177" s="18"/>
    </row>
    <row r="178" spans="35:36" x14ac:dyDescent="0.25">
      <c r="AI178" s="18"/>
      <c r="AJ178" s="18"/>
    </row>
    <row r="179" spans="35:36" x14ac:dyDescent="0.25">
      <c r="AI179" s="18"/>
      <c r="AJ179" s="18"/>
    </row>
    <row r="180" spans="35:36" x14ac:dyDescent="0.25">
      <c r="AI180" s="18"/>
      <c r="AJ180" s="18"/>
    </row>
    <row r="181" spans="35:36" x14ac:dyDescent="0.25">
      <c r="AI181" s="18"/>
      <c r="AJ181" s="18"/>
    </row>
    <row r="182" spans="35:36" x14ac:dyDescent="0.25">
      <c r="AI182" s="18"/>
      <c r="AJ182" s="18"/>
    </row>
    <row r="183" spans="35:36" x14ac:dyDescent="0.25">
      <c r="AI183" s="18"/>
      <c r="AJ183" s="18"/>
    </row>
    <row r="184" spans="35:36" x14ac:dyDescent="0.25">
      <c r="AI184" s="18"/>
      <c r="AJ184" s="18"/>
    </row>
    <row r="185" spans="35:36" x14ac:dyDescent="0.25">
      <c r="AI185" s="18"/>
      <c r="AJ185" s="18"/>
    </row>
    <row r="186" spans="35:36" x14ac:dyDescent="0.25">
      <c r="AI186" s="18"/>
      <c r="AJ186" s="18"/>
    </row>
    <row r="187" spans="35:36" x14ac:dyDescent="0.25">
      <c r="AI187" s="18"/>
      <c r="AJ187" s="18"/>
    </row>
    <row r="188" spans="35:36" x14ac:dyDescent="0.25">
      <c r="AI188" s="18"/>
      <c r="AJ188" s="18"/>
    </row>
    <row r="189" spans="35:36" x14ac:dyDescent="0.25">
      <c r="AI189" s="18"/>
      <c r="AJ189" s="18"/>
    </row>
    <row r="190" spans="35:36" x14ac:dyDescent="0.25">
      <c r="AI190" s="18"/>
      <c r="AJ190" s="18"/>
    </row>
    <row r="191" spans="35:36" x14ac:dyDescent="0.25">
      <c r="AI191" s="18"/>
      <c r="AJ191" s="18"/>
    </row>
    <row r="192" spans="35:36" x14ac:dyDescent="0.25">
      <c r="AI192" s="18"/>
      <c r="AJ192" s="18"/>
    </row>
    <row r="193" spans="35:36" x14ac:dyDescent="0.25">
      <c r="AI193" s="18"/>
      <c r="AJ193" s="18"/>
    </row>
    <row r="194" spans="35:36" x14ac:dyDescent="0.25">
      <c r="AI194" s="18"/>
      <c r="AJ194" s="18"/>
    </row>
    <row r="195" spans="35:36" x14ac:dyDescent="0.25">
      <c r="AI195" s="18"/>
      <c r="AJ195" s="18"/>
    </row>
    <row r="196" spans="35:36" x14ac:dyDescent="0.25">
      <c r="AI196" s="18"/>
      <c r="AJ196" s="18"/>
    </row>
    <row r="197" spans="35:36" x14ac:dyDescent="0.25">
      <c r="AI197" s="18"/>
      <c r="AJ197" s="18"/>
    </row>
    <row r="198" spans="35:36" x14ac:dyDescent="0.25">
      <c r="AI198" s="18"/>
      <c r="AJ198" s="18"/>
    </row>
    <row r="199" spans="35:36" x14ac:dyDescent="0.25">
      <c r="AI199" s="18"/>
      <c r="AJ199" s="18"/>
    </row>
    <row r="200" spans="35:36" x14ac:dyDescent="0.25">
      <c r="AI200" s="18"/>
      <c r="AJ200" s="18"/>
    </row>
    <row r="201" spans="35:36" x14ac:dyDescent="0.25">
      <c r="AI201" s="18"/>
      <c r="AJ201" s="18"/>
    </row>
    <row r="202" spans="35:36" x14ac:dyDescent="0.25">
      <c r="AI202" s="18"/>
      <c r="AJ202" s="18"/>
    </row>
    <row r="203" spans="35:36" x14ac:dyDescent="0.25">
      <c r="AI203" s="18"/>
      <c r="AJ203" s="18"/>
    </row>
    <row r="204" spans="35:36" x14ac:dyDescent="0.25">
      <c r="AI204" s="18"/>
      <c r="AJ204" s="18"/>
    </row>
    <row r="205" spans="35:36" x14ac:dyDescent="0.25">
      <c r="AI205" s="18"/>
      <c r="AJ205" s="18"/>
    </row>
    <row r="206" spans="35:36" x14ac:dyDescent="0.25">
      <c r="AI206" s="18"/>
      <c r="AJ206" s="18"/>
    </row>
    <row r="207" spans="35:36" x14ac:dyDescent="0.25">
      <c r="AI207" s="18"/>
      <c r="AJ207" s="18"/>
    </row>
    <row r="208" spans="35:36" x14ac:dyDescent="0.25">
      <c r="AI208" s="18"/>
      <c r="AJ208" s="18"/>
    </row>
    <row r="209" spans="35:36" x14ac:dyDescent="0.25">
      <c r="AI209" s="18"/>
      <c r="AJ209" s="18"/>
    </row>
    <row r="210" spans="35:36" x14ac:dyDescent="0.25">
      <c r="AI210" s="18"/>
      <c r="AJ210" s="18"/>
    </row>
    <row r="211" spans="35:36" x14ac:dyDescent="0.25">
      <c r="AI211" s="18"/>
      <c r="AJ211" s="18"/>
    </row>
    <row r="212" spans="35:36" x14ac:dyDescent="0.25">
      <c r="AI212" s="18"/>
      <c r="AJ212" s="18"/>
    </row>
    <row r="213" spans="35:36" x14ac:dyDescent="0.25">
      <c r="AI213" s="18"/>
      <c r="AJ213" s="18"/>
    </row>
    <row r="214" spans="35:36" x14ac:dyDescent="0.25">
      <c r="AI214" s="18"/>
      <c r="AJ214" s="18"/>
    </row>
    <row r="215" spans="35:36" x14ac:dyDescent="0.25">
      <c r="AI215" s="18"/>
      <c r="AJ215" s="18"/>
    </row>
    <row r="216" spans="35:36" x14ac:dyDescent="0.25">
      <c r="AI216" s="18"/>
      <c r="AJ216" s="18"/>
    </row>
    <row r="217" spans="35:36" x14ac:dyDescent="0.25">
      <c r="AI217" s="18"/>
      <c r="AJ217" s="18"/>
    </row>
    <row r="218" spans="35:36" x14ac:dyDescent="0.25">
      <c r="AI218" s="18"/>
      <c r="AJ218" s="18"/>
    </row>
    <row r="219" spans="35:36" x14ac:dyDescent="0.25">
      <c r="AI219" s="18"/>
      <c r="AJ219" s="18"/>
    </row>
    <row r="220" spans="35:36" x14ac:dyDescent="0.25">
      <c r="AI220" s="18"/>
      <c r="AJ220" s="18"/>
    </row>
    <row r="221" spans="35:36" x14ac:dyDescent="0.25">
      <c r="AI221" s="18"/>
      <c r="AJ221" s="18"/>
    </row>
    <row r="222" spans="35:36" x14ac:dyDescent="0.25">
      <c r="AI222" s="18"/>
      <c r="AJ222" s="18"/>
    </row>
    <row r="223" spans="35:36" x14ac:dyDescent="0.25">
      <c r="AI223" s="18"/>
      <c r="AJ223" s="18"/>
    </row>
    <row r="224" spans="35:36" x14ac:dyDescent="0.25">
      <c r="AI224" s="18"/>
      <c r="AJ224" s="18"/>
    </row>
    <row r="225" spans="35:36" x14ac:dyDescent="0.25">
      <c r="AI225" s="18"/>
      <c r="AJ225" s="18"/>
    </row>
    <row r="226" spans="35:36" x14ac:dyDescent="0.25">
      <c r="AI226" s="18"/>
      <c r="AJ226" s="18"/>
    </row>
    <row r="227" spans="35:36" x14ac:dyDescent="0.25">
      <c r="AI227" s="18"/>
      <c r="AJ227" s="18"/>
    </row>
    <row r="228" spans="35:36" x14ac:dyDescent="0.25">
      <c r="AI228" s="18"/>
      <c r="AJ228" s="18"/>
    </row>
    <row r="229" spans="35:36" x14ac:dyDescent="0.25">
      <c r="AI229" s="18"/>
      <c r="AJ229" s="18"/>
    </row>
    <row r="230" spans="35:36" x14ac:dyDescent="0.25">
      <c r="AI230" s="18"/>
      <c r="AJ230" s="18"/>
    </row>
    <row r="231" spans="35:36" x14ac:dyDescent="0.25">
      <c r="AI231" s="18"/>
      <c r="AJ231" s="18"/>
    </row>
    <row r="232" spans="35:36" x14ac:dyDescent="0.25">
      <c r="AI232" s="18"/>
      <c r="AJ232" s="18"/>
    </row>
    <row r="233" spans="35:36" x14ac:dyDescent="0.25">
      <c r="AI233" s="18"/>
      <c r="AJ233" s="18"/>
    </row>
    <row r="234" spans="35:36" x14ac:dyDescent="0.25">
      <c r="AI234" s="18"/>
      <c r="AJ234" s="18"/>
    </row>
    <row r="235" spans="35:36" x14ac:dyDescent="0.25">
      <c r="AI235" s="18"/>
      <c r="AJ235" s="18"/>
    </row>
    <row r="236" spans="35:36" x14ac:dyDescent="0.25">
      <c r="AI236" s="18"/>
      <c r="AJ236" s="18"/>
    </row>
    <row r="237" spans="35:36" x14ac:dyDescent="0.25">
      <c r="AI237" s="18"/>
      <c r="AJ237" s="18"/>
    </row>
    <row r="238" spans="35:36" x14ac:dyDescent="0.25">
      <c r="AI238" s="18"/>
      <c r="AJ238" s="18"/>
    </row>
    <row r="239" spans="35:36" x14ac:dyDescent="0.25">
      <c r="AI239" s="18"/>
      <c r="AJ239" s="18"/>
    </row>
    <row r="240" spans="35:36" x14ac:dyDescent="0.25">
      <c r="AI240" s="18"/>
      <c r="AJ240" s="18"/>
    </row>
    <row r="241" spans="35:36" x14ac:dyDescent="0.25">
      <c r="AI241" s="18"/>
      <c r="AJ241" s="18"/>
    </row>
    <row r="242" spans="35:36" x14ac:dyDescent="0.25">
      <c r="AI242" s="18"/>
      <c r="AJ242" s="18"/>
    </row>
    <row r="243" spans="35:36" x14ac:dyDescent="0.25">
      <c r="AI243" s="18"/>
      <c r="AJ243" s="18"/>
    </row>
    <row r="244" spans="35:36" x14ac:dyDescent="0.25">
      <c r="AI244" s="18"/>
      <c r="AJ244" s="18"/>
    </row>
    <row r="245" spans="35:36" x14ac:dyDescent="0.25">
      <c r="AI245" s="18"/>
      <c r="AJ245" s="18"/>
    </row>
    <row r="246" spans="35:36" x14ac:dyDescent="0.25">
      <c r="AI246" s="18"/>
      <c r="AJ246" s="18"/>
    </row>
    <row r="247" spans="35:36" x14ac:dyDescent="0.25">
      <c r="AI247" s="18"/>
      <c r="AJ247" s="18"/>
    </row>
    <row r="248" spans="35:36" x14ac:dyDescent="0.25">
      <c r="AI248" s="18"/>
      <c r="AJ248" s="18"/>
    </row>
    <row r="249" spans="35:36" x14ac:dyDescent="0.25">
      <c r="AI249" s="18"/>
      <c r="AJ249" s="18"/>
    </row>
    <row r="250" spans="35:36" x14ac:dyDescent="0.25">
      <c r="AI250" s="18"/>
      <c r="AJ250" s="18"/>
    </row>
    <row r="251" spans="35:36" x14ac:dyDescent="0.25">
      <c r="AI251" s="18"/>
      <c r="AJ251" s="18"/>
    </row>
    <row r="252" spans="35:36" x14ac:dyDescent="0.25">
      <c r="AI252" s="18"/>
      <c r="AJ252" s="18"/>
    </row>
    <row r="253" spans="35:36" x14ac:dyDescent="0.25">
      <c r="AI253" s="18"/>
      <c r="AJ253" s="18"/>
    </row>
    <row r="254" spans="35:36" x14ac:dyDescent="0.25">
      <c r="AI254" s="18"/>
      <c r="AJ254" s="18"/>
    </row>
    <row r="255" spans="35:36" x14ac:dyDescent="0.25">
      <c r="AI255" s="18"/>
      <c r="AJ255" s="18"/>
    </row>
    <row r="256" spans="35:36" x14ac:dyDescent="0.25">
      <c r="AI256" s="18"/>
      <c r="AJ256" s="18"/>
    </row>
    <row r="257" spans="35:36" x14ac:dyDescent="0.25">
      <c r="AI257" s="18"/>
      <c r="AJ257" s="18"/>
    </row>
    <row r="258" spans="35:36" x14ac:dyDescent="0.25">
      <c r="AI258" s="18"/>
      <c r="AJ258" s="18"/>
    </row>
    <row r="259" spans="35:36" x14ac:dyDescent="0.25">
      <c r="AI259" s="18"/>
      <c r="AJ259" s="18"/>
    </row>
    <row r="260" spans="35:36" x14ac:dyDescent="0.25">
      <c r="AI260" s="18"/>
      <c r="AJ260" s="18"/>
    </row>
    <row r="261" spans="35:36" x14ac:dyDescent="0.25">
      <c r="AI261" s="18"/>
      <c r="AJ261" s="18"/>
    </row>
    <row r="262" spans="35:36" x14ac:dyDescent="0.25">
      <c r="AI262" s="18"/>
      <c r="AJ262" s="18"/>
    </row>
    <row r="263" spans="35:36" x14ac:dyDescent="0.25">
      <c r="AI263" s="18"/>
      <c r="AJ263" s="18"/>
    </row>
    <row r="264" spans="35:36" x14ac:dyDescent="0.25">
      <c r="AI264" s="18"/>
      <c r="AJ264" s="18"/>
    </row>
    <row r="265" spans="35:36" x14ac:dyDescent="0.25">
      <c r="AI265" s="18"/>
      <c r="AJ265" s="18"/>
    </row>
    <row r="266" spans="35:36" x14ac:dyDescent="0.25">
      <c r="AI266" s="18"/>
      <c r="AJ266" s="18"/>
    </row>
    <row r="267" spans="35:36" x14ac:dyDescent="0.25">
      <c r="AI267" s="18"/>
      <c r="AJ267" s="18"/>
    </row>
    <row r="268" spans="35:36" x14ac:dyDescent="0.25">
      <c r="AI268" s="18"/>
      <c r="AJ268" s="18"/>
    </row>
    <row r="269" spans="35:36" x14ac:dyDescent="0.25">
      <c r="AI269" s="18"/>
      <c r="AJ269" s="18"/>
    </row>
    <row r="270" spans="35:36" x14ac:dyDescent="0.25">
      <c r="AI270" s="18"/>
      <c r="AJ270" s="18"/>
    </row>
    <row r="271" spans="35:36" x14ac:dyDescent="0.25">
      <c r="AI271" s="18"/>
      <c r="AJ271" s="18"/>
    </row>
    <row r="272" spans="35:36" x14ac:dyDescent="0.25">
      <c r="AI272" s="18"/>
      <c r="AJ272" s="18"/>
    </row>
    <row r="273" spans="35:36" x14ac:dyDescent="0.25">
      <c r="AI273" s="18"/>
      <c r="AJ273" s="18"/>
    </row>
    <row r="274" spans="35:36" x14ac:dyDescent="0.25">
      <c r="AI274" s="18"/>
      <c r="AJ274" s="18"/>
    </row>
    <row r="275" spans="35:36" x14ac:dyDescent="0.25">
      <c r="AI275" s="18"/>
      <c r="AJ275" s="18"/>
    </row>
    <row r="276" spans="35:36" x14ac:dyDescent="0.25">
      <c r="AI276" s="18"/>
      <c r="AJ276" s="18"/>
    </row>
    <row r="277" spans="35:36" x14ac:dyDescent="0.25">
      <c r="AI277" s="18"/>
      <c r="AJ277" s="18"/>
    </row>
    <row r="278" spans="35:36" x14ac:dyDescent="0.25">
      <c r="AI278" s="18"/>
      <c r="AJ278" s="18"/>
    </row>
    <row r="279" spans="35:36" x14ac:dyDescent="0.25">
      <c r="AI279" s="18"/>
      <c r="AJ279" s="18"/>
    </row>
    <row r="280" spans="35:36" x14ac:dyDescent="0.25">
      <c r="AI280" s="18"/>
      <c r="AJ280" s="18"/>
    </row>
    <row r="281" spans="35:36" x14ac:dyDescent="0.25">
      <c r="AI281" s="18"/>
      <c r="AJ281" s="18"/>
    </row>
    <row r="282" spans="35:36" x14ac:dyDescent="0.25">
      <c r="AI282" s="18"/>
      <c r="AJ282" s="18"/>
    </row>
    <row r="283" spans="35:36" x14ac:dyDescent="0.25">
      <c r="AI283" s="18"/>
      <c r="AJ283" s="18"/>
    </row>
    <row r="284" spans="35:36" x14ac:dyDescent="0.25">
      <c r="AI284" s="18"/>
      <c r="AJ284" s="18"/>
    </row>
    <row r="285" spans="35:36" x14ac:dyDescent="0.25">
      <c r="AI285" s="18"/>
      <c r="AJ285" s="18"/>
    </row>
    <row r="286" spans="35:36" x14ac:dyDescent="0.25">
      <c r="AI286" s="18"/>
      <c r="AJ286" s="18"/>
    </row>
    <row r="287" spans="35:36" x14ac:dyDescent="0.25">
      <c r="AI287" s="18"/>
      <c r="AJ287" s="18"/>
    </row>
    <row r="288" spans="35:36" x14ac:dyDescent="0.25">
      <c r="AI288" s="18"/>
      <c r="AJ288" s="18"/>
    </row>
    <row r="289" spans="35:36" x14ac:dyDescent="0.25">
      <c r="AI289" s="18"/>
      <c r="AJ289" s="18"/>
    </row>
    <row r="290" spans="35:36" x14ac:dyDescent="0.25">
      <c r="AI290" s="18"/>
      <c r="AJ290" s="18"/>
    </row>
    <row r="291" spans="35:36" x14ac:dyDescent="0.25">
      <c r="AI291" s="18"/>
      <c r="AJ291" s="18"/>
    </row>
    <row r="292" spans="35:36" x14ac:dyDescent="0.25">
      <c r="AI292" s="18"/>
      <c r="AJ292" s="18"/>
    </row>
    <row r="293" spans="35:36" x14ac:dyDescent="0.25">
      <c r="AI293" s="18"/>
      <c r="AJ293" s="18"/>
    </row>
    <row r="294" spans="35:36" x14ac:dyDescent="0.25">
      <c r="AI294" s="18"/>
      <c r="AJ294" s="18"/>
    </row>
    <row r="295" spans="35:36" x14ac:dyDescent="0.25">
      <c r="AI295" s="18"/>
      <c r="AJ295" s="18"/>
    </row>
    <row r="296" spans="35:36" x14ac:dyDescent="0.25">
      <c r="AI296" s="18"/>
      <c r="AJ296" s="18"/>
    </row>
    <row r="297" spans="35:36" x14ac:dyDescent="0.25">
      <c r="AI297" s="18"/>
      <c r="AJ297" s="18"/>
    </row>
    <row r="298" spans="35:36" x14ac:dyDescent="0.25">
      <c r="AI298" s="18"/>
      <c r="AJ298" s="18"/>
    </row>
    <row r="299" spans="35:36" x14ac:dyDescent="0.25">
      <c r="AI299" s="18"/>
      <c r="AJ299" s="18"/>
    </row>
    <row r="300" spans="35:36" x14ac:dyDescent="0.25">
      <c r="AI300" s="18"/>
      <c r="AJ300" s="18"/>
    </row>
    <row r="301" spans="35:36" x14ac:dyDescent="0.25">
      <c r="AI301" s="18"/>
      <c r="AJ301" s="18"/>
    </row>
    <row r="302" spans="35:36" x14ac:dyDescent="0.25">
      <c r="AI302" s="18"/>
      <c r="AJ302" s="18"/>
    </row>
    <row r="303" spans="35:36" x14ac:dyDescent="0.25">
      <c r="AI303" s="18"/>
      <c r="AJ303" s="18"/>
    </row>
    <row r="304" spans="35:36" x14ac:dyDescent="0.25">
      <c r="AI304" s="18"/>
      <c r="AJ304" s="18"/>
    </row>
    <row r="305" spans="35:36" x14ac:dyDescent="0.25">
      <c r="AI305" s="18"/>
      <c r="AJ305" s="18"/>
    </row>
    <row r="306" spans="35:36" x14ac:dyDescent="0.25">
      <c r="AI306" s="18"/>
      <c r="AJ306" s="18"/>
    </row>
    <row r="307" spans="35:36" x14ac:dyDescent="0.25">
      <c r="AI307" s="18"/>
      <c r="AJ307" s="18"/>
    </row>
    <row r="308" spans="35:36" x14ac:dyDescent="0.25">
      <c r="AI308" s="18"/>
      <c r="AJ308" s="18"/>
    </row>
    <row r="309" spans="35:36" x14ac:dyDescent="0.25">
      <c r="AI309" s="18"/>
      <c r="AJ309" s="18"/>
    </row>
    <row r="310" spans="35:36" x14ac:dyDescent="0.25">
      <c r="AI310" s="18"/>
      <c r="AJ310" s="18"/>
    </row>
    <row r="311" spans="35:36" x14ac:dyDescent="0.25">
      <c r="AI311" s="18"/>
      <c r="AJ311" s="18"/>
    </row>
    <row r="312" spans="35:36" x14ac:dyDescent="0.25">
      <c r="AI312" s="18"/>
      <c r="AJ312" s="18"/>
    </row>
    <row r="313" spans="35:36" x14ac:dyDescent="0.25">
      <c r="AI313" s="18"/>
      <c r="AJ313" s="18"/>
    </row>
    <row r="314" spans="35:36" x14ac:dyDescent="0.25">
      <c r="AI314" s="18"/>
      <c r="AJ314" s="18"/>
    </row>
    <row r="315" spans="35:36" x14ac:dyDescent="0.25">
      <c r="AI315" s="18"/>
      <c r="AJ315" s="18"/>
    </row>
    <row r="316" spans="35:36" x14ac:dyDescent="0.25">
      <c r="AI316" s="18"/>
      <c r="AJ316" s="18"/>
    </row>
    <row r="317" spans="35:36" x14ac:dyDescent="0.25">
      <c r="AI317" s="18"/>
      <c r="AJ317" s="18"/>
    </row>
    <row r="318" spans="35:36" x14ac:dyDescent="0.25">
      <c r="AI318" s="18"/>
      <c r="AJ318" s="18"/>
    </row>
    <row r="319" spans="35:36" x14ac:dyDescent="0.25">
      <c r="AI319" s="18"/>
      <c r="AJ319" s="18"/>
    </row>
    <row r="320" spans="35:36" x14ac:dyDescent="0.25">
      <c r="AI320" s="18"/>
      <c r="AJ320" s="18"/>
    </row>
    <row r="321" spans="35:36" x14ac:dyDescent="0.25">
      <c r="AI321" s="18"/>
      <c r="AJ321" s="18"/>
    </row>
    <row r="322" spans="35:36" x14ac:dyDescent="0.25">
      <c r="AI322" s="18"/>
      <c r="AJ322" s="18"/>
    </row>
    <row r="323" spans="35:36" x14ac:dyDescent="0.25">
      <c r="AI323" s="18"/>
      <c r="AJ323" s="18"/>
    </row>
    <row r="324" spans="35:36" x14ac:dyDescent="0.25">
      <c r="AI324" s="18"/>
      <c r="AJ324" s="18"/>
    </row>
    <row r="325" spans="35:36" x14ac:dyDescent="0.25">
      <c r="AI325" s="18"/>
      <c r="AJ325" s="18"/>
    </row>
    <row r="326" spans="35:36" x14ac:dyDescent="0.25">
      <c r="AI326" s="18"/>
      <c r="AJ326" s="18"/>
    </row>
    <row r="327" spans="35:36" x14ac:dyDescent="0.25">
      <c r="AI327" s="18"/>
      <c r="AJ327" s="18"/>
    </row>
    <row r="328" spans="35:36" x14ac:dyDescent="0.25">
      <c r="AI328" s="18"/>
      <c r="AJ328" s="18"/>
    </row>
    <row r="329" spans="35:36" x14ac:dyDescent="0.25">
      <c r="AI329" s="18"/>
      <c r="AJ329" s="18"/>
    </row>
    <row r="330" spans="35:36" x14ac:dyDescent="0.25">
      <c r="AI330" s="18"/>
      <c r="AJ330" s="18"/>
    </row>
    <row r="331" spans="35:36" x14ac:dyDescent="0.25">
      <c r="AI331" s="18"/>
      <c r="AJ331" s="18"/>
    </row>
    <row r="332" spans="35:36" x14ac:dyDescent="0.25">
      <c r="AI332" s="18"/>
      <c r="AJ332" s="18"/>
    </row>
    <row r="333" spans="35:36" x14ac:dyDescent="0.25">
      <c r="AI333" s="18"/>
      <c r="AJ333" s="18"/>
    </row>
    <row r="334" spans="35:36" x14ac:dyDescent="0.25">
      <c r="AI334" s="18"/>
      <c r="AJ334" s="18"/>
    </row>
    <row r="335" spans="35:36" x14ac:dyDescent="0.25">
      <c r="AI335" s="18"/>
      <c r="AJ335" s="18"/>
    </row>
    <row r="336" spans="35:36" x14ac:dyDescent="0.25">
      <c r="AI336" s="18"/>
      <c r="AJ336" s="18"/>
    </row>
    <row r="337" spans="35:36" x14ac:dyDescent="0.25">
      <c r="AI337" s="18"/>
      <c r="AJ337" s="18"/>
    </row>
    <row r="338" spans="35:36" x14ac:dyDescent="0.25">
      <c r="AI338" s="18"/>
      <c r="AJ338" s="18"/>
    </row>
    <row r="339" spans="35:36" x14ac:dyDescent="0.25">
      <c r="AI339" s="18"/>
      <c r="AJ339" s="18"/>
    </row>
    <row r="340" spans="35:36" x14ac:dyDescent="0.25">
      <c r="AI340" s="18"/>
      <c r="AJ340" s="18"/>
    </row>
    <row r="341" spans="35:36" x14ac:dyDescent="0.25">
      <c r="AI341" s="18"/>
      <c r="AJ341" s="18"/>
    </row>
    <row r="342" spans="35:36" x14ac:dyDescent="0.25">
      <c r="AI342" s="18"/>
      <c r="AJ342" s="18"/>
    </row>
    <row r="343" spans="35:36" x14ac:dyDescent="0.25">
      <c r="AI343" s="18"/>
      <c r="AJ343" s="18"/>
    </row>
    <row r="344" spans="35:36" x14ac:dyDescent="0.25">
      <c r="AI344" s="18"/>
      <c r="AJ344" s="18"/>
    </row>
    <row r="345" spans="35:36" x14ac:dyDescent="0.25">
      <c r="AI345" s="18"/>
      <c r="AJ345" s="18"/>
    </row>
    <row r="346" spans="35:36" x14ac:dyDescent="0.25">
      <c r="AI346" s="18"/>
      <c r="AJ346" s="18"/>
    </row>
    <row r="347" spans="35:36" x14ac:dyDescent="0.25">
      <c r="AI347" s="18"/>
      <c r="AJ347" s="18"/>
    </row>
    <row r="348" spans="35:36" x14ac:dyDescent="0.25">
      <c r="AI348" s="18"/>
      <c r="AJ348" s="18"/>
    </row>
    <row r="349" spans="35:36" x14ac:dyDescent="0.25">
      <c r="AI349" s="18"/>
      <c r="AJ349" s="18"/>
    </row>
    <row r="350" spans="35:36" x14ac:dyDescent="0.25">
      <c r="AI350" s="18"/>
      <c r="AJ350" s="18"/>
    </row>
    <row r="351" spans="35:36" x14ac:dyDescent="0.25">
      <c r="AI351" s="18"/>
      <c r="AJ351" s="18"/>
    </row>
    <row r="352" spans="35:36" x14ac:dyDescent="0.25">
      <c r="AI352" s="18"/>
      <c r="AJ352" s="18"/>
    </row>
    <row r="353" spans="35:36" x14ac:dyDescent="0.25">
      <c r="AI353" s="18"/>
      <c r="AJ353" s="18"/>
    </row>
    <row r="354" spans="35:36" x14ac:dyDescent="0.25">
      <c r="AI354" s="18"/>
      <c r="AJ354" s="18"/>
    </row>
    <row r="355" spans="35:36" x14ac:dyDescent="0.25">
      <c r="AI355" s="18"/>
      <c r="AJ355" s="18"/>
    </row>
    <row r="356" spans="35:36" x14ac:dyDescent="0.25">
      <c r="AI356" s="18"/>
      <c r="AJ356" s="18"/>
    </row>
    <row r="357" spans="35:36" x14ac:dyDescent="0.25">
      <c r="AI357" s="18"/>
      <c r="AJ357" s="18"/>
    </row>
    <row r="358" spans="35:36" x14ac:dyDescent="0.25">
      <c r="AI358" s="18"/>
      <c r="AJ358" s="18"/>
    </row>
    <row r="359" spans="35:36" x14ac:dyDescent="0.25">
      <c r="AI359" s="18"/>
      <c r="AJ359" s="18"/>
    </row>
    <row r="360" spans="35:36" x14ac:dyDescent="0.25">
      <c r="AI360" s="18"/>
      <c r="AJ360" s="18"/>
    </row>
    <row r="361" spans="35:36" x14ac:dyDescent="0.25">
      <c r="AI361" s="18"/>
      <c r="AJ361" s="18"/>
    </row>
    <row r="362" spans="35:36" x14ac:dyDescent="0.25">
      <c r="AI362" s="18"/>
      <c r="AJ362" s="18"/>
    </row>
    <row r="363" spans="35:36" x14ac:dyDescent="0.25">
      <c r="AI363" s="18"/>
      <c r="AJ363" s="18"/>
    </row>
    <row r="364" spans="35:36" x14ac:dyDescent="0.25">
      <c r="AI364" s="18"/>
      <c r="AJ364" s="18"/>
    </row>
    <row r="365" spans="35:36" x14ac:dyDescent="0.25">
      <c r="AI365" s="18"/>
      <c r="AJ365" s="18"/>
    </row>
    <row r="366" spans="35:36" x14ac:dyDescent="0.25">
      <c r="AI366" s="18"/>
      <c r="AJ366" s="18"/>
    </row>
    <row r="367" spans="35:36" x14ac:dyDescent="0.25">
      <c r="AI367" s="18"/>
      <c r="AJ367" s="18"/>
    </row>
    <row r="368" spans="35:36" x14ac:dyDescent="0.25">
      <c r="AI368" s="18"/>
      <c r="AJ368" s="18"/>
    </row>
    <row r="369" spans="35:36" x14ac:dyDescent="0.25">
      <c r="AI369" s="18"/>
      <c r="AJ369" s="18"/>
    </row>
    <row r="370" spans="35:36" x14ac:dyDescent="0.25">
      <c r="AI370" s="18"/>
      <c r="AJ370" s="18"/>
    </row>
    <row r="371" spans="35:36" x14ac:dyDescent="0.25">
      <c r="AI371" s="18"/>
      <c r="AJ371" s="18"/>
    </row>
    <row r="372" spans="35:36" x14ac:dyDescent="0.25">
      <c r="AI372" s="18"/>
      <c r="AJ372" s="18"/>
    </row>
    <row r="373" spans="35:36" x14ac:dyDescent="0.25">
      <c r="AI373" s="18"/>
      <c r="AJ373" s="18"/>
    </row>
    <row r="374" spans="35:36" x14ac:dyDescent="0.25">
      <c r="AI374" s="18"/>
      <c r="AJ374" s="18"/>
    </row>
    <row r="375" spans="35:36" x14ac:dyDescent="0.25">
      <c r="AI375" s="18"/>
      <c r="AJ375" s="18"/>
    </row>
    <row r="376" spans="35:36" x14ac:dyDescent="0.25">
      <c r="AI376" s="18"/>
      <c r="AJ376" s="18"/>
    </row>
    <row r="377" spans="35:36" x14ac:dyDescent="0.25">
      <c r="AI377" s="18"/>
      <c r="AJ377" s="18"/>
    </row>
    <row r="378" spans="35:36" x14ac:dyDescent="0.25">
      <c r="AI378" s="18"/>
      <c r="AJ378" s="18"/>
    </row>
    <row r="379" spans="35:36" x14ac:dyDescent="0.25">
      <c r="AI379" s="18"/>
      <c r="AJ379" s="18"/>
    </row>
    <row r="380" spans="35:36" x14ac:dyDescent="0.25">
      <c r="AI380" s="18"/>
      <c r="AJ380" s="18"/>
    </row>
    <row r="381" spans="35:36" x14ac:dyDescent="0.25">
      <c r="AI381" s="18"/>
      <c r="AJ381" s="18"/>
    </row>
    <row r="382" spans="35:36" x14ac:dyDescent="0.25">
      <c r="AI382" s="18"/>
      <c r="AJ382" s="18"/>
    </row>
    <row r="383" spans="35:36" x14ac:dyDescent="0.25">
      <c r="AI383" s="18"/>
      <c r="AJ383" s="18"/>
    </row>
    <row r="384" spans="35:36" x14ac:dyDescent="0.25">
      <c r="AI384" s="18"/>
      <c r="AJ384" s="18"/>
    </row>
    <row r="385" spans="35:36" x14ac:dyDescent="0.25">
      <c r="AI385" s="18"/>
      <c r="AJ385" s="18"/>
    </row>
    <row r="386" spans="35:36" x14ac:dyDescent="0.25">
      <c r="AI386" s="18"/>
      <c r="AJ386" s="18"/>
    </row>
    <row r="387" spans="35:36" x14ac:dyDescent="0.25">
      <c r="AI387" s="18"/>
      <c r="AJ387" s="18"/>
    </row>
    <row r="388" spans="35:36" x14ac:dyDescent="0.25">
      <c r="AI388" s="18"/>
      <c r="AJ388" s="18"/>
    </row>
    <row r="389" spans="35:36" x14ac:dyDescent="0.25">
      <c r="AI389" s="18"/>
      <c r="AJ389" s="18"/>
    </row>
    <row r="390" spans="35:36" x14ac:dyDescent="0.25">
      <c r="AI390" s="18"/>
      <c r="AJ390" s="18"/>
    </row>
    <row r="391" spans="35:36" x14ac:dyDescent="0.25">
      <c r="AI391" s="18"/>
      <c r="AJ391" s="18"/>
    </row>
    <row r="392" spans="35:36" x14ac:dyDescent="0.25">
      <c r="AI392" s="18"/>
      <c r="AJ392" s="18"/>
    </row>
    <row r="393" spans="35:36" x14ac:dyDescent="0.25">
      <c r="AI393" s="18"/>
      <c r="AJ393" s="18"/>
    </row>
    <row r="394" spans="35:36" x14ac:dyDescent="0.25">
      <c r="AI394" s="18"/>
      <c r="AJ394" s="18"/>
    </row>
    <row r="395" spans="35:36" x14ac:dyDescent="0.25">
      <c r="AI395" s="18"/>
      <c r="AJ395" s="18"/>
    </row>
    <row r="396" spans="35:36" x14ac:dyDescent="0.25">
      <c r="AI396" s="18"/>
      <c r="AJ396" s="18"/>
    </row>
    <row r="397" spans="35:36" x14ac:dyDescent="0.25">
      <c r="AI397" s="18"/>
      <c r="AJ397" s="18"/>
    </row>
    <row r="398" spans="35:36" x14ac:dyDescent="0.25">
      <c r="AI398" s="18"/>
      <c r="AJ398" s="18"/>
    </row>
    <row r="399" spans="35:36" x14ac:dyDescent="0.25">
      <c r="AI399" s="18"/>
      <c r="AJ399" s="18"/>
    </row>
    <row r="400" spans="35:36" x14ac:dyDescent="0.25">
      <c r="AI400" s="18"/>
      <c r="AJ400" s="18"/>
    </row>
    <row r="401" spans="35:36" x14ac:dyDescent="0.25">
      <c r="AI401" s="18"/>
      <c r="AJ401" s="18"/>
    </row>
    <row r="402" spans="35:36" x14ac:dyDescent="0.25">
      <c r="AI402" s="18"/>
      <c r="AJ402" s="18"/>
    </row>
    <row r="403" spans="35:36" x14ac:dyDescent="0.25">
      <c r="AI403" s="18"/>
      <c r="AJ403" s="18"/>
    </row>
    <row r="404" spans="35:36" x14ac:dyDescent="0.25">
      <c r="AI404" s="18"/>
      <c r="AJ404" s="18"/>
    </row>
    <row r="405" spans="35:36" x14ac:dyDescent="0.25">
      <c r="AI405" s="18"/>
      <c r="AJ405" s="18"/>
    </row>
    <row r="406" spans="35:36" x14ac:dyDescent="0.25">
      <c r="AI406" s="18"/>
      <c r="AJ406" s="18"/>
    </row>
    <row r="407" spans="35:36" x14ac:dyDescent="0.25">
      <c r="AI407" s="18"/>
      <c r="AJ407" s="18"/>
    </row>
    <row r="408" spans="35:36" x14ac:dyDescent="0.25">
      <c r="AI408" s="18"/>
      <c r="AJ408" s="18"/>
    </row>
    <row r="409" spans="35:36" x14ac:dyDescent="0.25">
      <c r="AI409" s="18"/>
      <c r="AJ409" s="18"/>
    </row>
    <row r="410" spans="35:36" x14ac:dyDescent="0.25">
      <c r="AI410" s="18"/>
      <c r="AJ410" s="18"/>
    </row>
    <row r="411" spans="35:36" x14ac:dyDescent="0.25">
      <c r="AI411" s="18"/>
      <c r="AJ411" s="18"/>
    </row>
    <row r="412" spans="35:36" x14ac:dyDescent="0.25">
      <c r="AI412" s="18"/>
      <c r="AJ412" s="18"/>
    </row>
    <row r="413" spans="35:36" x14ac:dyDescent="0.25">
      <c r="AI413" s="18"/>
      <c r="AJ413" s="18"/>
    </row>
    <row r="414" spans="35:36" x14ac:dyDescent="0.25">
      <c r="AI414" s="18"/>
      <c r="AJ414" s="18"/>
    </row>
    <row r="415" spans="35:36" x14ac:dyDescent="0.25">
      <c r="AI415" s="18"/>
      <c r="AJ415" s="18"/>
    </row>
    <row r="416" spans="35:36" x14ac:dyDescent="0.25">
      <c r="AI416" s="18"/>
      <c r="AJ416" s="18"/>
    </row>
    <row r="417" spans="35:36" x14ac:dyDescent="0.25">
      <c r="AI417" s="18"/>
      <c r="AJ417" s="18"/>
    </row>
    <row r="418" spans="35:36" x14ac:dyDescent="0.25">
      <c r="AI418" s="18"/>
      <c r="AJ418" s="18"/>
    </row>
    <row r="419" spans="35:36" x14ac:dyDescent="0.25">
      <c r="AI419" s="18"/>
      <c r="AJ419" s="18"/>
    </row>
    <row r="420" spans="35:36" x14ac:dyDescent="0.25">
      <c r="AI420" s="18"/>
      <c r="AJ420" s="18"/>
    </row>
    <row r="421" spans="35:36" x14ac:dyDescent="0.25">
      <c r="AI421" s="18"/>
      <c r="AJ421" s="18"/>
    </row>
    <row r="422" spans="35:36" x14ac:dyDescent="0.25">
      <c r="AI422" s="18"/>
      <c r="AJ422" s="18"/>
    </row>
    <row r="423" spans="35:36" x14ac:dyDescent="0.25">
      <c r="AI423" s="18"/>
      <c r="AJ423" s="18"/>
    </row>
    <row r="424" spans="35:36" x14ac:dyDescent="0.25">
      <c r="AI424" s="18"/>
      <c r="AJ424" s="18"/>
    </row>
    <row r="425" spans="35:36" x14ac:dyDescent="0.25">
      <c r="AI425" s="18"/>
      <c r="AJ425" s="18"/>
    </row>
    <row r="426" spans="35:36" x14ac:dyDescent="0.25">
      <c r="AI426" s="18"/>
      <c r="AJ426" s="18"/>
    </row>
    <row r="427" spans="35:36" x14ac:dyDescent="0.25">
      <c r="AI427" s="18"/>
      <c r="AJ427" s="18"/>
    </row>
    <row r="428" spans="35:36" x14ac:dyDescent="0.25">
      <c r="AI428" s="18"/>
      <c r="AJ428" s="18"/>
    </row>
    <row r="429" spans="35:36" x14ac:dyDescent="0.25">
      <c r="AI429" s="18"/>
      <c r="AJ429" s="18"/>
    </row>
    <row r="430" spans="35:36" x14ac:dyDescent="0.25">
      <c r="AI430" s="18"/>
      <c r="AJ430" s="18"/>
    </row>
    <row r="431" spans="35:36" x14ac:dyDescent="0.25">
      <c r="AI431" s="18"/>
      <c r="AJ431" s="18"/>
    </row>
    <row r="432" spans="35:36" x14ac:dyDescent="0.25">
      <c r="AI432" s="18"/>
      <c r="AJ432" s="18"/>
    </row>
    <row r="433" spans="35:36" x14ac:dyDescent="0.25">
      <c r="AI433" s="18"/>
      <c r="AJ433" s="18"/>
    </row>
    <row r="434" spans="35:36" x14ac:dyDescent="0.25">
      <c r="AI434" s="18"/>
      <c r="AJ434" s="18"/>
    </row>
    <row r="435" spans="35:36" x14ac:dyDescent="0.25">
      <c r="AI435" s="18"/>
      <c r="AJ435" s="18"/>
    </row>
    <row r="436" spans="35:36" x14ac:dyDescent="0.25">
      <c r="AI436" s="18"/>
      <c r="AJ436" s="18"/>
    </row>
    <row r="437" spans="35:36" x14ac:dyDescent="0.25">
      <c r="AI437" s="18"/>
      <c r="AJ437" s="18"/>
    </row>
    <row r="438" spans="35:36" x14ac:dyDescent="0.25">
      <c r="AI438" s="18"/>
      <c r="AJ438" s="18"/>
    </row>
    <row r="439" spans="35:36" x14ac:dyDescent="0.25">
      <c r="AI439" s="18"/>
      <c r="AJ439" s="18"/>
    </row>
    <row r="440" spans="35:36" x14ac:dyDescent="0.25">
      <c r="AI440" s="18"/>
      <c r="AJ440" s="18"/>
    </row>
    <row r="441" spans="35:36" x14ac:dyDescent="0.25">
      <c r="AI441" s="18"/>
      <c r="AJ441" s="18"/>
    </row>
    <row r="442" spans="35:36" x14ac:dyDescent="0.25">
      <c r="AI442" s="18"/>
      <c r="AJ442" s="18"/>
    </row>
    <row r="443" spans="35:36" x14ac:dyDescent="0.25">
      <c r="AI443" s="18"/>
      <c r="AJ443" s="18"/>
    </row>
    <row r="444" spans="35:36" x14ac:dyDescent="0.25">
      <c r="AI444" s="18"/>
      <c r="AJ444" s="18"/>
    </row>
    <row r="445" spans="35:36" x14ac:dyDescent="0.25">
      <c r="AI445" s="18"/>
      <c r="AJ445" s="18"/>
    </row>
    <row r="446" spans="35:36" x14ac:dyDescent="0.25">
      <c r="AI446" s="18"/>
      <c r="AJ446" s="18"/>
    </row>
    <row r="447" spans="35:36" x14ac:dyDescent="0.25">
      <c r="AI447" s="18"/>
      <c r="AJ447" s="18"/>
    </row>
    <row r="448" spans="35:36" x14ac:dyDescent="0.25">
      <c r="AI448" s="18"/>
      <c r="AJ448" s="18"/>
    </row>
    <row r="449" spans="35:36" x14ac:dyDescent="0.25">
      <c r="AI449" s="18"/>
      <c r="AJ449" s="18"/>
    </row>
    <row r="450" spans="35:36" x14ac:dyDescent="0.25">
      <c r="AI450" s="18"/>
      <c r="AJ450" s="18"/>
    </row>
    <row r="451" spans="35:36" x14ac:dyDescent="0.25">
      <c r="AI451" s="18"/>
      <c r="AJ451" s="18"/>
    </row>
    <row r="452" spans="35:36" x14ac:dyDescent="0.25">
      <c r="AI452" s="18"/>
      <c r="AJ452" s="18"/>
    </row>
    <row r="453" spans="35:36" x14ac:dyDescent="0.25">
      <c r="AI453" s="18"/>
      <c r="AJ453" s="18"/>
    </row>
    <row r="454" spans="35:36" x14ac:dyDescent="0.25">
      <c r="AI454" s="18"/>
      <c r="AJ454" s="18"/>
    </row>
    <row r="455" spans="35:36" x14ac:dyDescent="0.25">
      <c r="AI455" s="18"/>
      <c r="AJ455" s="18"/>
    </row>
    <row r="456" spans="35:36" x14ac:dyDescent="0.25">
      <c r="AI456" s="18"/>
      <c r="AJ456" s="18"/>
    </row>
    <row r="457" spans="35:36" x14ac:dyDescent="0.25">
      <c r="AI457" s="18"/>
      <c r="AJ457" s="18"/>
    </row>
    <row r="458" spans="35:36" x14ac:dyDescent="0.25">
      <c r="AI458" s="18"/>
      <c r="AJ458" s="18"/>
    </row>
    <row r="459" spans="35:36" x14ac:dyDescent="0.25">
      <c r="AI459" s="18"/>
      <c r="AJ459" s="18"/>
    </row>
    <row r="460" spans="35:36" x14ac:dyDescent="0.25">
      <c r="AI460" s="18"/>
      <c r="AJ460" s="18"/>
    </row>
    <row r="461" spans="35:36" x14ac:dyDescent="0.25">
      <c r="AI461" s="18"/>
      <c r="AJ461" s="18"/>
    </row>
    <row r="462" spans="35:36" x14ac:dyDescent="0.25">
      <c r="AI462" s="18"/>
      <c r="AJ462" s="18"/>
    </row>
    <row r="463" spans="35:36" x14ac:dyDescent="0.25">
      <c r="AI463" s="18"/>
      <c r="AJ463" s="18"/>
    </row>
    <row r="464" spans="35:36" x14ac:dyDescent="0.25">
      <c r="AI464" s="18"/>
      <c r="AJ464" s="18"/>
    </row>
    <row r="465" spans="35:36" x14ac:dyDescent="0.25">
      <c r="AI465" s="18"/>
      <c r="AJ465" s="18"/>
    </row>
    <row r="466" spans="35:36" x14ac:dyDescent="0.25">
      <c r="AI466" s="18"/>
      <c r="AJ466" s="18"/>
    </row>
    <row r="467" spans="35:36" x14ac:dyDescent="0.25">
      <c r="AI467" s="18"/>
      <c r="AJ467" s="18"/>
    </row>
    <row r="468" spans="35:36" x14ac:dyDescent="0.25">
      <c r="AI468" s="18"/>
      <c r="AJ468" s="18"/>
    </row>
    <row r="469" spans="35:36" x14ac:dyDescent="0.25">
      <c r="AI469" s="18"/>
      <c r="AJ469" s="18"/>
    </row>
    <row r="470" spans="35:36" x14ac:dyDescent="0.25">
      <c r="AI470" s="18"/>
      <c r="AJ470" s="18"/>
    </row>
    <row r="471" spans="35:36" x14ac:dyDescent="0.25">
      <c r="AI471" s="18"/>
      <c r="AJ471" s="18"/>
    </row>
    <row r="472" spans="35:36" x14ac:dyDescent="0.25">
      <c r="AI472" s="18"/>
      <c r="AJ472" s="18"/>
    </row>
    <row r="473" spans="35:36" x14ac:dyDescent="0.25">
      <c r="AI473" s="18"/>
      <c r="AJ473" s="18"/>
    </row>
    <row r="474" spans="35:36" x14ac:dyDescent="0.25">
      <c r="AI474" s="18"/>
      <c r="AJ474" s="18"/>
    </row>
    <row r="475" spans="35:36" x14ac:dyDescent="0.25">
      <c r="AI475" s="18"/>
      <c r="AJ475" s="18"/>
    </row>
    <row r="476" spans="35:36" x14ac:dyDescent="0.25">
      <c r="AI476" s="18"/>
      <c r="AJ476" s="18"/>
    </row>
    <row r="477" spans="35:36" x14ac:dyDescent="0.25">
      <c r="AI477" s="18"/>
      <c r="AJ477" s="18"/>
    </row>
    <row r="478" spans="35:36" x14ac:dyDescent="0.25">
      <c r="AI478" s="18"/>
      <c r="AJ478" s="18"/>
    </row>
    <row r="479" spans="35:36" x14ac:dyDescent="0.25">
      <c r="AI479" s="18"/>
      <c r="AJ479" s="18"/>
    </row>
    <row r="480" spans="35:36" x14ac:dyDescent="0.25">
      <c r="AI480" s="18"/>
      <c r="AJ480" s="18"/>
    </row>
    <row r="481" spans="35:36" x14ac:dyDescent="0.25">
      <c r="AI481" s="18"/>
      <c r="AJ481" s="18"/>
    </row>
    <row r="482" spans="35:36" x14ac:dyDescent="0.25">
      <c r="AI482" s="18"/>
      <c r="AJ482" s="18"/>
    </row>
    <row r="483" spans="35:36" x14ac:dyDescent="0.25">
      <c r="AI483" s="18"/>
      <c r="AJ483" s="18"/>
    </row>
  </sheetData>
  <sheetProtection algorithmName="SHA-512" hashValue="zN4mbGWhsGdxKZxcFZtO83MH1ohZA/6qfjgU/xqdnWHFrig/aUuL+MVTRYctWjbjECUrpBBssnfyjx1UM4t4CA==" saltValue="zPAfSmVm8QVrJUPOR42BLQ==" spinCount="100000" sheet="1" sort="0"/>
  <sortState ref="AC10:AK21">
    <sortCondition ref="AK10:AK21"/>
  </sortState>
  <conditionalFormatting sqref="C68:Q79">
    <cfRule type="cellIs" dxfId="39" priority="2" operator="equal">
      <formula>"Stormwater Capture"</formula>
    </cfRule>
    <cfRule type="cellIs" dxfId="38" priority="3" operator="equal">
      <formula>$B$19</formula>
    </cfRule>
    <cfRule type="cellIs" dxfId="37" priority="4" operator="equal">
      <formula>$C$68</formula>
    </cfRule>
  </conditionalFormatting>
  <conditionalFormatting sqref="B82:O94">
    <cfRule type="cellIs" dxfId="36" priority="1" operator="lessThan">
      <formula>3</formula>
    </cfRule>
  </conditionalFormatting>
  <pageMargins left="0.7" right="0.7" top="0.75" bottom="0.75" header="0.3" footer="0.3"/>
  <pageSetup paperSize="3" scale="62" orientation="landscape" horizontalDpi="1200" verticalDpi="1200" r:id="rId1"/>
  <headerFooter>
    <oddHeade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8"/>
    <pageSetUpPr fitToPage="1"/>
  </sheetPr>
  <dimension ref="A1:M390"/>
  <sheetViews>
    <sheetView showGridLines="0" zoomScale="80" zoomScaleNormal="80" workbookViewId="0">
      <selection activeCell="F25" sqref="F1:P1048576"/>
    </sheetView>
  </sheetViews>
  <sheetFormatPr defaultRowHeight="15" x14ac:dyDescent="0.25"/>
  <cols>
    <col min="1" max="1" width="5.7109375" customWidth="1"/>
    <col min="2" max="2" width="45.7109375" customWidth="1"/>
    <col min="3" max="7" width="20.7109375" customWidth="1"/>
    <col min="8" max="8" width="20.7109375" hidden="1" customWidth="1"/>
    <col min="9" max="10" width="20.7109375" customWidth="1"/>
    <col min="11" max="11" width="6" customWidth="1"/>
    <col min="12" max="12" width="2.5703125" style="49" customWidth="1"/>
    <col min="13" max="13" width="5.7109375" customWidth="1"/>
  </cols>
  <sheetData>
    <row r="1" spans="1:13" s="96" customFormat="1" ht="15.75" x14ac:dyDescent="0.25">
      <c r="A1" s="56" t="s">
        <v>243</v>
      </c>
    </row>
    <row r="2" spans="1:13" s="96" customFormat="1" ht="26.25" x14ac:dyDescent="0.4">
      <c r="A2" s="97" t="s">
        <v>111</v>
      </c>
    </row>
    <row r="3" spans="1:13" s="49" customFormat="1" ht="15" customHeight="1" x14ac:dyDescent="0.5">
      <c r="B3" s="797"/>
      <c r="C3" s="797"/>
      <c r="D3" s="797"/>
      <c r="E3" s="797"/>
      <c r="F3" s="797"/>
      <c r="G3" s="797"/>
      <c r="H3" s="797"/>
      <c r="I3" s="797"/>
      <c r="J3" s="295"/>
    </row>
    <row r="4" spans="1:13" s="10" customFormat="1" ht="18" customHeight="1" x14ac:dyDescent="0.3">
      <c r="A4" s="47" t="s">
        <v>961</v>
      </c>
      <c r="C4" s="4"/>
      <c r="D4" s="46"/>
      <c r="E4" s="46"/>
      <c r="F4" s="46"/>
      <c r="G4" s="46"/>
      <c r="H4" s="46"/>
      <c r="I4" s="46"/>
      <c r="J4" s="46"/>
      <c r="K4" s="9"/>
      <c r="L4" s="50"/>
      <c r="M4" s="45" t="s">
        <v>120</v>
      </c>
    </row>
    <row r="5" spans="1:13" s="10" customFormat="1" ht="15" customHeight="1" x14ac:dyDescent="0.3">
      <c r="B5" s="47"/>
      <c r="C5" s="4"/>
      <c r="D5" s="46"/>
      <c r="E5" s="46"/>
      <c r="F5" s="46"/>
      <c r="G5" s="46"/>
      <c r="H5" s="46"/>
      <c r="I5" s="46"/>
      <c r="J5" s="46"/>
      <c r="L5" s="50"/>
    </row>
    <row r="6" spans="1:13" s="10" customFormat="1" ht="15" customHeight="1" thickBot="1" x14ac:dyDescent="0.3">
      <c r="B6" s="46" t="s">
        <v>965</v>
      </c>
      <c r="C6" s="46"/>
      <c r="D6" s="46"/>
      <c r="E6" s="46"/>
      <c r="F6" s="46"/>
      <c r="G6" s="46"/>
      <c r="H6" s="46"/>
      <c r="I6" s="46"/>
      <c r="J6" s="46"/>
      <c r="L6" s="50"/>
    </row>
    <row r="7" spans="1:13" s="10" customFormat="1" ht="60" x14ac:dyDescent="0.25">
      <c r="A7" s="14"/>
      <c r="B7" s="25" t="s">
        <v>6</v>
      </c>
      <c r="C7" s="412" t="s">
        <v>124</v>
      </c>
      <c r="D7" s="412" t="s">
        <v>123</v>
      </c>
      <c r="E7" s="412" t="s">
        <v>811</v>
      </c>
      <c r="F7" s="412" t="s">
        <v>121</v>
      </c>
      <c r="G7" s="412" t="s">
        <v>122</v>
      </c>
      <c r="H7" s="412" t="s">
        <v>128</v>
      </c>
      <c r="I7" s="412" t="s">
        <v>130</v>
      </c>
      <c r="J7" s="297" t="s">
        <v>129</v>
      </c>
      <c r="L7" s="50"/>
    </row>
    <row r="8" spans="1:13" s="9" customFormat="1" x14ac:dyDescent="0.25">
      <c r="A8"/>
      <c r="B8" s="19" t="s">
        <v>7</v>
      </c>
      <c r="C8" s="63">
        <f>IFERROR(AVERAGEIFS($E$36:$E$155,$C$36:$C$155,"="&amp;B8), "NA")</f>
        <v>3</v>
      </c>
      <c r="D8" s="63">
        <f>IFERROR(AVERAGEIFS($E$163:$E$386,$C$163:$C$386,"="&amp;B8), "NA")</f>
        <v>3.375</v>
      </c>
      <c r="E8" s="38">
        <f>IFERROR(ABS(D8-C8), "NA")</f>
        <v>0.375</v>
      </c>
      <c r="F8" s="35">
        <f t="shared" ref="F8:F19" si="0">COUNTIFS($C$36:$C$159, "="&amp;B8,$E$36:$E$159,"&gt;=0")</f>
        <v>4</v>
      </c>
      <c r="G8" s="35">
        <f t="shared" ref="G8:G19" si="1">COUNTIFS($E$163:$E$386, "&gt;=0", $C$163:$C$386, "="&amp;B8)</f>
        <v>16</v>
      </c>
      <c r="H8" s="116" t="s">
        <v>126</v>
      </c>
      <c r="I8" s="37">
        <f t="shared" ref="I8:I19" si="2">IF(AND(ISNUMBER(C8),ISNUMBER(D8)),IF(H8="Average All",((F8*C8)+(G8*D8))/(F8+G8),AVERAGE(C8:D8)), IF(AND(C8="NA", ISNUMBER(D8)), D8, "NA"))</f>
        <v>3.1875</v>
      </c>
      <c r="J8" s="39">
        <f>I8</f>
        <v>3.1875</v>
      </c>
      <c r="L8" s="50"/>
    </row>
    <row r="9" spans="1:13" s="10" customFormat="1" ht="18" customHeight="1" x14ac:dyDescent="0.25">
      <c r="A9"/>
      <c r="B9" s="19" t="s">
        <v>34</v>
      </c>
      <c r="C9" s="63" t="str">
        <f t="shared" ref="C9:C19" si="3">IFERROR(AVERAGEIFS($E$36:$E$155,$C$36:$C$155,"="&amp;B9), "NA")</f>
        <v>NA</v>
      </c>
      <c r="D9" s="63" t="str">
        <f t="shared" ref="D9:D19" si="4">IFERROR(AVERAGEIFS($E$163:$E$386,$C$163:$C$386,"="&amp;B9), "NA")</f>
        <v>NA</v>
      </c>
      <c r="E9" s="38" t="str">
        <f t="shared" ref="E9:E19" si="5">IFERROR(ABS(D9-C9), "NA")</f>
        <v>NA</v>
      </c>
      <c r="F9" s="35">
        <f t="shared" si="0"/>
        <v>0</v>
      </c>
      <c r="G9" s="35">
        <f t="shared" si="1"/>
        <v>0</v>
      </c>
      <c r="H9" s="116" t="s">
        <v>125</v>
      </c>
      <c r="I9" s="37" t="str">
        <f t="shared" si="2"/>
        <v>NA</v>
      </c>
      <c r="J9" s="39" t="str">
        <f t="shared" ref="J9:J19" si="6">I9</f>
        <v>NA</v>
      </c>
      <c r="L9" s="50"/>
    </row>
    <row r="10" spans="1:13" s="10" customFormat="1" ht="18" customHeight="1" x14ac:dyDescent="0.25">
      <c r="A10"/>
      <c r="B10" s="19" t="s">
        <v>8</v>
      </c>
      <c r="C10" s="63">
        <f t="shared" si="3"/>
        <v>3</v>
      </c>
      <c r="D10" s="63">
        <f t="shared" si="4"/>
        <v>3.2666666666666666</v>
      </c>
      <c r="E10" s="38">
        <f t="shared" si="5"/>
        <v>0.26666666666666661</v>
      </c>
      <c r="F10" s="35">
        <f t="shared" si="0"/>
        <v>1</v>
      </c>
      <c r="G10" s="35">
        <f t="shared" si="1"/>
        <v>15</v>
      </c>
      <c r="H10" s="116" t="s">
        <v>125</v>
      </c>
      <c r="I10" s="37">
        <f t="shared" si="2"/>
        <v>3.25</v>
      </c>
      <c r="J10" s="39">
        <f t="shared" si="6"/>
        <v>3.25</v>
      </c>
      <c r="L10" s="50"/>
    </row>
    <row r="11" spans="1:13" s="10" customFormat="1" ht="15" customHeight="1" x14ac:dyDescent="0.25">
      <c r="A11"/>
      <c r="B11" s="19" t="s">
        <v>9</v>
      </c>
      <c r="C11" s="63">
        <f t="shared" si="3"/>
        <v>3.125</v>
      </c>
      <c r="D11" s="63">
        <f t="shared" si="4"/>
        <v>2.9333333333333331</v>
      </c>
      <c r="E11" s="38">
        <f t="shared" si="5"/>
        <v>0.19166666666666687</v>
      </c>
      <c r="F11" s="35">
        <f t="shared" si="0"/>
        <v>8</v>
      </c>
      <c r="G11" s="35">
        <f t="shared" si="1"/>
        <v>15</v>
      </c>
      <c r="H11" s="116" t="s">
        <v>126</v>
      </c>
      <c r="I11" s="37">
        <f t="shared" si="2"/>
        <v>3.0291666666666668</v>
      </c>
      <c r="J11" s="39">
        <f t="shared" si="6"/>
        <v>3.0291666666666668</v>
      </c>
      <c r="L11" s="50"/>
    </row>
    <row r="12" spans="1:13" s="14" customFormat="1" x14ac:dyDescent="0.25">
      <c r="A12"/>
      <c r="B12" s="19" t="s">
        <v>10</v>
      </c>
      <c r="C12" s="63">
        <f t="shared" si="3"/>
        <v>3</v>
      </c>
      <c r="D12" s="63">
        <f t="shared" si="4"/>
        <v>2.3333333333333335</v>
      </c>
      <c r="E12" s="38">
        <f t="shared" si="5"/>
        <v>0.66666666666666652</v>
      </c>
      <c r="F12" s="35">
        <f t="shared" si="0"/>
        <v>1</v>
      </c>
      <c r="G12" s="35">
        <f t="shared" si="1"/>
        <v>15</v>
      </c>
      <c r="H12" s="116" t="s">
        <v>125</v>
      </c>
      <c r="I12" s="37">
        <f t="shared" si="2"/>
        <v>2.375</v>
      </c>
      <c r="J12" s="39">
        <f t="shared" si="6"/>
        <v>2.375</v>
      </c>
      <c r="L12" s="51"/>
      <c r="M12" s="13"/>
    </row>
    <row r="13" spans="1:13" x14ac:dyDescent="0.25">
      <c r="B13" s="19" t="s">
        <v>11</v>
      </c>
      <c r="C13" s="63">
        <f t="shared" si="3"/>
        <v>3</v>
      </c>
      <c r="D13" s="63">
        <f>IFERROR(AVERAGEIFS($E$163:$E$386,$C$163:$C$386,"="&amp;B13), "NA")</f>
        <v>3.375</v>
      </c>
      <c r="E13" s="38">
        <f t="shared" si="5"/>
        <v>0.375</v>
      </c>
      <c r="F13" s="35">
        <f t="shared" si="0"/>
        <v>10</v>
      </c>
      <c r="G13" s="35">
        <f t="shared" si="1"/>
        <v>16</v>
      </c>
      <c r="H13" s="116" t="s">
        <v>126</v>
      </c>
      <c r="I13" s="37">
        <f t="shared" si="2"/>
        <v>3.1875</v>
      </c>
      <c r="J13" s="39">
        <f t="shared" si="6"/>
        <v>3.1875</v>
      </c>
    </row>
    <row r="14" spans="1:13" x14ac:dyDescent="0.25">
      <c r="B14" s="19" t="s">
        <v>12</v>
      </c>
      <c r="C14" s="63">
        <f t="shared" si="3"/>
        <v>3.5</v>
      </c>
      <c r="D14" s="63">
        <f t="shared" si="4"/>
        <v>3.5333333333333332</v>
      </c>
      <c r="E14" s="38">
        <f t="shared" si="5"/>
        <v>3.3333333333333215E-2</v>
      </c>
      <c r="F14" s="35">
        <f t="shared" si="0"/>
        <v>16</v>
      </c>
      <c r="G14" s="35">
        <f t="shared" si="1"/>
        <v>15</v>
      </c>
      <c r="H14" s="116" t="s">
        <v>126</v>
      </c>
      <c r="I14" s="37">
        <f t="shared" si="2"/>
        <v>3.5166666666666666</v>
      </c>
      <c r="J14" s="39">
        <f t="shared" si="6"/>
        <v>3.5166666666666666</v>
      </c>
      <c r="L14" s="52"/>
    </row>
    <row r="15" spans="1:13" x14ac:dyDescent="0.25">
      <c r="B15" s="19" t="s">
        <v>13</v>
      </c>
      <c r="C15" s="63">
        <f t="shared" si="3"/>
        <v>3.5</v>
      </c>
      <c r="D15" s="63">
        <f t="shared" si="4"/>
        <v>2.2000000000000002</v>
      </c>
      <c r="E15" s="38">
        <f t="shared" si="5"/>
        <v>1.2999999999999998</v>
      </c>
      <c r="F15" s="35">
        <f t="shared" si="0"/>
        <v>2</v>
      </c>
      <c r="G15" s="35">
        <f t="shared" si="1"/>
        <v>15</v>
      </c>
      <c r="H15" s="116" t="s">
        <v>125</v>
      </c>
      <c r="I15" s="37">
        <f t="shared" si="2"/>
        <v>2.3529411764705883</v>
      </c>
      <c r="J15" s="39">
        <f t="shared" si="6"/>
        <v>2.3529411764705883</v>
      </c>
    </row>
    <row r="16" spans="1:13" x14ac:dyDescent="0.25">
      <c r="B16" s="19" t="s">
        <v>14</v>
      </c>
      <c r="C16" s="63">
        <f t="shared" si="3"/>
        <v>3.1</v>
      </c>
      <c r="D16" s="63">
        <f t="shared" si="4"/>
        <v>3.6</v>
      </c>
      <c r="E16" s="38">
        <f t="shared" si="5"/>
        <v>0.5</v>
      </c>
      <c r="F16" s="35">
        <f t="shared" si="0"/>
        <v>20</v>
      </c>
      <c r="G16" s="35">
        <f t="shared" si="1"/>
        <v>15</v>
      </c>
      <c r="H16" s="116" t="s">
        <v>126</v>
      </c>
      <c r="I16" s="37">
        <f t="shared" si="2"/>
        <v>3.35</v>
      </c>
      <c r="J16" s="39">
        <f t="shared" si="6"/>
        <v>3.35</v>
      </c>
      <c r="L16" s="52"/>
    </row>
    <row r="17" spans="2:12" x14ac:dyDescent="0.25">
      <c r="B17" s="19" t="s">
        <v>15</v>
      </c>
      <c r="C17" s="63">
        <f t="shared" si="3"/>
        <v>3</v>
      </c>
      <c r="D17" s="63">
        <f t="shared" si="4"/>
        <v>3.2</v>
      </c>
      <c r="E17" s="38">
        <f t="shared" si="5"/>
        <v>0.20000000000000018</v>
      </c>
      <c r="F17" s="35">
        <f t="shared" si="0"/>
        <v>2</v>
      </c>
      <c r="G17" s="35">
        <f t="shared" si="1"/>
        <v>15</v>
      </c>
      <c r="H17" s="116" t="s">
        <v>125</v>
      </c>
      <c r="I17" s="37">
        <f t="shared" si="2"/>
        <v>3.1764705882352939</v>
      </c>
      <c r="J17" s="39">
        <f t="shared" si="6"/>
        <v>3.1764705882352939</v>
      </c>
    </row>
    <row r="18" spans="2:12" x14ac:dyDescent="0.25">
      <c r="B18" s="19" t="s">
        <v>16</v>
      </c>
      <c r="C18" s="63">
        <f t="shared" si="3"/>
        <v>4.5</v>
      </c>
      <c r="D18" s="63">
        <f t="shared" si="4"/>
        <v>3.6428571428571428</v>
      </c>
      <c r="E18" s="38">
        <f t="shared" si="5"/>
        <v>0.85714285714285721</v>
      </c>
      <c r="F18" s="35">
        <f t="shared" si="0"/>
        <v>2</v>
      </c>
      <c r="G18" s="35">
        <f t="shared" si="1"/>
        <v>14</v>
      </c>
      <c r="H18" s="116" t="s">
        <v>125</v>
      </c>
      <c r="I18" s="37">
        <f t="shared" si="2"/>
        <v>3.75</v>
      </c>
      <c r="J18" s="39">
        <f t="shared" si="6"/>
        <v>3.75</v>
      </c>
    </row>
    <row r="19" spans="2:12" ht="15.75" thickBot="1" x14ac:dyDescent="0.3">
      <c r="B19" s="20" t="s">
        <v>17</v>
      </c>
      <c r="C19" s="64">
        <f t="shared" si="3"/>
        <v>2.7857142857142856</v>
      </c>
      <c r="D19" s="64">
        <f t="shared" si="4"/>
        <v>4.4666666666666668</v>
      </c>
      <c r="E19" s="41">
        <f t="shared" si="5"/>
        <v>1.6809523809523812</v>
      </c>
      <c r="F19" s="36">
        <f t="shared" si="0"/>
        <v>14</v>
      </c>
      <c r="G19" s="36">
        <f t="shared" si="1"/>
        <v>15</v>
      </c>
      <c r="H19" s="117" t="s">
        <v>126</v>
      </c>
      <c r="I19" s="40">
        <f t="shared" si="2"/>
        <v>3.6261904761904762</v>
      </c>
      <c r="J19" s="42">
        <f t="shared" si="6"/>
        <v>3.6261904761904762</v>
      </c>
      <c r="L19" s="52"/>
    </row>
    <row r="21" spans="2:12" ht="15.75" hidden="1" thickBot="1" x14ac:dyDescent="0.3">
      <c r="B21" s="1" t="s">
        <v>846</v>
      </c>
    </row>
    <row r="22" spans="2:12" hidden="1" x14ac:dyDescent="0.25">
      <c r="B22" s="494" t="s">
        <v>851</v>
      </c>
      <c r="C22" s="457"/>
      <c r="D22" s="457"/>
      <c r="E22" s="457"/>
      <c r="F22" s="457"/>
      <c r="G22" s="457"/>
      <c r="H22" s="457"/>
      <c r="I22" s="457"/>
      <c r="J22" s="458"/>
    </row>
    <row r="23" spans="2:12" hidden="1" x14ac:dyDescent="0.25">
      <c r="B23" s="463" t="s">
        <v>848</v>
      </c>
      <c r="C23" s="11"/>
      <c r="D23" s="11"/>
      <c r="E23" s="11"/>
      <c r="F23" s="11"/>
      <c r="G23" s="11"/>
      <c r="H23" s="11"/>
      <c r="I23" s="241">
        <f>MAX(I8:I19)</f>
        <v>3.75</v>
      </c>
      <c r="J23" s="465">
        <f>MAX(J8:J19)</f>
        <v>3.75</v>
      </c>
    </row>
    <row r="24" spans="2:12" ht="45" hidden="1" x14ac:dyDescent="0.25">
      <c r="B24" s="463" t="s">
        <v>849</v>
      </c>
      <c r="C24" s="81"/>
      <c r="D24" s="81"/>
      <c r="E24" s="81"/>
      <c r="F24" s="81"/>
      <c r="G24" s="81"/>
      <c r="H24" s="81"/>
      <c r="I24" s="461" t="str">
        <f>INDEX($B8:$B19,MATCH(I23,I8:I19,0))</f>
        <v>Urban and Agricultural Water Use Efficiency</v>
      </c>
      <c r="J24" s="462" t="str">
        <f>INDEX($B$8:$B$19,MATCH(J23,J8:J19,0))</f>
        <v>Urban and Agricultural Water Use Efficiency</v>
      </c>
    </row>
    <row r="25" spans="2:12" hidden="1" x14ac:dyDescent="0.25">
      <c r="B25" s="504" t="s">
        <v>861</v>
      </c>
      <c r="C25" s="495"/>
      <c r="D25" s="495"/>
      <c r="E25" s="495"/>
      <c r="F25" s="495"/>
      <c r="G25" s="495"/>
      <c r="H25" s="495"/>
      <c r="I25" s="497">
        <f>LARGE(I8:I19,2)</f>
        <v>3.6261904761904762</v>
      </c>
      <c r="J25" s="498">
        <f>LARGE(J8:J19,2)</f>
        <v>3.6261904761904762</v>
      </c>
    </row>
    <row r="26" spans="2:12" ht="45" hidden="1" x14ac:dyDescent="0.25">
      <c r="B26" s="505" t="s">
        <v>862</v>
      </c>
      <c r="C26" s="496"/>
      <c r="D26" s="496"/>
      <c r="E26" s="496"/>
      <c r="F26" s="496"/>
      <c r="G26" s="496"/>
      <c r="H26" s="496"/>
      <c r="I26" s="499" t="str">
        <f>INDEX($B8:$B19,MATCH(I25,I8:I19,0))</f>
        <v>Watershed and Ecosystem Management</v>
      </c>
      <c r="J26" s="500" t="str">
        <f>INDEX($B8:$B19,MATCH(J25,J8:J19,0))</f>
        <v>Watershed and Ecosystem Management</v>
      </c>
    </row>
    <row r="27" spans="2:12" hidden="1" x14ac:dyDescent="0.25">
      <c r="B27" s="463" t="s">
        <v>847</v>
      </c>
      <c r="C27" s="11"/>
      <c r="D27" s="11"/>
      <c r="E27" s="11"/>
      <c r="F27" s="11"/>
      <c r="G27" s="11"/>
      <c r="H27" s="11"/>
      <c r="I27" s="241">
        <f>MIN(I8:I19)</f>
        <v>2.3529411764705883</v>
      </c>
      <c r="J27" s="464">
        <f>MIN(J8:J19)</f>
        <v>2.3529411764705883</v>
      </c>
    </row>
    <row r="28" spans="2:12" ht="30" hidden="1" x14ac:dyDescent="0.25">
      <c r="B28" s="505" t="s">
        <v>850</v>
      </c>
      <c r="C28" s="496"/>
      <c r="D28" s="496"/>
      <c r="E28" s="496"/>
      <c r="F28" s="496"/>
      <c r="G28" s="496"/>
      <c r="H28" s="496"/>
      <c r="I28" s="499" t="str">
        <f>INDEX($B8:$B19,MATCH(I27,I8:I19,0))</f>
        <v>Seawater Desalination</v>
      </c>
      <c r="J28" s="500" t="str">
        <f>INDEX($B$8:$B$19,MATCH(J$27,$I$8:$I$19,0))</f>
        <v>Seawater Desalination</v>
      </c>
    </row>
    <row r="29" spans="2:12" hidden="1" x14ac:dyDescent="0.25">
      <c r="B29" s="504" t="s">
        <v>864</v>
      </c>
      <c r="C29" s="495"/>
      <c r="D29" s="495"/>
      <c r="E29" s="495"/>
      <c r="F29" s="495"/>
      <c r="G29" s="495"/>
      <c r="H29" s="495"/>
      <c r="I29" s="497">
        <f>SMALL(I8:I19,2)</f>
        <v>2.375</v>
      </c>
      <c r="J29" s="498">
        <f>SMALL(J8:J19,2)</f>
        <v>2.375</v>
      </c>
    </row>
    <row r="30" spans="2:12" ht="30" hidden="1" x14ac:dyDescent="0.25">
      <c r="B30" s="505" t="s">
        <v>863</v>
      </c>
      <c r="C30" s="496"/>
      <c r="D30" s="496"/>
      <c r="E30" s="496"/>
      <c r="F30" s="496"/>
      <c r="G30" s="496"/>
      <c r="H30" s="496"/>
      <c r="I30" s="499" t="str">
        <f>INDEX($B8:$B19,MATCH(I29,I8:I19,0))</f>
        <v>Imported Water Purchases</v>
      </c>
      <c r="J30" s="500" t="str">
        <f>INDEX($B8:$B19,MATCH(J29,J8:J19,0))</f>
        <v>Imported Water Purchases</v>
      </c>
    </row>
    <row r="31" spans="2:12" hidden="1" x14ac:dyDescent="0.25">
      <c r="B31" s="506" t="s">
        <v>844</v>
      </c>
      <c r="C31" s="501"/>
      <c r="D31" s="501"/>
      <c r="E31" s="501"/>
      <c r="F31" s="501"/>
      <c r="G31" s="501"/>
      <c r="H31" s="501"/>
      <c r="I31" s="502">
        <f>I23-I27</f>
        <v>1.3970588235294117</v>
      </c>
      <c r="J31" s="503">
        <f>J23-J27</f>
        <v>1.3970588235294117</v>
      </c>
    </row>
    <row r="32" spans="2:12" ht="15.75" hidden="1" thickBot="1" x14ac:dyDescent="0.3">
      <c r="B32" s="507" t="s">
        <v>865</v>
      </c>
      <c r="C32" s="316"/>
      <c r="D32" s="316"/>
      <c r="E32" s="316"/>
      <c r="F32" s="316"/>
      <c r="G32" s="316"/>
      <c r="H32" s="316"/>
      <c r="I32" s="41">
        <f>AVERAGE(I8:I19)</f>
        <v>3.1637668703845176</v>
      </c>
      <c r="J32" s="44">
        <f>AVERAGE(J8:J19)</f>
        <v>3.1637668703845176</v>
      </c>
    </row>
    <row r="34" spans="2:12" ht="15.75" hidden="1" thickBot="1" x14ac:dyDescent="0.3">
      <c r="B34" s="1" t="s">
        <v>784</v>
      </c>
      <c r="L34" s="52"/>
    </row>
    <row r="35" spans="2:12" ht="45.75" hidden="1" thickBot="1" x14ac:dyDescent="0.3">
      <c r="B35" s="348" t="s">
        <v>37</v>
      </c>
      <c r="C35" s="414" t="s">
        <v>6</v>
      </c>
      <c r="D35" s="476"/>
      <c r="E35" s="347" t="s">
        <v>124</v>
      </c>
      <c r="F35" s="26"/>
      <c r="G35" s="90"/>
      <c r="L35" s="52"/>
    </row>
    <row r="36" spans="2:12" ht="25.5" hidden="1" customHeight="1" x14ac:dyDescent="0.25">
      <c r="B36" s="329" t="str">
        <f>'Project-Level Data'!B22</f>
        <v>Dulzura Conduit Refurbishment</v>
      </c>
      <c r="C36" s="474" t="str">
        <f>'Project-Level Data'!C22</f>
        <v>Conveyance Improvement</v>
      </c>
      <c r="D36" s="477"/>
      <c r="E36" s="389">
        <f>'Project-Level Data'!BQ22</f>
        <v>3</v>
      </c>
      <c r="F36" s="26"/>
      <c r="G36" s="419"/>
    </row>
    <row r="37" spans="2:12" hidden="1" x14ac:dyDescent="0.25">
      <c r="B37" s="227" t="str">
        <f>'Project-Level Data'!B53</f>
        <v>Mission Trails Projects Alternative 1</v>
      </c>
      <c r="C37" s="475" t="str">
        <f>'Project-Level Data'!C53</f>
        <v>Conveyance Improvement</v>
      </c>
      <c r="D37" s="477"/>
      <c r="E37" s="380">
        <f>'Project-Level Data'!BQ53</f>
        <v>3</v>
      </c>
      <c r="F37" s="26"/>
      <c r="G37" s="419"/>
    </row>
    <row r="38" spans="2:12" hidden="1" x14ac:dyDescent="0.25">
      <c r="B38" s="227" t="str">
        <f>'Project-Level Data'!B72</f>
        <v>Pipeline 3/Pipeline 4 Conversion</v>
      </c>
      <c r="C38" s="475" t="str">
        <f>'Project-Level Data'!C72</f>
        <v>Conveyance Improvement</v>
      </c>
      <c r="D38" s="477"/>
      <c r="E38" s="380">
        <f>'Project-Level Data'!BQ72</f>
        <v>3</v>
      </c>
      <c r="F38" s="26"/>
      <c r="G38" s="419"/>
    </row>
    <row r="39" spans="2:12" hidden="1" x14ac:dyDescent="0.25">
      <c r="B39" s="227" t="str">
        <f>'Project-Level Data'!B89</f>
        <v>San Diego County Reservoir Intertie</v>
      </c>
      <c r="C39" s="475" t="str">
        <f>'Project-Level Data'!C89</f>
        <v>Conveyance Improvement</v>
      </c>
      <c r="D39" s="477"/>
      <c r="E39" s="380">
        <f>'Project-Level Data'!BQ89</f>
        <v>3</v>
      </c>
      <c r="F39" s="26"/>
      <c r="G39" s="419"/>
    </row>
    <row r="40" spans="2:12" hidden="1" x14ac:dyDescent="0.25">
      <c r="B40" s="227" t="str">
        <f>'Project-Level Data'!B100</f>
        <v>San Vicente 3rd Pump Drive and Power</v>
      </c>
      <c r="C40" s="475" t="str">
        <f>'Project-Level Data'!C100</f>
        <v>Conveyance Improvement</v>
      </c>
      <c r="D40" s="477"/>
      <c r="E40" s="380" t="str">
        <f>'Project-Level Data'!BQ100</f>
        <v>MISSING</v>
      </c>
      <c r="F40" s="26"/>
      <c r="G40" s="419"/>
    </row>
    <row r="41" spans="2:12" hidden="1" x14ac:dyDescent="0.25">
      <c r="B41" s="227" t="str">
        <f>'Project-Level Data'!B103</f>
        <v>Second Crossover Pipeline</v>
      </c>
      <c r="C41" s="475" t="str">
        <f>'Project-Level Data'!C103</f>
        <v>Conveyance Improvement</v>
      </c>
      <c r="D41" s="477"/>
      <c r="E41" s="380" t="str">
        <f>'Project-Level Data'!BQ103</f>
        <v>MISSING</v>
      </c>
      <c r="F41" s="26"/>
      <c r="G41" s="419"/>
    </row>
    <row r="42" spans="2:12" ht="15" hidden="1" customHeight="1" x14ac:dyDescent="0.25">
      <c r="B42" s="227" t="str">
        <f>'Project-Level Data'!B27</f>
        <v xml:space="preserve">Enhanced Conservation </v>
      </c>
      <c r="C42" s="475" t="str">
        <f>'Project-Level Data'!C27</f>
        <v>Enhanced Conservation</v>
      </c>
      <c r="D42" s="477"/>
      <c r="E42" s="380" t="str">
        <f>'Project-Level Data'!BQ27</f>
        <v>REMOVED</v>
      </c>
      <c r="F42" s="26"/>
      <c r="G42" s="419"/>
    </row>
    <row r="43" spans="2:12" ht="15" hidden="1" customHeight="1" x14ac:dyDescent="0.25">
      <c r="B43" s="227" t="str">
        <f>'Project-Level Data'!B21</f>
        <v>Conservation Home Makeover in the Chollas Creek Watershed</v>
      </c>
      <c r="C43" s="475" t="str">
        <f>'Project-Level Data'!C21</f>
        <v>Gray Water Use</v>
      </c>
      <c r="D43" s="477"/>
      <c r="E43" s="380" t="str">
        <f>'Project-Level Data'!BQ21</f>
        <v>No Response</v>
      </c>
      <c r="F43" s="26"/>
      <c r="G43" s="419"/>
    </row>
    <row r="44" spans="2:12" hidden="1" x14ac:dyDescent="0.25">
      <c r="B44" s="227" t="str">
        <f>'Project-Level Data'!B33</f>
        <v>Graywater pilot project</v>
      </c>
      <c r="C44" s="475" t="str">
        <f>'Project-Level Data'!C33</f>
        <v>Gray Water Use</v>
      </c>
      <c r="D44" s="477"/>
      <c r="E44" s="380">
        <f>'Project-Level Data'!BQ33</f>
        <v>3</v>
      </c>
      <c r="F44" s="26"/>
      <c r="G44" s="419"/>
    </row>
    <row r="45" spans="2:12" ht="15" hidden="1" customHeight="1" x14ac:dyDescent="0.25">
      <c r="B45" s="227" t="str">
        <f>'Project-Level Data'!B34</f>
        <v>Groundwater Extraction Santee/El Monte</v>
      </c>
      <c r="C45" s="475" t="str">
        <f>'Project-Level Data'!C34</f>
        <v>Groundwater</v>
      </c>
      <c r="D45" s="477"/>
      <c r="E45" s="380">
        <f>'Project-Level Data'!BQ34</f>
        <v>3</v>
      </c>
      <c r="F45" s="26"/>
      <c r="G45" s="419"/>
    </row>
    <row r="46" spans="2:12" ht="25.5" hidden="1" x14ac:dyDescent="0.25">
      <c r="B46" s="227" t="str">
        <f>'Project-Level Data'!B52</f>
        <v>Middle Sweetwater River Basin Groundwater Well System</v>
      </c>
      <c r="C46" s="475" t="str">
        <f>'Project-Level Data'!C52</f>
        <v>Groundwater</v>
      </c>
      <c r="D46" s="477"/>
      <c r="E46" s="380">
        <f>'Project-Level Data'!BQ52</f>
        <v>3</v>
      </c>
      <c r="F46" s="26"/>
      <c r="G46" s="419"/>
    </row>
    <row r="47" spans="2:12" hidden="1" x14ac:dyDescent="0.25">
      <c r="B47" s="227" t="str">
        <f>'Project-Level Data'!B54</f>
        <v>Mission Valley Brackish Groundwater Recovery Project</v>
      </c>
      <c r="C47" s="475" t="str">
        <f>'Project-Level Data'!C54</f>
        <v>Groundwater</v>
      </c>
      <c r="D47" s="477"/>
      <c r="E47" s="380">
        <f>'Project-Level Data'!BQ54</f>
        <v>3</v>
      </c>
      <c r="F47" s="26"/>
      <c r="G47" s="419"/>
    </row>
    <row r="48" spans="2:12" ht="15" hidden="1" customHeight="1" x14ac:dyDescent="0.25">
      <c r="B48" s="227" t="str">
        <f>'Project-Level Data'!B67</f>
        <v>Otay Mesa Lot 7 Groundwater Well System (capacity)</v>
      </c>
      <c r="C48" s="475" t="str">
        <f>'Project-Level Data'!C67</f>
        <v>Groundwater</v>
      </c>
      <c r="D48" s="477"/>
      <c r="E48" s="380">
        <f>'Project-Level Data'!BQ67</f>
        <v>3</v>
      </c>
    </row>
    <row r="49" spans="2:5" ht="25.5" hidden="1" x14ac:dyDescent="0.25">
      <c r="B49" s="227" t="str">
        <f>'Project-Level Data'!B68</f>
        <v>Otay River Valley GW Aquifer Studies &amp; Field Investigations</v>
      </c>
      <c r="C49" s="475" t="str">
        <f>'Project-Level Data'!C68</f>
        <v>Groundwater</v>
      </c>
      <c r="D49" s="477"/>
      <c r="E49" s="380">
        <f>'Project-Level Data'!BQ68</f>
        <v>3</v>
      </c>
    </row>
    <row r="50" spans="2:5" ht="25.5" hidden="1" x14ac:dyDescent="0.25">
      <c r="B50" s="227" t="str">
        <f>'Project-Level Data'!B79</f>
        <v>Rancho del Rey Groundwater Well Development (capacity)</v>
      </c>
      <c r="C50" s="475" t="str">
        <f>'Project-Level Data'!C79</f>
        <v>Groundwater</v>
      </c>
      <c r="D50" s="477"/>
      <c r="E50" s="380">
        <f>'Project-Level Data'!BQ79</f>
        <v>3</v>
      </c>
    </row>
    <row r="51" spans="2:5" ht="15" hidden="1" customHeight="1" x14ac:dyDescent="0.25">
      <c r="B51" s="227" t="str">
        <f>'Project-Level Data'!B90</f>
        <v>San Diego Formation - Southeaster San Diego, including Mt Hope</v>
      </c>
      <c r="C51" s="475" t="str">
        <f>'Project-Level Data'!C90</f>
        <v>Groundwater</v>
      </c>
      <c r="D51" s="477"/>
      <c r="E51" s="380" t="str">
        <f>'Project-Level Data'!BQ90</f>
        <v>MISSING</v>
      </c>
    </row>
    <row r="52" spans="2:5" ht="25.5" hidden="1" x14ac:dyDescent="0.25">
      <c r="B52" s="227" t="str">
        <f>'Project-Level Data'!B94</f>
        <v>San Dieguito River Basin Brackish GW Recovery and Treatment</v>
      </c>
      <c r="C52" s="475" t="str">
        <f>'Project-Level Data'!C94</f>
        <v>Groundwater</v>
      </c>
      <c r="D52" s="477"/>
      <c r="E52" s="380">
        <f>'Project-Level Data'!BQ94</f>
        <v>4</v>
      </c>
    </row>
    <row r="53" spans="2:5" hidden="1" x14ac:dyDescent="0.25">
      <c r="B53" s="227" t="str">
        <f>'Project-Level Data'!B95</f>
        <v>San Luis Rey Groundwater Study</v>
      </c>
      <c r="C53" s="475" t="str">
        <f>'Project-Level Data'!C95</f>
        <v>Groundwater</v>
      </c>
      <c r="D53" s="477"/>
      <c r="E53" s="380" t="str">
        <f>'Project-Level Data'!BQ95</f>
        <v>No Response</v>
      </c>
    </row>
    <row r="54" spans="2:5" hidden="1" x14ac:dyDescent="0.25">
      <c r="B54" s="227" t="str">
        <f>'Project-Level Data'!B99</f>
        <v>San Pasqual Brackish Groundwater Recovery Project</v>
      </c>
      <c r="C54" s="475" t="str">
        <f>'Project-Level Data'!C99</f>
        <v>Groundwater</v>
      </c>
      <c r="D54" s="477"/>
      <c r="E54" s="380">
        <f>'Project-Level Data'!BQ99</f>
        <v>3</v>
      </c>
    </row>
    <row r="55" spans="2:5" ht="38.25" hidden="1" x14ac:dyDescent="0.25">
      <c r="B55" s="227" t="str">
        <f>'Project-Level Data'!B101</f>
        <v>Santa Margarita Conjunctive-Use Project - Local surface water recharge and expansion of Camp Pendleton groundwater recovery program</v>
      </c>
      <c r="C55" s="475" t="str">
        <f>'Project-Level Data'!C101</f>
        <v>Groundwater</v>
      </c>
      <c r="D55" s="477"/>
      <c r="E55" s="380" t="str">
        <f>'Project-Level Data'!BQ101</f>
        <v>No Response</v>
      </c>
    </row>
    <row r="56" spans="2:5" hidden="1" x14ac:dyDescent="0.25">
      <c r="B56" s="227" t="str">
        <f>'Project-Level Data'!B14</f>
        <v>Cadiz additional imported supplies</v>
      </c>
      <c r="C56" s="475" t="str">
        <f>'Project-Level Data'!C14</f>
        <v>Imported Water Purchases</v>
      </c>
      <c r="D56" s="477"/>
      <c r="E56" s="380">
        <f>'Project-Level Data'!BQ14</f>
        <v>3</v>
      </c>
    </row>
    <row r="57" spans="2:5" ht="25.5" hidden="1" x14ac:dyDescent="0.25">
      <c r="B57" s="227" t="str">
        <f>'Project-Level Data'!B23</f>
        <v>East County Advanced Water Purification Program Phase 1</v>
      </c>
      <c r="C57" s="475" t="str">
        <f>'Project-Level Data'!C23</f>
        <v>Potable Reuse</v>
      </c>
      <c r="D57" s="477"/>
      <c r="E57" s="380">
        <f>'Project-Level Data'!BQ23</f>
        <v>3</v>
      </c>
    </row>
    <row r="58" spans="2:5" ht="25.5" hidden="1" x14ac:dyDescent="0.25">
      <c r="B58" s="227" t="str">
        <f>'Project-Level Data'!B24</f>
        <v>East County Advanced Water Purification Program Phase 2</v>
      </c>
      <c r="C58" s="475" t="str">
        <f>'Project-Level Data'!C24</f>
        <v>Potable Reuse</v>
      </c>
      <c r="D58" s="477"/>
      <c r="E58" s="380">
        <f>'Project-Level Data'!BQ24</f>
        <v>3</v>
      </c>
    </row>
    <row r="59" spans="2:5" ht="15" hidden="1" customHeight="1" x14ac:dyDescent="0.25">
      <c r="B59" s="227" t="str">
        <f>'Project-Level Data'!B25</f>
        <v>East County Advanced Water Purification Program Phase 3</v>
      </c>
      <c r="C59" s="475" t="str">
        <f>'Project-Level Data'!C25</f>
        <v>Potable Reuse</v>
      </c>
      <c r="D59" s="477"/>
      <c r="E59" s="380">
        <f>'Project-Level Data'!BQ25</f>
        <v>3</v>
      </c>
    </row>
    <row r="60" spans="2:5" ht="15" hidden="1" customHeight="1" x14ac:dyDescent="0.25">
      <c r="B60" s="227" t="str">
        <f>'Project-Level Data'!B26</f>
        <v>Encina Wastewater Water Reuse Project</v>
      </c>
      <c r="C60" s="475" t="str">
        <f>'Project-Level Data'!C26</f>
        <v>Potable Reuse</v>
      </c>
      <c r="D60" s="477"/>
      <c r="E60" s="380">
        <f>'Project-Level Data'!BQ26</f>
        <v>3</v>
      </c>
    </row>
    <row r="61" spans="2:5" ht="25.5" hidden="1" x14ac:dyDescent="0.25">
      <c r="B61" s="227" t="str">
        <f>'Project-Level Data'!B59</f>
        <v>New Local Supply Rincon del Diablo - Hale Avenue RRF/ City of Escondido/WRFs</v>
      </c>
      <c r="C61" s="475" t="str">
        <f>'Project-Level Data'!C59</f>
        <v>Potable Reuse</v>
      </c>
      <c r="D61" s="477"/>
      <c r="E61" s="380" t="str">
        <f>'Project-Level Data'!BQ59</f>
        <v>No Response</v>
      </c>
    </row>
    <row r="62" spans="2:5" ht="25.5" hidden="1" x14ac:dyDescent="0.25">
      <c r="B62" s="227" t="str">
        <f>'Project-Level Data'!B73</f>
        <v xml:space="preserve">Potable Reuse/Hale Avenue Resource Recovery Facility (HARRF) </v>
      </c>
      <c r="C62" s="475" t="str">
        <f>'Project-Level Data'!C73</f>
        <v>Potable Reuse</v>
      </c>
      <c r="D62" s="477"/>
      <c r="E62" s="380" t="str">
        <f>'Project-Level Data'!BQ73</f>
        <v>No Response</v>
      </c>
    </row>
    <row r="63" spans="2:5" hidden="1" x14ac:dyDescent="0.25">
      <c r="B63" s="227" t="str">
        <f>'Project-Level Data'!B75</f>
        <v xml:space="preserve">Pure Water San Diego Phase 1 - North City </v>
      </c>
      <c r="C63" s="475" t="str">
        <f>'Project-Level Data'!C75</f>
        <v>Potable Reuse</v>
      </c>
      <c r="D63" s="477"/>
      <c r="E63" s="380">
        <f>'Project-Level Data'!BQ75</f>
        <v>3</v>
      </c>
    </row>
    <row r="64" spans="2:5" hidden="1" x14ac:dyDescent="0.25">
      <c r="B64" s="227" t="str">
        <f>'Project-Level Data'!B76</f>
        <v>Pure Water San Diego Phase 2 - Central</v>
      </c>
      <c r="C64" s="475" t="str">
        <f>'Project-Level Data'!C76</f>
        <v>Potable Reuse</v>
      </c>
      <c r="D64" s="477"/>
      <c r="E64" s="380">
        <f>'Project-Level Data'!BQ76</f>
        <v>3</v>
      </c>
    </row>
    <row r="65" spans="2:5" hidden="1" x14ac:dyDescent="0.25">
      <c r="B65" s="227" t="str">
        <f>'Project-Level Data'!B104</f>
        <v>SFID/SDWD/SEJPA Potable Reuse Project</v>
      </c>
      <c r="C65" s="475" t="str">
        <f>'Project-Level Data'!C104</f>
        <v>Potable Reuse</v>
      </c>
      <c r="D65" s="477"/>
      <c r="E65" s="380">
        <f>'Project-Level Data'!BQ104</f>
        <v>3</v>
      </c>
    </row>
    <row r="66" spans="2:5" hidden="1" x14ac:dyDescent="0.25">
      <c r="B66" s="227" t="str">
        <f>'Project-Level Data'!B108</f>
        <v>South WWTP - Indirect Potable Recharge</v>
      </c>
      <c r="C66" s="475" t="str">
        <f>'Project-Level Data'!C108</f>
        <v>Potable Reuse</v>
      </c>
      <c r="D66" s="477"/>
      <c r="E66" s="380">
        <f>'Project-Level Data'!BQ108</f>
        <v>3</v>
      </c>
    </row>
    <row r="67" spans="2:5" hidden="1" x14ac:dyDescent="0.25">
      <c r="B67" s="227" t="str">
        <f>'Project-Level Data'!B109</f>
        <v>South WWTP - Injection to Las Flores Basin</v>
      </c>
      <c r="C67" s="475" t="str">
        <f>'Project-Level Data'!C109</f>
        <v>Potable Reuse</v>
      </c>
      <c r="D67" s="477"/>
      <c r="E67" s="380">
        <f>'Project-Level Data'!BQ109</f>
        <v>3</v>
      </c>
    </row>
    <row r="68" spans="2:5" hidden="1" x14ac:dyDescent="0.25">
      <c r="B68" s="227" t="str">
        <f>'Project-Level Data'!B110</f>
        <v>South WWTP - Injection to Santa Margarita Basin</v>
      </c>
      <c r="C68" s="475" t="str">
        <f>'Project-Level Data'!C110</f>
        <v>Potable Reuse</v>
      </c>
      <c r="D68" s="477"/>
      <c r="E68" s="380">
        <f>'Project-Level Data'!BQ110</f>
        <v>3</v>
      </c>
    </row>
    <row r="69" spans="2:5" hidden="1" x14ac:dyDescent="0.25">
      <c r="B69" s="227" t="str">
        <f>'Project-Level Data'!B17</f>
        <v>Carlsbad WRF - Landscape, Agriculture 2025</v>
      </c>
      <c r="C69" s="475" t="str">
        <f>'Project-Level Data'!C17</f>
        <v>Recycled Water</v>
      </c>
      <c r="D69" s="477"/>
      <c r="E69" s="380">
        <f>'Project-Level Data'!BQ17</f>
        <v>3</v>
      </c>
    </row>
    <row r="70" spans="2:5" hidden="1" x14ac:dyDescent="0.25">
      <c r="B70" s="227" t="str">
        <f>'Project-Level Data'!B18</f>
        <v>Carlsbad WRF - Landscape, Agriculture 2050</v>
      </c>
      <c r="C70" s="475" t="str">
        <f>'Project-Level Data'!C18</f>
        <v>Recycled Water</v>
      </c>
      <c r="D70" s="477"/>
      <c r="E70" s="380">
        <f>'Project-Level Data'!BQ18</f>
        <v>3</v>
      </c>
    </row>
    <row r="71" spans="2:5" hidden="1" x14ac:dyDescent="0.25">
      <c r="B71" s="227" t="str">
        <f>'Project-Level Data'!B28</f>
        <v>Extension 153 Phase I</v>
      </c>
      <c r="C71" s="475" t="str">
        <f>'Project-Level Data'!C28</f>
        <v>Recycled Water</v>
      </c>
      <c r="D71" s="477"/>
      <c r="E71" s="380">
        <f>'Project-Level Data'!BQ28</f>
        <v>4</v>
      </c>
    </row>
    <row r="72" spans="2:5" hidden="1" x14ac:dyDescent="0.25">
      <c r="B72" s="227" t="str">
        <f>'Project-Level Data'!B29</f>
        <v>Extension 153 Phase II</v>
      </c>
      <c r="C72" s="475" t="str">
        <f>'Project-Level Data'!C29</f>
        <v>Recycled Water</v>
      </c>
      <c r="D72" s="477"/>
      <c r="E72" s="380">
        <f>'Project-Level Data'!BQ29</f>
        <v>4</v>
      </c>
    </row>
    <row r="73" spans="2:5" ht="25.5" hidden="1" x14ac:dyDescent="0.25">
      <c r="B73" s="227" t="str">
        <f>'Project-Level Data'!B35</f>
        <v>Hale Avenue Resource Recovery Facility (HARRF) - Landscape, Agriculture, Industrial, PR</v>
      </c>
      <c r="C73" s="475" t="str">
        <f>'Project-Level Data'!C35</f>
        <v>Recycled Water</v>
      </c>
      <c r="D73" s="477"/>
      <c r="E73" s="380" t="str">
        <f>'Project-Level Data'!BQ35</f>
        <v>No Response</v>
      </c>
    </row>
    <row r="74" spans="2:5" ht="25.5" hidden="1" x14ac:dyDescent="0.25">
      <c r="B74" s="227" t="str">
        <f>'Project-Level Data'!B36</f>
        <v>Integrated Water Resource Solutions for the Carlsbad Watershed</v>
      </c>
      <c r="C74" s="475" t="str">
        <f>'Project-Level Data'!C36</f>
        <v>Recycled Water</v>
      </c>
      <c r="D74" s="477"/>
      <c r="E74" s="380">
        <f>'Project-Level Data'!BQ36</f>
        <v>4</v>
      </c>
    </row>
    <row r="75" spans="2:5" ht="25.5" hidden="1" x14ac:dyDescent="0.25">
      <c r="B75" s="227" t="str">
        <f>'Project-Level Data'!B37</f>
        <v>Intergrated Water Resource Solutions for the Carlsbad Watershed</v>
      </c>
      <c r="C75" s="475" t="str">
        <f>'Project-Level Data'!C37</f>
        <v>Recycled Water</v>
      </c>
      <c r="D75" s="477"/>
      <c r="E75" s="380">
        <f>'Project-Level Data'!BQ37</f>
        <v>4</v>
      </c>
    </row>
    <row r="76" spans="2:5" hidden="1" x14ac:dyDescent="0.25">
      <c r="B76" s="227" t="str">
        <f>'Project-Level Data'!B38</f>
        <v>Joint RW Transmission Project with SFID and OMWD</v>
      </c>
      <c r="C76" s="475" t="str">
        <f>'Project-Level Data'!C38</f>
        <v>Recycled Water</v>
      </c>
      <c r="D76" s="477"/>
      <c r="E76" s="380">
        <f>'Project-Level Data'!BQ38</f>
        <v>4</v>
      </c>
    </row>
    <row r="77" spans="2:5" hidden="1" x14ac:dyDescent="0.25">
      <c r="B77" s="227" t="str">
        <f>'Project-Level Data'!B42</f>
        <v>Lilac Hills Ranch WRF</v>
      </c>
      <c r="C77" s="475" t="str">
        <f>'Project-Level Data'!C42</f>
        <v>Recycled Water</v>
      </c>
      <c r="D77" s="477"/>
      <c r="E77" s="380" t="str">
        <f>'Project-Level Data'!BQ42</f>
        <v>No Response</v>
      </c>
    </row>
    <row r="78" spans="2:5" ht="15" hidden="1" customHeight="1" x14ac:dyDescent="0.25">
      <c r="B78" s="227" t="str">
        <f>'Project-Level Data'!B45</f>
        <v>Lower Moosa Canyon WRF</v>
      </c>
      <c r="C78" s="475" t="str">
        <f>'Project-Level Data'!C45</f>
        <v>Recycled Water</v>
      </c>
      <c r="D78" s="477"/>
      <c r="E78" s="380" t="str">
        <f>'Project-Level Data'!BQ45</f>
        <v>No Response</v>
      </c>
    </row>
    <row r="79" spans="2:5" hidden="1" x14ac:dyDescent="0.25">
      <c r="B79" s="227" t="str">
        <f>'Project-Level Data'!B50</f>
        <v>Meadowlark WRF</v>
      </c>
      <c r="C79" s="475" t="str">
        <f>'Project-Level Data'!C50</f>
        <v>Recycled Water</v>
      </c>
      <c r="D79" s="477"/>
      <c r="E79" s="380" t="str">
        <f>'Project-Level Data'!BQ50</f>
        <v>No Response</v>
      </c>
    </row>
    <row r="80" spans="2:5" hidden="1" x14ac:dyDescent="0.25">
      <c r="B80" s="227" t="str">
        <f>'Project-Level Data'!B51</f>
        <v>Meadowood WRF</v>
      </c>
      <c r="C80" s="475" t="str">
        <f>'Project-Level Data'!C51</f>
        <v>Recycled Water</v>
      </c>
      <c r="D80" s="477"/>
      <c r="E80" s="380" t="str">
        <f>'Project-Level Data'!BQ51</f>
        <v>No Response</v>
      </c>
    </row>
    <row r="81" spans="2:5" hidden="1" x14ac:dyDescent="0.25">
      <c r="B81" s="227" t="str">
        <f>'Project-Level Data'!B61</f>
        <v>North City WRP - Project 1</v>
      </c>
      <c r="C81" s="475" t="str">
        <f>'Project-Level Data'!C61</f>
        <v>Recycled Water</v>
      </c>
      <c r="D81" s="477"/>
      <c r="E81" s="380">
        <f>'Project-Level Data'!BQ61</f>
        <v>3</v>
      </c>
    </row>
    <row r="82" spans="2:5" ht="15" hidden="1" customHeight="1" x14ac:dyDescent="0.25">
      <c r="B82" s="227" t="str">
        <f>'Project-Level Data'!B62</f>
        <v>North City WRP - Project 2</v>
      </c>
      <c r="C82" s="475" t="str">
        <f>'Project-Level Data'!C62</f>
        <v>Recycled Water</v>
      </c>
      <c r="D82" s="477"/>
      <c r="E82" s="380">
        <f>'Project-Level Data'!BQ62</f>
        <v>3</v>
      </c>
    </row>
    <row r="83" spans="2:5" hidden="1" x14ac:dyDescent="0.25">
      <c r="B83" s="227" t="str">
        <f>'Project-Level Data'!B63</f>
        <v>North District Recycled System/RW Chapman WRF</v>
      </c>
      <c r="C83" s="475" t="str">
        <f>'Project-Level Data'!C63</f>
        <v>Recycled Water</v>
      </c>
      <c r="D83" s="477"/>
      <c r="E83" s="380">
        <f>'Project-Level Data'!BQ63</f>
        <v>3</v>
      </c>
    </row>
    <row r="84" spans="2:5" ht="15" hidden="1" customHeight="1" x14ac:dyDescent="0.25">
      <c r="B84" s="227" t="str">
        <f>'Project-Level Data'!B64</f>
        <v>North San Diego County Regional Recycled Water Project-Phase ll</v>
      </c>
      <c r="C84" s="475" t="str">
        <f>'Project-Level Data'!C64</f>
        <v>Recycled Water</v>
      </c>
      <c r="D84" s="477"/>
      <c r="E84" s="380">
        <f>'Project-Level Data'!BQ64</f>
        <v>4</v>
      </c>
    </row>
    <row r="85" spans="2:5" ht="15" hidden="1" customHeight="1" x14ac:dyDescent="0.25">
      <c r="B85" s="227" t="str">
        <f>'Project-Level Data'!B65</f>
        <v>North Village WRF</v>
      </c>
      <c r="C85" s="475" t="str">
        <f>'Project-Level Data'!C65</f>
        <v>Recycled Water</v>
      </c>
      <c r="D85" s="477"/>
      <c r="E85" s="380" t="str">
        <f>'Project-Level Data'!BQ65</f>
        <v>No Response</v>
      </c>
    </row>
    <row r="86" spans="2:5" hidden="1" x14ac:dyDescent="0.25">
      <c r="B86" s="227" t="str">
        <f>'Project-Level Data'!B66</f>
        <v>North WWTP Landscape Application</v>
      </c>
      <c r="C86" s="475" t="str">
        <f>'Project-Level Data'!C66</f>
        <v>Recycled Water</v>
      </c>
      <c r="D86" s="477"/>
      <c r="E86" s="380">
        <f>'Project-Level Data'!BQ66</f>
        <v>3</v>
      </c>
    </row>
    <row r="87" spans="2:5" ht="15" hidden="1" customHeight="1" x14ac:dyDescent="0.25">
      <c r="B87" s="227" t="str">
        <f>'Project-Level Data'!B78</f>
        <v>Rancho Cielo</v>
      </c>
      <c r="C87" s="475" t="str">
        <f>'Project-Level Data'!C78</f>
        <v>Recycled Water</v>
      </c>
      <c r="D87" s="477"/>
      <c r="E87" s="380">
        <f>'Project-Level Data'!BQ78</f>
        <v>4</v>
      </c>
    </row>
    <row r="88" spans="2:5" hidden="1" x14ac:dyDescent="0.25">
      <c r="B88" s="227" t="str">
        <f>'Project-Level Data'!B80</f>
        <v>Ray Stoyer WRF - Landscape, Irrigation, Dust Control</v>
      </c>
      <c r="C88" s="475" t="str">
        <f>'Project-Level Data'!C80</f>
        <v>Recycled Water</v>
      </c>
      <c r="D88" s="477"/>
      <c r="E88" s="380">
        <f>'Project-Level Data'!BQ80</f>
        <v>3</v>
      </c>
    </row>
    <row r="89" spans="2:5" ht="15" hidden="1" customHeight="1" x14ac:dyDescent="0.25">
      <c r="B89" s="227" t="str">
        <f>'Project-Level Data'!B86</f>
        <v>Safari Drought Response and Outreach</v>
      </c>
      <c r="C89" s="475" t="str">
        <f>'Project-Level Data'!C86</f>
        <v>Recycled Water</v>
      </c>
      <c r="D89" s="477"/>
      <c r="E89" s="380" t="str">
        <f>'Project-Level Data'!BQ86</f>
        <v>No Response</v>
      </c>
    </row>
    <row r="90" spans="2:5" hidden="1" x14ac:dyDescent="0.25">
      <c r="B90" s="227" t="str">
        <f>'Project-Level Data'!B102</f>
        <v>Santa Maria WRP</v>
      </c>
      <c r="C90" s="475" t="str">
        <f>'Project-Level Data'!C102</f>
        <v>Recycled Water</v>
      </c>
      <c r="D90" s="477"/>
      <c r="E90" s="380" t="str">
        <f>'Project-Level Data'!BQ102</f>
        <v>No Response</v>
      </c>
    </row>
    <row r="91" spans="2:5" hidden="1" x14ac:dyDescent="0.25">
      <c r="B91" s="227" t="str">
        <f>'Project-Level Data'!B105</f>
        <v>Shadowridge WRP</v>
      </c>
      <c r="C91" s="475" t="str">
        <f>'Project-Level Data'!C105</f>
        <v>Recycled Water</v>
      </c>
      <c r="D91" s="477"/>
      <c r="E91" s="380" t="str">
        <f>'Project-Level Data'!BQ105</f>
        <v>No Response</v>
      </c>
    </row>
    <row r="92" spans="2:5" ht="25.5" hidden="1" x14ac:dyDescent="0.25">
      <c r="B92" s="227" t="str">
        <f>'Project-Level Data'!B118</f>
        <v>TBD - Evaluation Multiple Options/TBD - Supply/ Source Treatment Plant/Agency for recycled water</v>
      </c>
      <c r="C92" s="475" t="str">
        <f>'Project-Level Data'!C118</f>
        <v>Recycled Water</v>
      </c>
      <c r="D92" s="477"/>
      <c r="E92" s="380">
        <f>'Project-Level Data'!BQ118</f>
        <v>3</v>
      </c>
    </row>
    <row r="93" spans="2:5" hidden="1" x14ac:dyDescent="0.25">
      <c r="B93" s="227" t="str">
        <f>'Project-Level Data'!B122</f>
        <v>Village Park Recycled Water Expansion Project</v>
      </c>
      <c r="C93" s="475" t="str">
        <f>'Project-Level Data'!C122</f>
        <v>Recycled Water</v>
      </c>
      <c r="D93" s="477"/>
      <c r="E93" s="380">
        <f>'Project-Level Data'!BQ122</f>
        <v>4</v>
      </c>
    </row>
    <row r="94" spans="2:5" hidden="1" x14ac:dyDescent="0.25">
      <c r="B94" s="227" t="str">
        <f>'Project-Level Data'!B123</f>
        <v>W+157:181RP/Recycled Water Distribution System</v>
      </c>
      <c r="C94" s="475" t="str">
        <f>'Project-Level Data'!C123</f>
        <v>Recycled Water</v>
      </c>
      <c r="D94" s="477"/>
      <c r="E94" s="380" t="str">
        <f>'Project-Level Data'!BQ123</f>
        <v>No Response</v>
      </c>
    </row>
    <row r="95" spans="2:5" hidden="1" x14ac:dyDescent="0.25">
      <c r="B95" s="227" t="str">
        <f>'Project-Level Data'!B124</f>
        <v>Welk WRF</v>
      </c>
      <c r="C95" s="475" t="str">
        <f>'Project-Level Data'!C124</f>
        <v>Recycled Water</v>
      </c>
      <c r="D95" s="477"/>
      <c r="E95" s="380" t="str">
        <f>'Project-Level Data'!BQ124</f>
        <v>No Response</v>
      </c>
    </row>
    <row r="96" spans="2:5" hidden="1" x14ac:dyDescent="0.25">
      <c r="B96" s="227" t="str">
        <f>'Project-Level Data'!B125</f>
        <v>Woods Valley Ranch WRF Phase 3</v>
      </c>
      <c r="C96" s="475" t="str">
        <f>'Project-Level Data'!C125</f>
        <v>Recycled Water</v>
      </c>
      <c r="D96" s="477"/>
      <c r="E96" s="380" t="str">
        <f>'Project-Level Data'!BQ125</f>
        <v>No Response</v>
      </c>
    </row>
    <row r="97" spans="2:5" hidden="1" x14ac:dyDescent="0.25">
      <c r="B97" s="227" t="str">
        <f>'Project-Level Data'!B15</f>
        <v>Camp Pendleton Desalination Facility</v>
      </c>
      <c r="C97" s="475" t="str">
        <f>'Project-Level Data'!C15</f>
        <v>Seawater Desalination</v>
      </c>
      <c r="D97" s="477"/>
      <c r="E97" s="380">
        <f>'Project-Level Data'!BQ15</f>
        <v>4</v>
      </c>
    </row>
    <row r="98" spans="2:5" ht="15" hidden="1" customHeight="1" x14ac:dyDescent="0.25">
      <c r="B98" s="227" t="str">
        <f>'Project-Level Data'!B83</f>
        <v>Re-rating of Carlsbad Desalination for higher flow</v>
      </c>
      <c r="C98" s="475" t="str">
        <f>'Project-Level Data'!C83</f>
        <v>Seawater Desalination</v>
      </c>
      <c r="D98" s="477"/>
      <c r="E98" s="380" t="str">
        <f>'Project-Level Data'!BQ83</f>
        <v>No Response</v>
      </c>
    </row>
    <row r="99" spans="2:5" ht="15" hidden="1" customHeight="1" x14ac:dyDescent="0.25">
      <c r="B99" s="227" t="str">
        <f>'Project-Level Data'!B85</f>
        <v>Rosarito Beach Desalination</v>
      </c>
      <c r="C99" s="475" t="str">
        <f>'Project-Level Data'!C85</f>
        <v>Seawater Desalination</v>
      </c>
      <c r="D99" s="477"/>
      <c r="E99" s="380">
        <f>'Project-Level Data'!BQ85</f>
        <v>3</v>
      </c>
    </row>
    <row r="100" spans="2:5" ht="38.25" hidden="1" x14ac:dyDescent="0.25">
      <c r="B100" s="227" t="str">
        <f>'Project-Level Data'!B9</f>
        <v>Alternative Compliance Retrofit Project El Norte Parkway and Rincon
Villa Drive, Escondido</v>
      </c>
      <c r="C100" s="475" t="str">
        <f>'Project-Level Data'!C9</f>
        <v>Stormwater BMPs</v>
      </c>
      <c r="D100" s="477"/>
      <c r="E100" s="380" t="str">
        <f>'Project-Level Data'!BQ9</f>
        <v>No Response</v>
      </c>
    </row>
    <row r="101" spans="2:5" ht="15" hidden="1" customHeight="1" x14ac:dyDescent="0.25">
      <c r="B101" s="227" t="str">
        <f>'Project-Level Data'!B10</f>
        <v>Alternative Compliance Retrofit Project Mountain View Park, Escondido</v>
      </c>
      <c r="C101" s="475" t="str">
        <f>'Project-Level Data'!C10</f>
        <v>Stormwater BMPs</v>
      </c>
      <c r="D101" s="477"/>
      <c r="E101" s="380" t="str">
        <f>'Project-Level Data'!BQ10</f>
        <v>No Response</v>
      </c>
    </row>
    <row r="102" spans="2:5" hidden="1" x14ac:dyDescent="0.25">
      <c r="B102" s="227" t="str">
        <f>'Project-Level Data'!B11</f>
        <v>Bakersfield Street and San Altos Channel Restoration</v>
      </c>
      <c r="C102" s="475" t="str">
        <f>'Project-Level Data'!C11</f>
        <v>Stormwater BMPs</v>
      </c>
      <c r="D102" s="477"/>
      <c r="E102" s="380">
        <f>'Project-Level Data'!BQ11</f>
        <v>4</v>
      </c>
    </row>
    <row r="103" spans="2:5" ht="38.25" hidden="1" x14ac:dyDescent="0.25">
      <c r="B103" s="227" t="str">
        <f>'Project-Level Data'!B12</f>
        <v>Broadway Channel Flood Risk Reduction and Water Quality
Improvements</v>
      </c>
      <c r="C103" s="475" t="str">
        <f>'Project-Level Data'!C12</f>
        <v>Stormwater BMPs</v>
      </c>
      <c r="D103" s="477"/>
      <c r="E103" s="380">
        <f>'Project-Level Data'!BQ12</f>
        <v>3</v>
      </c>
    </row>
    <row r="104" spans="2:5" hidden="1" x14ac:dyDescent="0.25">
      <c r="B104" s="227" t="str">
        <f>'Project-Level Data'!B20</f>
        <v>City of Oceanside Loma Alta Slough Restoration Project</v>
      </c>
      <c r="C104" s="475" t="str">
        <f>'Project-Level Data'!C20</f>
        <v>Stormwater BMPs</v>
      </c>
      <c r="D104" s="477"/>
      <c r="E104" s="380" t="str">
        <f>'Project-Level Data'!BQ20</f>
        <v>No Response</v>
      </c>
    </row>
    <row r="105" spans="2:5" hidden="1" x14ac:dyDescent="0.25">
      <c r="B105" s="227" t="str">
        <f>'Project-Level Data'!B32</f>
        <v>Golden Ave Green Street</v>
      </c>
      <c r="C105" s="475" t="str">
        <f>'Project-Level Data'!C32</f>
        <v>Stormwater BMPs</v>
      </c>
      <c r="D105" s="477"/>
      <c r="E105" s="380">
        <f>'Project-Level Data'!BQ32</f>
        <v>2</v>
      </c>
    </row>
    <row r="106" spans="2:5" hidden="1" x14ac:dyDescent="0.25">
      <c r="B106" s="227" t="str">
        <f>'Project-Level Data'!B39</f>
        <v>Las Colinas Channel Improvments</v>
      </c>
      <c r="C106" s="475" t="str">
        <f>'Project-Level Data'!C39</f>
        <v>Stormwater BMPs</v>
      </c>
      <c r="D106" s="477"/>
      <c r="E106" s="380">
        <f>'Project-Level Data'!BQ39</f>
        <v>4</v>
      </c>
    </row>
    <row r="107" spans="2:5" hidden="1" x14ac:dyDescent="0.25">
      <c r="B107" s="227" t="str">
        <f>'Project-Level Data'!B40</f>
        <v>Lemon Grove Avenue Green Streets</v>
      </c>
      <c r="C107" s="475" t="str">
        <f>'Project-Level Data'!C40</f>
        <v>Stormwater BMPs</v>
      </c>
      <c r="D107" s="477"/>
      <c r="E107" s="380">
        <f>'Project-Level Data'!BQ40</f>
        <v>2</v>
      </c>
    </row>
    <row r="108" spans="2:5" ht="25.5" hidden="1" x14ac:dyDescent="0.25">
      <c r="B108" s="227" t="str">
        <f>'Project-Level Data'!B41</f>
        <v>Leucadia Roadside Park Stormwater Capture/Reuse Project</v>
      </c>
      <c r="C108" s="475" t="str">
        <f>'Project-Level Data'!C41</f>
        <v>Stormwater BMPs</v>
      </c>
      <c r="D108" s="477"/>
      <c r="E108" s="380">
        <f>'Project-Level Data'!BQ41</f>
        <v>4</v>
      </c>
    </row>
    <row r="109" spans="2:5" hidden="1" x14ac:dyDescent="0.25">
      <c r="B109" s="227" t="str">
        <f>'Project-Level Data'!B43</f>
        <v>Lincoln St Green Street</v>
      </c>
      <c r="C109" s="475" t="str">
        <f>'Project-Level Data'!C43</f>
        <v>Stormwater BMPs</v>
      </c>
      <c r="D109" s="477"/>
      <c r="E109" s="380">
        <f>'Project-Level Data'!BQ43</f>
        <v>2</v>
      </c>
    </row>
    <row r="110" spans="2:5" ht="15" hidden="1" customHeight="1" x14ac:dyDescent="0.25">
      <c r="B110" s="227" t="str">
        <f>'Project-Level Data'!B44</f>
        <v xml:space="preserve">Low Impact Development Urban Runoff Control Projects for the Tijuana Estuary </v>
      </c>
      <c r="C110" s="475" t="str">
        <f>'Project-Level Data'!C44</f>
        <v>Stormwater BMPs</v>
      </c>
      <c r="D110" s="477"/>
      <c r="E110" s="380">
        <f>'Project-Level Data'!BQ44</f>
        <v>5</v>
      </c>
    </row>
    <row r="111" spans="2:5" ht="15" hidden="1" customHeight="1" x14ac:dyDescent="0.25">
      <c r="B111" s="227" t="str">
        <f>'Project-Level Data'!B46</f>
        <v>Madera St Green Street</v>
      </c>
      <c r="C111" s="475" t="str">
        <f>'Project-Level Data'!C46</f>
        <v>Stormwater BMPs</v>
      </c>
      <c r="D111" s="477"/>
      <c r="E111" s="380">
        <f>'Project-Level Data'!BQ46</f>
        <v>2</v>
      </c>
    </row>
    <row r="112" spans="2:5" hidden="1" x14ac:dyDescent="0.25">
      <c r="B112" s="227" t="str">
        <f>'Project-Level Data'!B47</f>
        <v>Main Street Promenade Extension</v>
      </c>
      <c r="C112" s="475" t="str">
        <f>'Project-Level Data'!C47</f>
        <v>Stormwater BMPs</v>
      </c>
      <c r="D112" s="477"/>
      <c r="E112" s="380">
        <f>'Project-Level Data'!BQ47</f>
        <v>2</v>
      </c>
    </row>
    <row r="113" spans="2:5" ht="15" hidden="1" customHeight="1" x14ac:dyDescent="0.25">
      <c r="B113" s="227" t="str">
        <f>'Project-Level Data'!B48</f>
        <v>Mapleview Street ‐ Green Infrastructure and Stormwater QualityImprovement Project</v>
      </c>
      <c r="C113" s="475" t="str">
        <f>'Project-Level Data'!C48</f>
        <v>Stormwater BMPs</v>
      </c>
      <c r="D113" s="477"/>
      <c r="E113" s="380">
        <f>'Project-Level Data'!BQ48</f>
        <v>3</v>
      </c>
    </row>
    <row r="114" spans="2:5" ht="25.5" hidden="1" x14ac:dyDescent="0.25">
      <c r="B114" s="227" t="str">
        <f>'Project-Level Data'!B71</f>
        <v>Paradise Valley Creek Water Quality and Community Enhancement</v>
      </c>
      <c r="C114" s="475" t="str">
        <f>'Project-Level Data'!C71</f>
        <v>Stormwater BMPs</v>
      </c>
      <c r="D114" s="477"/>
      <c r="E114" s="380">
        <f>'Project-Level Data'!BQ71</f>
        <v>4</v>
      </c>
    </row>
    <row r="115" spans="2:5" ht="25.5" hidden="1" x14ac:dyDescent="0.25">
      <c r="B115" s="227" t="str">
        <f>'Project-Level Data'!B74</f>
        <v>Pure Water - Los Penasquitos Creek Urban Dry-Weather Water Harvesting</v>
      </c>
      <c r="C115" s="475" t="str">
        <f>'Project-Level Data'!C74</f>
        <v>Stormwater BMPs</v>
      </c>
      <c r="D115" s="477"/>
      <c r="E115" s="380">
        <f>'Project-Level Data'!BQ74</f>
        <v>4</v>
      </c>
    </row>
    <row r="116" spans="2:5" hidden="1" x14ac:dyDescent="0.25">
      <c r="B116" s="227" t="str">
        <f>'Project-Level Data'!B87</f>
        <v>Safari Park Storm Water Capture and Reuse Project</v>
      </c>
      <c r="C116" s="475" t="str">
        <f>'Project-Level Data'!C87</f>
        <v>Stormwater BMPs</v>
      </c>
      <c r="D116" s="477"/>
      <c r="E116" s="380" t="str">
        <f>'Project-Level Data'!BQ87</f>
        <v>No Response</v>
      </c>
    </row>
    <row r="117" spans="2:5" ht="25.5" hidden="1" x14ac:dyDescent="0.25">
      <c r="B117" s="227" t="str">
        <f>'Project-Level Data'!B88</f>
        <v>Safari Park Water Reuse Sustainability and Watershed Protection Prgram</v>
      </c>
      <c r="C117" s="475" t="str">
        <f>'Project-Level Data'!C88</f>
        <v>Stormwater BMPs</v>
      </c>
      <c r="D117" s="477"/>
      <c r="E117" s="380" t="str">
        <f>'Project-Level Data'!BQ88</f>
        <v>No Response</v>
      </c>
    </row>
    <row r="118" spans="2:5" ht="15" hidden="1" customHeight="1" x14ac:dyDescent="0.25">
      <c r="B118" s="227" t="str">
        <f>'Project-Level Data'!B96</f>
        <v>San Marino Drive Green Street and Dry Weather Flow Management Sweetwater</v>
      </c>
      <c r="C118" s="475" t="str">
        <f>'Project-Level Data'!C96</f>
        <v>Stormwater BMPs</v>
      </c>
      <c r="D118" s="477"/>
      <c r="E118" s="380">
        <f>'Project-Level Data'!BQ96</f>
        <v>3</v>
      </c>
    </row>
    <row r="119" spans="2:5" ht="25.5" hidden="1" x14ac:dyDescent="0.25">
      <c r="B119" s="227" t="str">
        <f>'Project-Level Data'!B97</f>
        <v>San Marino Drive Green Street and Dry Weather Flow Management Vallecitos</v>
      </c>
      <c r="C119" s="475" t="str">
        <f>'Project-Level Data'!C97</f>
        <v>Stormwater BMPs</v>
      </c>
      <c r="D119" s="477"/>
      <c r="E119" s="380">
        <f>'Project-Level Data'!BQ97</f>
        <v>3</v>
      </c>
    </row>
    <row r="120" spans="2:5" ht="15" hidden="1" customHeight="1" x14ac:dyDescent="0.25">
      <c r="B120" s="227" t="str">
        <f>'Project-Level Data'!B98</f>
        <v>San Miguel Green Street</v>
      </c>
      <c r="C120" s="475" t="str">
        <f>'Project-Level Data'!C98</f>
        <v>Stormwater BMPs</v>
      </c>
      <c r="D120" s="477"/>
      <c r="E120" s="380" t="str">
        <f>'Project-Level Data'!BQ98</f>
        <v>No Response</v>
      </c>
    </row>
    <row r="121" spans="2:5" ht="15" hidden="1" customHeight="1" x14ac:dyDescent="0.25">
      <c r="B121" s="227" t="str">
        <f>'Project-Level Data'!B106</f>
        <v>Skyline Dr and Kempt St Green Streets</v>
      </c>
      <c r="C121" s="475" t="str">
        <f>'Project-Level Data'!C106</f>
        <v>Stormwater BMPs</v>
      </c>
      <c r="D121" s="477"/>
      <c r="E121" s="380">
        <f>'Project-Level Data'!BQ106</f>
        <v>2</v>
      </c>
    </row>
    <row r="122" spans="2:5" ht="15" hidden="1" customHeight="1" x14ac:dyDescent="0.25">
      <c r="B122" s="227" t="str">
        <f>'Project-Level Data'!B107</f>
        <v>South Santa Fe Green Street Project</v>
      </c>
      <c r="C122" s="475" t="str">
        <f>'Project-Level Data'!C107</f>
        <v>Stormwater BMPs</v>
      </c>
      <c r="D122" s="477"/>
      <c r="E122" s="380">
        <f>'Project-Level Data'!BQ107</f>
        <v>5</v>
      </c>
    </row>
    <row r="123" spans="2:5" hidden="1" x14ac:dyDescent="0.25">
      <c r="B123" s="227" t="str">
        <f>'Project-Level Data'!B111</f>
        <v>Spruce Street Channel Improvement Project</v>
      </c>
      <c r="C123" s="475" t="str">
        <f>'Project-Level Data'!C111</f>
        <v>Stormwater BMPs</v>
      </c>
      <c r="D123" s="477"/>
      <c r="E123" s="380" t="str">
        <f>'Project-Level Data'!BQ111</f>
        <v>No Response</v>
      </c>
    </row>
    <row r="124" spans="2:5" ht="25.5" hidden="1" x14ac:dyDescent="0.25">
      <c r="B124" s="227" t="str">
        <f>'Project-Level Data'!B112</f>
        <v>Storm water Capture off San Diego River along Alvarado Canyon and Fairmont Canyon to Fish and Wildlife site</v>
      </c>
      <c r="C124" s="475" t="str">
        <f>'Project-Level Data'!C112</f>
        <v>Stormwater BMPs</v>
      </c>
      <c r="D124" s="477"/>
      <c r="E124" s="380">
        <f>'Project-Level Data'!BQ112</f>
        <v>3</v>
      </c>
    </row>
    <row r="125" spans="2:5" hidden="1" x14ac:dyDescent="0.25">
      <c r="B125" s="227" t="str">
        <f>'Project-Level Data'!B114</f>
        <v>Sweetwater Rd Green Street</v>
      </c>
      <c r="C125" s="475" t="str">
        <f>'Project-Level Data'!C114</f>
        <v>Stormwater BMPs</v>
      </c>
      <c r="D125" s="477"/>
      <c r="E125" s="380">
        <f>'Project-Level Data'!BQ114</f>
        <v>2</v>
      </c>
    </row>
    <row r="126" spans="2:5" hidden="1" x14ac:dyDescent="0.25">
      <c r="B126" s="227" t="str">
        <f>'Project-Level Data'!B116</f>
        <v>Sweetwater River Park Bioretention</v>
      </c>
      <c r="C126" s="475" t="str">
        <f>'Project-Level Data'!C116</f>
        <v>Stormwater BMPs</v>
      </c>
      <c r="D126" s="477"/>
      <c r="E126" s="380" t="str">
        <f>'Project-Level Data'!BQ116</f>
        <v>No Response</v>
      </c>
    </row>
    <row r="127" spans="2:5" hidden="1" x14ac:dyDescent="0.25">
      <c r="B127" s="227" t="str">
        <f>'Project-Level Data'!B119</f>
        <v>Telegraph Canyon Channel Improvement Project</v>
      </c>
      <c r="C127" s="475" t="str">
        <f>'Project-Level Data'!C119</f>
        <v>Stormwater BMPs</v>
      </c>
      <c r="D127" s="477"/>
      <c r="E127" s="380" t="str">
        <f>'Project-Level Data'!BQ119</f>
        <v>No Response</v>
      </c>
    </row>
    <row r="128" spans="2:5" hidden="1" x14ac:dyDescent="0.25">
      <c r="B128" s="227" t="str">
        <f>'Project-Level Data'!B126</f>
        <v>Woodside Avenue Complete Green Street</v>
      </c>
      <c r="C128" s="475" t="str">
        <f>'Project-Level Data'!C126</f>
        <v>Stormwater BMPs</v>
      </c>
      <c r="D128" s="477"/>
      <c r="E128" s="380">
        <f>'Project-Level Data'!BQ126</f>
        <v>3</v>
      </c>
    </row>
    <row r="129" spans="2:5" ht="15" hidden="1" customHeight="1" x14ac:dyDescent="0.25">
      <c r="B129" s="227" t="str">
        <f>'Project-Level Data'!B57</f>
        <v>Murray Urban Runoff Diversion System Capture</v>
      </c>
      <c r="C129" s="475" t="str">
        <f>'Project-Level Data'!C57</f>
        <v>Stormwater Capture</v>
      </c>
      <c r="D129" s="477"/>
      <c r="E129" s="380">
        <f>'Project-Level Data'!BQ57</f>
        <v>3</v>
      </c>
    </row>
    <row r="130" spans="2:5" hidden="1" x14ac:dyDescent="0.25">
      <c r="B130" s="227" t="str">
        <f>'Project-Level Data'!B77</f>
        <v>Rainwater harvesting</v>
      </c>
      <c r="C130" s="475" t="str">
        <f>'Project-Level Data'!C77</f>
        <v>Stormwater Capture</v>
      </c>
      <c r="D130" s="477"/>
      <c r="E130" s="380">
        <f>'Project-Level Data'!BQ77</f>
        <v>3</v>
      </c>
    </row>
    <row r="131" spans="2:5" hidden="1" x14ac:dyDescent="0.25">
      <c r="B131" s="227" t="str">
        <f>'Project-Level Data'!B55</f>
        <v xml:space="preserve">Ms. Smarty-Plants Grows Water-Wise Schools </v>
      </c>
      <c r="C131" s="475" t="str">
        <f>'Project-Level Data'!C55</f>
        <v>Urban and Agricultural Water Use Efficiency</v>
      </c>
      <c r="D131" s="477"/>
      <c r="E131" s="380" t="str">
        <f>'Project-Level Data'!BQ55</f>
        <v>No Response</v>
      </c>
    </row>
    <row r="132" spans="2:5" ht="15" hidden="1" customHeight="1" x14ac:dyDescent="0.25">
      <c r="B132" s="227" t="str">
        <f>'Project-Level Data'!B81</f>
        <v>Regional Demand Management Program Expansion</v>
      </c>
      <c r="C132" s="475" t="str">
        <f>'Project-Level Data'!C81</f>
        <v>Urban and Agricultural Water Use Efficiency</v>
      </c>
      <c r="D132" s="477"/>
      <c r="E132" s="380" t="str">
        <f>'Project-Level Data'!BQ81</f>
        <v>MISSING</v>
      </c>
    </row>
    <row r="133" spans="2:5" hidden="1" x14ac:dyDescent="0.25">
      <c r="B133" s="227" t="str">
        <f>'Project-Level Data'!B82</f>
        <v>Regional Drought Resilience Program</v>
      </c>
      <c r="C133" s="475" t="str">
        <f>'Project-Level Data'!C82</f>
        <v>Urban and Agricultural Water Use Efficiency</v>
      </c>
      <c r="D133" s="477"/>
      <c r="E133" s="380" t="str">
        <f>'Project-Level Data'!BQ82</f>
        <v>MISSING</v>
      </c>
    </row>
    <row r="134" spans="2:5" hidden="1" x14ac:dyDescent="0.25">
      <c r="B134" s="227" t="str">
        <f>'Project-Level Data'!B84</f>
        <v>Rincon Customer-Driven Demand Management Program</v>
      </c>
      <c r="C134" s="475" t="str">
        <f>'Project-Level Data'!C84</f>
        <v>Urban and Agricultural Water Use Efficiency</v>
      </c>
      <c r="D134" s="477"/>
      <c r="E134" s="380" t="str">
        <f>'Project-Level Data'!BQ84</f>
        <v>No Response</v>
      </c>
    </row>
    <row r="135" spans="2:5" hidden="1" x14ac:dyDescent="0.25">
      <c r="B135" s="227" t="str">
        <f>'Project-Level Data'!B92</f>
        <v>San Diego Water Conservation Program</v>
      </c>
      <c r="C135" s="475" t="str">
        <f>'Project-Level Data'!C92</f>
        <v>Urban and Agricultural Water Use Efficiency</v>
      </c>
      <c r="D135" s="477"/>
      <c r="E135" s="380">
        <f>'Project-Level Data'!BQ92</f>
        <v>5</v>
      </c>
    </row>
    <row r="136" spans="2:5" hidden="1" x14ac:dyDescent="0.25">
      <c r="B136" s="227" t="str">
        <f>'Project-Level Data'!B93</f>
        <v>San Diego Water Use Reduction Program</v>
      </c>
      <c r="C136" s="475" t="str">
        <f>'Project-Level Data'!C93</f>
        <v>Urban and Agricultural Water Use Efficiency</v>
      </c>
      <c r="D136" s="477"/>
      <c r="E136" s="380" t="str">
        <f>'Project-Level Data'!BQ93</f>
        <v>MISSING</v>
      </c>
    </row>
    <row r="137" spans="2:5" ht="25.5" hidden="1" x14ac:dyDescent="0.25">
      <c r="B137" s="227" t="str">
        <f>'Project-Level Data'!B121</f>
        <v>UC San Diego Water Conservation and Watershed Protection</v>
      </c>
      <c r="C137" s="475" t="str">
        <f>'Project-Level Data'!C121</f>
        <v>Urban and Agricultural Water Use Efficiency</v>
      </c>
      <c r="D137" s="477"/>
      <c r="E137" s="380">
        <f>'Project-Level Data'!BQ121</f>
        <v>4</v>
      </c>
    </row>
    <row r="138" spans="2:5" hidden="1" x14ac:dyDescent="0.25">
      <c r="B138" s="227" t="str">
        <f>'Project-Level Data'!B7</f>
        <v>69th St Green Street</v>
      </c>
      <c r="C138" s="475" t="str">
        <f>'Project-Level Data'!C7</f>
        <v>Watershed and Ecosystem Management</v>
      </c>
      <c r="D138" s="477"/>
      <c r="E138" s="380">
        <f>'Project-Level Data'!BQ7</f>
        <v>2</v>
      </c>
    </row>
    <row r="139" spans="2:5" ht="38.25" hidden="1" x14ac:dyDescent="0.25">
      <c r="B139" s="227" t="str">
        <f>'Project-Level Data'!B8</f>
        <v>Alternative Compliance Retrofit Project Avenida Del Diablo Park,
Escondido</v>
      </c>
      <c r="C139" s="475" t="str">
        <f>'Project-Level Data'!C8</f>
        <v>Watershed and Ecosystem Management</v>
      </c>
      <c r="D139" s="477"/>
      <c r="E139" s="380" t="str">
        <f>'Project-Level Data'!BQ8</f>
        <v>No Response</v>
      </c>
    </row>
    <row r="140" spans="2:5" hidden="1" x14ac:dyDescent="0.25">
      <c r="B140" s="227" t="str">
        <f>'Project-Level Data'!B13</f>
        <v>Broadway/Federal Blvd Green Street</v>
      </c>
      <c r="C140" s="475" t="str">
        <f>'Project-Level Data'!C13</f>
        <v>Watershed and Ecosystem Management</v>
      </c>
      <c r="D140" s="477"/>
      <c r="E140" s="380">
        <f>'Project-Level Data'!BQ13</f>
        <v>2</v>
      </c>
    </row>
    <row r="141" spans="2:5" ht="25.5" hidden="1" customHeight="1" x14ac:dyDescent="0.25">
      <c r="B141" s="227" t="str">
        <f>'Project-Level Data'!B16</f>
        <v>Canton Dr Green Street</v>
      </c>
      <c r="C141" s="475" t="str">
        <f>'Project-Level Data'!C16</f>
        <v>Watershed and Ecosystem Management</v>
      </c>
      <c r="D141" s="477"/>
      <c r="E141" s="380">
        <f>'Project-Level Data'!BQ16</f>
        <v>2</v>
      </c>
    </row>
    <row r="142" spans="2:5" hidden="1" x14ac:dyDescent="0.25">
      <c r="B142" s="227" t="str">
        <f>'Project-Level Data'!B19</f>
        <v>Central Avenue Green Street</v>
      </c>
      <c r="C142" s="475" t="str">
        <f>'Project-Level Data'!C19</f>
        <v>Watershed and Ecosystem Management</v>
      </c>
      <c r="D142" s="477"/>
      <c r="E142" s="380">
        <f>'Project-Level Data'!BQ19</f>
        <v>2</v>
      </c>
    </row>
    <row r="143" spans="2:5" hidden="1" x14ac:dyDescent="0.25">
      <c r="B143" s="227" t="str">
        <f>'Project-Level Data'!B30</f>
        <v>Federal Blvd Channel</v>
      </c>
      <c r="C143" s="475" t="str">
        <f>'Project-Level Data'!C30</f>
        <v>Watershed and Ecosystem Management</v>
      </c>
      <c r="D143" s="477"/>
      <c r="E143" s="380">
        <f>'Project-Level Data'!BQ30</f>
        <v>4</v>
      </c>
    </row>
    <row r="144" spans="2:5" ht="15" hidden="1" customHeight="1" x14ac:dyDescent="0.25">
      <c r="B144" s="227" t="str">
        <f>'Project-Level Data'!B31</f>
        <v>Hodges Water Quality Improvement Program</v>
      </c>
      <c r="C144" s="475" t="str">
        <f>'Project-Level Data'!C31</f>
        <v>Watershed and Ecosystem Management</v>
      </c>
      <c r="D144" s="477"/>
      <c r="E144" s="380">
        <f>'Project-Level Data'!BQ31</f>
        <v>4</v>
      </c>
    </row>
    <row r="145" spans="2:5" hidden="1" x14ac:dyDescent="0.25">
      <c r="B145" s="227" t="str">
        <f>'Project-Level Data'!B49</f>
        <v>Massachusetts Blvd Green Street</v>
      </c>
      <c r="C145" s="475" t="str">
        <f>'Project-Level Data'!C49</f>
        <v>Watershed and Ecosystem Management</v>
      </c>
      <c r="D145" s="477"/>
      <c r="E145" s="380">
        <f>'Project-Level Data'!BQ49</f>
        <v>2</v>
      </c>
    </row>
    <row r="146" spans="2:5" ht="15" hidden="1" customHeight="1" x14ac:dyDescent="0.25">
      <c r="B146" s="227" t="str">
        <f>'Project-Level Data'!B56</f>
        <v>Mt. Vernon St Green Street</v>
      </c>
      <c r="C146" s="475" t="str">
        <f>'Project-Level Data'!C56</f>
        <v>Watershed and Ecosystem Management</v>
      </c>
      <c r="D146" s="477"/>
      <c r="E146" s="380">
        <f>'Project-Level Data'!BQ56</f>
        <v>2</v>
      </c>
    </row>
    <row r="147" spans="2:5" hidden="1" x14ac:dyDescent="0.25">
      <c r="B147" s="227" t="str">
        <f>'Project-Level Data'!B58</f>
        <v>Nestor Creek Channel Restoration</v>
      </c>
      <c r="C147" s="475" t="str">
        <f>'Project-Level Data'!C58</f>
        <v>Watershed and Ecosystem Management</v>
      </c>
      <c r="D147" s="477"/>
      <c r="E147" s="380" t="str">
        <f>'Project-Level Data'!BQ58</f>
        <v>No Response</v>
      </c>
    </row>
    <row r="148" spans="2:5" hidden="1" x14ac:dyDescent="0.25">
      <c r="B148" s="227" t="str">
        <f>'Project-Level Data'!B60</f>
        <v>North Ave and Grove Green Street</v>
      </c>
      <c r="C148" s="475" t="str">
        <f>'Project-Level Data'!C60</f>
        <v>Watershed and Ecosystem Management</v>
      </c>
      <c r="D148" s="477"/>
      <c r="E148" s="380">
        <f>'Project-Level Data'!BQ60</f>
        <v>2</v>
      </c>
    </row>
    <row r="149" spans="2:5" ht="15" hidden="1" customHeight="1" x14ac:dyDescent="0.25">
      <c r="B149" s="227" t="str">
        <f>'Project-Level Data'!B69</f>
        <v>Palm St Green Street</v>
      </c>
      <c r="C149" s="475" t="str">
        <f>'Project-Level Data'!C69</f>
        <v>Watershed and Ecosystem Management</v>
      </c>
      <c r="D149" s="477"/>
      <c r="E149" s="380">
        <f>'Project-Level Data'!BQ69</f>
        <v>2</v>
      </c>
    </row>
    <row r="150" spans="2:5" hidden="1" x14ac:dyDescent="0.25">
      <c r="B150" s="227" t="str">
        <f>'Project-Level Data'!B70</f>
        <v>Paradise Creek Restoration Phase II</v>
      </c>
      <c r="C150" s="475" t="str">
        <f>'Project-Level Data'!C70</f>
        <v>Watershed and Ecosystem Management</v>
      </c>
      <c r="D150" s="477"/>
      <c r="E150" s="380">
        <f>'Project-Level Data'!BQ70</f>
        <v>4</v>
      </c>
    </row>
    <row r="151" spans="2:5" hidden="1" x14ac:dyDescent="0.25">
      <c r="B151" s="227" t="str">
        <f>'Project-Level Data'!B91</f>
        <v>San Diego Healthy Headwaters Restoration</v>
      </c>
      <c r="C151" s="475" t="str">
        <f>'Project-Level Data'!C91</f>
        <v>Watershed and Ecosystem Management</v>
      </c>
      <c r="D151" s="477"/>
      <c r="E151" s="380">
        <f>'Project-Level Data'!BQ91</f>
        <v>4</v>
      </c>
    </row>
    <row r="152" spans="2:5" ht="25.5" hidden="1" x14ac:dyDescent="0.25">
      <c r="B152" s="227" t="str">
        <f>'Project-Level Data'!B113</f>
        <v>Sustaining Healthy Tributaries to the Upper San Diego River and Protecting Local Water Supplies</v>
      </c>
      <c r="C152" s="475" t="str">
        <f>'Project-Level Data'!C113</f>
        <v>Watershed and Ecosystem Management</v>
      </c>
      <c r="D152" s="477"/>
      <c r="E152" s="380" t="str">
        <f>'Project-Level Data'!BQ113</f>
        <v>No Response</v>
      </c>
    </row>
    <row r="153" spans="2:5" hidden="1" x14ac:dyDescent="0.25">
      <c r="B153" s="227" t="str">
        <f>'Project-Level Data'!B115</f>
        <v>Sweetwater Reservoir Wetlands Habitat Recovery</v>
      </c>
      <c r="C153" s="475" t="str">
        <f>'Project-Level Data'!C115</f>
        <v>Watershed and Ecosystem Management</v>
      </c>
      <c r="D153" s="477"/>
      <c r="E153" s="380">
        <f>'Project-Level Data'!BQ115</f>
        <v>3</v>
      </c>
    </row>
    <row r="154" spans="2:5" hidden="1" x14ac:dyDescent="0.25">
      <c r="B154" s="227" t="str">
        <f>'Project-Level Data'!B117</f>
        <v>Sycamore Creek Restoration</v>
      </c>
      <c r="C154" s="475" t="str">
        <f>'Project-Level Data'!C117</f>
        <v>Watershed and Ecosystem Management</v>
      </c>
      <c r="D154" s="477"/>
      <c r="E154" s="380">
        <f>'Project-Level Data'!BQ117</f>
        <v>4</v>
      </c>
    </row>
    <row r="155" spans="2:5" ht="15.75" hidden="1" thickBot="1" x14ac:dyDescent="0.3">
      <c r="B155" s="508" t="str">
        <f>'Project-Level Data'!B120</f>
        <v>Tijuana River Floating Trash Capture System</v>
      </c>
      <c r="C155" s="509" t="str">
        <f>'Project-Level Data'!C120</f>
        <v>Watershed and Ecosystem Management</v>
      </c>
      <c r="D155" s="510"/>
      <c r="E155" s="511" t="str">
        <f>'Project-Level Data'!BQ120</f>
        <v>No Response</v>
      </c>
    </row>
    <row r="156" spans="2:5" hidden="1" x14ac:dyDescent="0.25">
      <c r="B156" s="513"/>
      <c r="C156" s="515" t="s">
        <v>855</v>
      </c>
      <c r="D156" s="512"/>
      <c r="E156" s="389">
        <f>COUNTIFS(E36:E155, "=MISSING")</f>
        <v>6</v>
      </c>
    </row>
    <row r="157" spans="2:5" hidden="1" x14ac:dyDescent="0.25">
      <c r="B157" s="514"/>
      <c r="C157" s="516" t="s">
        <v>856</v>
      </c>
      <c r="D157" s="480"/>
      <c r="E157" s="380">
        <f>COUNTIFS(E36:E155, "=No Response")</f>
        <v>33</v>
      </c>
    </row>
    <row r="158" spans="2:5" hidden="1" x14ac:dyDescent="0.25">
      <c r="B158" s="514"/>
      <c r="C158" s="516" t="s">
        <v>858</v>
      </c>
      <c r="D158" s="480"/>
      <c r="E158" s="380">
        <f>COUNTIFS(E36:E155, "=REMOVED")</f>
        <v>1</v>
      </c>
    </row>
    <row r="159" spans="2:5" ht="15.75" hidden="1" thickBot="1" x14ac:dyDescent="0.3">
      <c r="B159" s="471"/>
      <c r="C159" s="517" t="s">
        <v>859</v>
      </c>
      <c r="D159" s="478"/>
      <c r="E159" s="479">
        <f>COUNTIFS(E36:E155, "&gt;0")</f>
        <v>80</v>
      </c>
    </row>
    <row r="160" spans="2:5" hidden="1" x14ac:dyDescent="0.25">
      <c r="B160" s="11"/>
      <c r="C160" s="84"/>
      <c r="D160" s="84"/>
    </row>
    <row r="161" spans="2:5" ht="15.75" hidden="1" thickBot="1" x14ac:dyDescent="0.3">
      <c r="B161" s="1" t="s">
        <v>729</v>
      </c>
    </row>
    <row r="162" spans="2:5" ht="45.75" hidden="1" thickBot="1" x14ac:dyDescent="0.3">
      <c r="B162" s="363" t="s">
        <v>374</v>
      </c>
      <c r="C162" s="798" t="s">
        <v>6</v>
      </c>
      <c r="D162" s="799"/>
      <c r="E162" s="364" t="s">
        <v>123</v>
      </c>
    </row>
    <row r="163" spans="2:5" ht="25.5" hidden="1" customHeight="1" x14ac:dyDescent="0.25">
      <c r="B163" s="329" t="str">
        <f>'Concept-Level Data'!A7</f>
        <v>Respondent 1</v>
      </c>
      <c r="C163" s="795" t="str">
        <f>'Concept-Level Data'!B7</f>
        <v>Conveyance Improvement</v>
      </c>
      <c r="D163" s="796"/>
      <c r="E163" s="377">
        <f>'Concept-Level Data'!AG7</f>
        <v>3</v>
      </c>
    </row>
    <row r="164" spans="2:5" ht="15" hidden="1" customHeight="1" x14ac:dyDescent="0.25">
      <c r="B164" s="227" t="str">
        <f>'Concept-Level Data'!A8</f>
        <v>Respondent 1</v>
      </c>
      <c r="C164" s="793" t="str">
        <f>'Concept-Level Data'!B8</f>
        <v>Drought Restriction/Allocation</v>
      </c>
      <c r="D164" s="794"/>
      <c r="E164" s="381">
        <f>'Concept-Level Data'!AG8</f>
        <v>3</v>
      </c>
    </row>
    <row r="165" spans="2:5" ht="15" hidden="1" customHeight="1" x14ac:dyDescent="0.25">
      <c r="B165" s="227" t="str">
        <f>'Concept-Level Data'!A9</f>
        <v>Respondent 1</v>
      </c>
      <c r="C165" s="793" t="str">
        <f>'Concept-Level Data'!B9</f>
        <v>Firm Water Supply Agreements</v>
      </c>
      <c r="D165" s="794"/>
      <c r="E165" s="381">
        <f>'Concept-Level Data'!AG9</f>
        <v>3</v>
      </c>
    </row>
    <row r="166" spans="2:5" hidden="1" x14ac:dyDescent="0.25">
      <c r="B166" s="227" t="str">
        <f>'Concept-Level Data'!A10</f>
        <v>Respondent 1</v>
      </c>
      <c r="C166" s="793" t="str">
        <f>'Concept-Level Data'!B10</f>
        <v>Gray Water Use</v>
      </c>
      <c r="D166" s="794"/>
      <c r="E166" s="381">
        <f>'Concept-Level Data'!AG10</f>
        <v>3</v>
      </c>
    </row>
    <row r="167" spans="2:5" hidden="1" x14ac:dyDescent="0.25">
      <c r="B167" s="227" t="str">
        <f>'Concept-Level Data'!A11</f>
        <v>Respondent 1</v>
      </c>
      <c r="C167" s="793" t="str">
        <f>'Concept-Level Data'!B11</f>
        <v>Groundwater</v>
      </c>
      <c r="D167" s="794"/>
      <c r="E167" s="381">
        <f>'Concept-Level Data'!AG11</f>
        <v>3</v>
      </c>
    </row>
    <row r="168" spans="2:5" ht="15" hidden="1" customHeight="1" x14ac:dyDescent="0.25">
      <c r="B168" s="227" t="str">
        <f>'Concept-Level Data'!A12</f>
        <v>Respondent 1</v>
      </c>
      <c r="C168" s="793" t="str">
        <f>'Concept-Level Data'!B12</f>
        <v>Imported Water Purchases</v>
      </c>
      <c r="D168" s="794"/>
      <c r="E168" s="381">
        <f>'Concept-Level Data'!AG12</f>
        <v>3</v>
      </c>
    </row>
    <row r="169" spans="2:5" ht="15" hidden="1" customHeight="1" x14ac:dyDescent="0.25">
      <c r="B169" s="227" t="str">
        <f>'Concept-Level Data'!A13</f>
        <v>Respondent 1</v>
      </c>
      <c r="C169" s="793" t="str">
        <f>'Concept-Level Data'!B13</f>
        <v>Local Surface Water Reservoirs</v>
      </c>
      <c r="D169" s="794"/>
      <c r="E169" s="381">
        <f>'Concept-Level Data'!AG13</f>
        <v>4</v>
      </c>
    </row>
    <row r="170" spans="2:5" hidden="1" x14ac:dyDescent="0.25">
      <c r="B170" s="227" t="str">
        <f>'Concept-Level Data'!A14</f>
        <v>Respondent 1</v>
      </c>
      <c r="C170" s="793" t="str">
        <f>'Concept-Level Data'!B14</f>
        <v>Potable Reuse</v>
      </c>
      <c r="D170" s="794"/>
      <c r="E170" s="381">
        <f>'Concept-Level Data'!AG14</f>
        <v>3</v>
      </c>
    </row>
    <row r="171" spans="2:5" hidden="1" x14ac:dyDescent="0.25">
      <c r="B171" s="227" t="str">
        <f>'Concept-Level Data'!A15</f>
        <v>Respondent 1</v>
      </c>
      <c r="C171" s="793" t="str">
        <f>'Concept-Level Data'!B15</f>
        <v>Recycled Water</v>
      </c>
      <c r="D171" s="794"/>
      <c r="E171" s="381">
        <f>'Concept-Level Data'!AG15</f>
        <v>3</v>
      </c>
    </row>
    <row r="172" spans="2:5" hidden="1" x14ac:dyDescent="0.25">
      <c r="B172" s="227" t="str">
        <f>'Concept-Level Data'!A16</f>
        <v>Respondent 1</v>
      </c>
      <c r="C172" s="793" t="str">
        <f>'Concept-Level Data'!B16</f>
        <v>Seawater Desalination</v>
      </c>
      <c r="D172" s="794"/>
      <c r="E172" s="381">
        <f>'Concept-Level Data'!AG16</f>
        <v>2</v>
      </c>
    </row>
    <row r="173" spans="2:5" hidden="1" x14ac:dyDescent="0.25">
      <c r="B173" s="227" t="str">
        <f>'Concept-Level Data'!A17</f>
        <v>Respondent 1</v>
      </c>
      <c r="C173" s="793" t="str">
        <f>'Concept-Level Data'!B17</f>
        <v>Stormwater BMPs</v>
      </c>
      <c r="D173" s="794"/>
      <c r="E173" s="381">
        <f>'Concept-Level Data'!AG17</f>
        <v>4</v>
      </c>
    </row>
    <row r="174" spans="2:5" hidden="1" x14ac:dyDescent="0.25">
      <c r="B174" s="227" t="str">
        <f>'Concept-Level Data'!A18</f>
        <v>Respondent 1</v>
      </c>
      <c r="C174" s="793" t="str">
        <f>'Concept-Level Data'!B18</f>
        <v>Stormwater Capture</v>
      </c>
      <c r="D174" s="794"/>
      <c r="E174" s="381">
        <f>'Concept-Level Data'!AG18</f>
        <v>3</v>
      </c>
    </row>
    <row r="175" spans="2:5" hidden="1" x14ac:dyDescent="0.25">
      <c r="B175" s="227" t="str">
        <f>'Concept-Level Data'!A19</f>
        <v>Respondent 1</v>
      </c>
      <c r="C175" s="793" t="str">
        <f>'Concept-Level Data'!B19</f>
        <v>Urban and Agricultural Water Use Efficiency</v>
      </c>
      <c r="D175" s="794"/>
      <c r="E175" s="381">
        <f>'Concept-Level Data'!AG19</f>
        <v>4</v>
      </c>
    </row>
    <row r="176" spans="2:5" hidden="1" x14ac:dyDescent="0.25">
      <c r="B176" s="227" t="str">
        <f>'Concept-Level Data'!A20</f>
        <v>Respondent 1</v>
      </c>
      <c r="C176" s="793" t="str">
        <f>'Concept-Level Data'!B20</f>
        <v>Watershed and Ecosystem Management</v>
      </c>
      <c r="D176" s="794"/>
      <c r="E176" s="381">
        <f>'Concept-Level Data'!AG20</f>
        <v>5</v>
      </c>
    </row>
    <row r="177" spans="2:5" hidden="1" x14ac:dyDescent="0.25">
      <c r="B177" s="227" t="str">
        <f>'Concept-Level Data'!A21</f>
        <v>Respondent 2</v>
      </c>
      <c r="C177" s="793" t="str">
        <f>'Concept-Level Data'!B21</f>
        <v>Conveyance Improvement</v>
      </c>
      <c r="D177" s="794"/>
      <c r="E177" s="381">
        <f>'Concept-Level Data'!AG21</f>
        <v>4</v>
      </c>
    </row>
    <row r="178" spans="2:5" hidden="1" x14ac:dyDescent="0.25">
      <c r="B178" s="227" t="str">
        <f>'Concept-Level Data'!A22</f>
        <v>Respondent 2</v>
      </c>
      <c r="C178" s="793" t="str">
        <f>'Concept-Level Data'!B22</f>
        <v>Drought Restriction/Allocation</v>
      </c>
      <c r="D178" s="794"/>
      <c r="E178" s="381">
        <f>'Concept-Level Data'!AG22</f>
        <v>3</v>
      </c>
    </row>
    <row r="179" spans="2:5" hidden="1" x14ac:dyDescent="0.25">
      <c r="B179" s="227" t="str">
        <f>'Concept-Level Data'!A23</f>
        <v>Respondent 2</v>
      </c>
      <c r="C179" s="793" t="str">
        <f>'Concept-Level Data'!B23</f>
        <v>Firm Water Supply Agreements</v>
      </c>
      <c r="D179" s="794"/>
      <c r="E179" s="381">
        <f>'Concept-Level Data'!AG23</f>
        <v>3</v>
      </c>
    </row>
    <row r="180" spans="2:5" hidden="1" x14ac:dyDescent="0.25">
      <c r="B180" s="227" t="str">
        <f>'Concept-Level Data'!A24</f>
        <v>Respondent 2</v>
      </c>
      <c r="C180" s="793" t="str">
        <f>'Concept-Level Data'!B24</f>
        <v>Gray Water Use</v>
      </c>
      <c r="D180" s="794"/>
      <c r="E180" s="381">
        <f>'Concept-Level Data'!AG24</f>
        <v>3</v>
      </c>
    </row>
    <row r="181" spans="2:5" hidden="1" x14ac:dyDescent="0.25">
      <c r="B181" s="227" t="str">
        <f>'Concept-Level Data'!A25</f>
        <v>Respondent 2</v>
      </c>
      <c r="C181" s="793" t="str">
        <f>'Concept-Level Data'!B25</f>
        <v>Groundwater</v>
      </c>
      <c r="D181" s="794"/>
      <c r="E181" s="381">
        <f>'Concept-Level Data'!AG25</f>
        <v>4</v>
      </c>
    </row>
    <row r="182" spans="2:5" hidden="1" x14ac:dyDescent="0.25">
      <c r="B182" s="227" t="str">
        <f>'Concept-Level Data'!A26</f>
        <v>Respondent 2</v>
      </c>
      <c r="C182" s="793" t="str">
        <f>'Concept-Level Data'!B26</f>
        <v>Imported Water Purchases</v>
      </c>
      <c r="D182" s="794"/>
      <c r="E182" s="381">
        <f>'Concept-Level Data'!AG26</f>
        <v>2</v>
      </c>
    </row>
    <row r="183" spans="2:5" hidden="1" x14ac:dyDescent="0.25">
      <c r="B183" s="227" t="str">
        <f>'Concept-Level Data'!A27</f>
        <v>Respondent 2</v>
      </c>
      <c r="C183" s="793" t="str">
        <f>'Concept-Level Data'!B27</f>
        <v>Local Surface Water Reservoirs</v>
      </c>
      <c r="D183" s="794"/>
      <c r="E183" s="381">
        <f>'Concept-Level Data'!AG27</f>
        <v>3</v>
      </c>
    </row>
    <row r="184" spans="2:5" hidden="1" x14ac:dyDescent="0.25">
      <c r="B184" s="227" t="str">
        <f>'Concept-Level Data'!A28</f>
        <v>Respondent 2</v>
      </c>
      <c r="C184" s="793" t="str">
        <f>'Concept-Level Data'!B28</f>
        <v>Potable Reuse</v>
      </c>
      <c r="D184" s="794"/>
      <c r="E184" s="381">
        <f>'Concept-Level Data'!AG28</f>
        <v>3</v>
      </c>
    </row>
    <row r="185" spans="2:5" hidden="1" x14ac:dyDescent="0.25">
      <c r="B185" s="227" t="str">
        <f>'Concept-Level Data'!A29</f>
        <v>Respondent 2</v>
      </c>
      <c r="C185" s="793" t="str">
        <f>'Concept-Level Data'!B29</f>
        <v>Recycled Water</v>
      </c>
      <c r="D185" s="794"/>
      <c r="E185" s="381">
        <f>'Concept-Level Data'!AG29</f>
        <v>3</v>
      </c>
    </row>
    <row r="186" spans="2:5" hidden="1" x14ac:dyDescent="0.25">
      <c r="B186" s="227" t="str">
        <f>'Concept-Level Data'!A30</f>
        <v>Respondent 2</v>
      </c>
      <c r="C186" s="793" t="str">
        <f>'Concept-Level Data'!B30</f>
        <v>Seawater Desalination</v>
      </c>
      <c r="D186" s="794"/>
      <c r="E186" s="381">
        <f>'Concept-Level Data'!AG30</f>
        <v>3</v>
      </c>
    </row>
    <row r="187" spans="2:5" hidden="1" x14ac:dyDescent="0.25">
      <c r="B187" s="227" t="str">
        <f>'Concept-Level Data'!A31</f>
        <v>Respondent 2</v>
      </c>
      <c r="C187" s="793" t="str">
        <f>'Concept-Level Data'!B31</f>
        <v>Stormwater BMPs</v>
      </c>
      <c r="D187" s="794"/>
      <c r="E187" s="381">
        <f>'Concept-Level Data'!AG31</f>
        <v>4</v>
      </c>
    </row>
    <row r="188" spans="2:5" hidden="1" x14ac:dyDescent="0.25">
      <c r="B188" s="227" t="str">
        <f>'Concept-Level Data'!A32</f>
        <v>Respondent 2</v>
      </c>
      <c r="C188" s="793" t="str">
        <f>'Concept-Level Data'!B32</f>
        <v>Stormwater Capture</v>
      </c>
      <c r="D188" s="794"/>
      <c r="E188" s="381">
        <f>'Concept-Level Data'!AG32</f>
        <v>3</v>
      </c>
    </row>
    <row r="189" spans="2:5" hidden="1" x14ac:dyDescent="0.25">
      <c r="B189" s="227" t="str">
        <f>'Concept-Level Data'!A33</f>
        <v>Respondent 2</v>
      </c>
      <c r="C189" s="793" t="str">
        <f>'Concept-Level Data'!B33</f>
        <v>Urban and Agricultural Water Use Efficiency</v>
      </c>
      <c r="D189" s="794"/>
      <c r="E189" s="381">
        <f>'Concept-Level Data'!AG33</f>
        <v>3</v>
      </c>
    </row>
    <row r="190" spans="2:5" hidden="1" x14ac:dyDescent="0.25">
      <c r="B190" s="227" t="str">
        <f>'Concept-Level Data'!A34</f>
        <v>Respondent 2</v>
      </c>
      <c r="C190" s="793" t="str">
        <f>'Concept-Level Data'!B34</f>
        <v>Watershed and Ecosystem Management</v>
      </c>
      <c r="D190" s="794"/>
      <c r="E190" s="381">
        <f>'Concept-Level Data'!AG34</f>
        <v>4</v>
      </c>
    </row>
    <row r="191" spans="2:5" hidden="1" x14ac:dyDescent="0.25">
      <c r="B191" s="227" t="str">
        <f>'Concept-Level Data'!A35</f>
        <v>Respondent 3</v>
      </c>
      <c r="C191" s="793" t="str">
        <f>'Concept-Level Data'!B35</f>
        <v>Conveyance Improvement</v>
      </c>
      <c r="D191" s="794"/>
      <c r="E191" s="381">
        <f>'Concept-Level Data'!AG35</f>
        <v>3</v>
      </c>
    </row>
    <row r="192" spans="2:5" hidden="1" x14ac:dyDescent="0.25">
      <c r="B192" s="227" t="str">
        <f>'Concept-Level Data'!A36</f>
        <v>Respondent 3</v>
      </c>
      <c r="C192" s="793" t="str">
        <f>'Concept-Level Data'!B36</f>
        <v>Drought Restriction/Allocation</v>
      </c>
      <c r="D192" s="794"/>
      <c r="E192" s="381">
        <f>'Concept-Level Data'!AG36</f>
        <v>3</v>
      </c>
    </row>
    <row r="193" spans="2:5" hidden="1" x14ac:dyDescent="0.25">
      <c r="B193" s="227" t="str">
        <f>'Concept-Level Data'!A37</f>
        <v>Respondent 3</v>
      </c>
      <c r="C193" s="793" t="str">
        <f>'Concept-Level Data'!B37</f>
        <v>Firm Water Supply Agreements</v>
      </c>
      <c r="D193" s="794"/>
      <c r="E193" s="381">
        <f>'Concept-Level Data'!AG37</f>
        <v>3</v>
      </c>
    </row>
    <row r="194" spans="2:5" hidden="1" x14ac:dyDescent="0.25">
      <c r="B194" s="227" t="str">
        <f>'Concept-Level Data'!A38</f>
        <v>Respondent 3</v>
      </c>
      <c r="C194" s="793" t="str">
        <f>'Concept-Level Data'!B38</f>
        <v>Gray Water Use</v>
      </c>
      <c r="D194" s="794"/>
      <c r="E194" s="381">
        <f>'Concept-Level Data'!AG38</f>
        <v>3</v>
      </c>
    </row>
    <row r="195" spans="2:5" hidden="1" x14ac:dyDescent="0.25">
      <c r="B195" s="227" t="str">
        <f>'Concept-Level Data'!A39</f>
        <v>Respondent 3</v>
      </c>
      <c r="C195" s="793" t="str">
        <f>'Concept-Level Data'!B39</f>
        <v>Groundwater</v>
      </c>
      <c r="D195" s="794"/>
      <c r="E195" s="381">
        <f>'Concept-Level Data'!AG39</f>
        <v>3</v>
      </c>
    </row>
    <row r="196" spans="2:5" hidden="1" x14ac:dyDescent="0.25">
      <c r="B196" s="227" t="str">
        <f>'Concept-Level Data'!A40</f>
        <v>Respondent 3</v>
      </c>
      <c r="C196" s="793" t="str">
        <f>'Concept-Level Data'!B40</f>
        <v>Imported Water Purchases</v>
      </c>
      <c r="D196" s="794"/>
      <c r="E196" s="381">
        <f>'Concept-Level Data'!AG40</f>
        <v>3</v>
      </c>
    </row>
    <row r="197" spans="2:5" hidden="1" x14ac:dyDescent="0.25">
      <c r="B197" s="227" t="str">
        <f>'Concept-Level Data'!A41</f>
        <v>Respondent 3</v>
      </c>
      <c r="C197" s="793" t="str">
        <f>'Concept-Level Data'!B41</f>
        <v>Local Surface Water Reservoirs</v>
      </c>
      <c r="D197" s="794"/>
      <c r="E197" s="381">
        <f>'Concept-Level Data'!AG41</f>
        <v>3</v>
      </c>
    </row>
    <row r="198" spans="2:5" hidden="1" x14ac:dyDescent="0.25">
      <c r="B198" s="227" t="str">
        <f>'Concept-Level Data'!A42</f>
        <v>Respondent 3</v>
      </c>
      <c r="C198" s="793" t="str">
        <f>'Concept-Level Data'!B42</f>
        <v>Potable Reuse</v>
      </c>
      <c r="D198" s="794"/>
      <c r="E198" s="381">
        <f>'Concept-Level Data'!AG42</f>
        <v>3</v>
      </c>
    </row>
    <row r="199" spans="2:5" hidden="1" x14ac:dyDescent="0.25">
      <c r="B199" s="227" t="str">
        <f>'Concept-Level Data'!A43</f>
        <v>Respondent 3</v>
      </c>
      <c r="C199" s="793" t="str">
        <f>'Concept-Level Data'!B43</f>
        <v>Recycled Water</v>
      </c>
      <c r="D199" s="794"/>
      <c r="E199" s="381">
        <f>'Concept-Level Data'!AG43</f>
        <v>3</v>
      </c>
    </row>
    <row r="200" spans="2:5" hidden="1" x14ac:dyDescent="0.25">
      <c r="B200" s="227" t="str">
        <f>'Concept-Level Data'!A44</f>
        <v>Respondent 3</v>
      </c>
      <c r="C200" s="793" t="str">
        <f>'Concept-Level Data'!B44</f>
        <v>Seawater Desalination</v>
      </c>
      <c r="D200" s="794"/>
      <c r="E200" s="381">
        <f>'Concept-Level Data'!AG44</f>
        <v>3</v>
      </c>
    </row>
    <row r="201" spans="2:5" hidden="1" x14ac:dyDescent="0.25">
      <c r="B201" s="227" t="str">
        <f>'Concept-Level Data'!A45</f>
        <v>Respondent 3</v>
      </c>
      <c r="C201" s="793" t="str">
        <f>'Concept-Level Data'!B45</f>
        <v>Stormwater BMPs</v>
      </c>
      <c r="D201" s="794"/>
      <c r="E201" s="381">
        <f>'Concept-Level Data'!AG45</f>
        <v>3</v>
      </c>
    </row>
    <row r="202" spans="2:5" hidden="1" x14ac:dyDescent="0.25">
      <c r="B202" s="227" t="str">
        <f>'Concept-Level Data'!A46</f>
        <v>Respondent 3</v>
      </c>
      <c r="C202" s="793" t="str">
        <f>'Concept-Level Data'!B46</f>
        <v>Stormwater Capture</v>
      </c>
      <c r="D202" s="794"/>
      <c r="E202" s="381">
        <f>'Concept-Level Data'!AG46</f>
        <v>3</v>
      </c>
    </row>
    <row r="203" spans="2:5" hidden="1" x14ac:dyDescent="0.25">
      <c r="B203" s="227" t="str">
        <f>'Concept-Level Data'!A47</f>
        <v>Respondent 3</v>
      </c>
      <c r="C203" s="793" t="str">
        <f>'Concept-Level Data'!B47</f>
        <v>Urban and Agricultural Water Use Efficiency</v>
      </c>
      <c r="D203" s="794"/>
      <c r="E203" s="381">
        <f>'Concept-Level Data'!AG47</f>
        <v>3</v>
      </c>
    </row>
    <row r="204" spans="2:5" hidden="1" x14ac:dyDescent="0.25">
      <c r="B204" s="227" t="str">
        <f>'Concept-Level Data'!A48</f>
        <v>Respondent 3</v>
      </c>
      <c r="C204" s="793" t="str">
        <f>'Concept-Level Data'!B48</f>
        <v>Watershed and Ecosystem Management</v>
      </c>
      <c r="D204" s="794"/>
      <c r="E204" s="381">
        <f>'Concept-Level Data'!AG48</f>
        <v>4</v>
      </c>
    </row>
    <row r="205" spans="2:5" hidden="1" x14ac:dyDescent="0.25">
      <c r="B205" s="227" t="str">
        <f>'Concept-Level Data'!A49</f>
        <v>Respondent 4</v>
      </c>
      <c r="C205" s="793" t="str">
        <f>'Concept-Level Data'!B49</f>
        <v>Conveyance Improvement</v>
      </c>
      <c r="D205" s="794"/>
      <c r="E205" s="381">
        <f>'Concept-Level Data'!AG49</f>
        <v>4</v>
      </c>
    </row>
    <row r="206" spans="2:5" hidden="1" x14ac:dyDescent="0.25">
      <c r="B206" s="227" t="str">
        <f>'Concept-Level Data'!A50</f>
        <v>Respondent 4</v>
      </c>
      <c r="C206" s="793" t="str">
        <f>'Concept-Level Data'!B50</f>
        <v>Drought Restriction/Allocation</v>
      </c>
      <c r="D206" s="794"/>
      <c r="E206" s="381">
        <f>'Concept-Level Data'!AG50</f>
        <v>3</v>
      </c>
    </row>
    <row r="207" spans="2:5" hidden="1" x14ac:dyDescent="0.25">
      <c r="B207" s="227" t="str">
        <f>'Concept-Level Data'!A51</f>
        <v>Respondent 4</v>
      </c>
      <c r="C207" s="793" t="str">
        <f>'Concept-Level Data'!B51</f>
        <v>Firm Water Supply Agreements</v>
      </c>
      <c r="D207" s="794"/>
      <c r="E207" s="381">
        <f>'Concept-Level Data'!AG51</f>
        <v>3</v>
      </c>
    </row>
    <row r="208" spans="2:5" hidden="1" x14ac:dyDescent="0.25">
      <c r="B208" s="227" t="str">
        <f>'Concept-Level Data'!A52</f>
        <v>Respondent 4</v>
      </c>
      <c r="C208" s="793" t="str">
        <f>'Concept-Level Data'!B52</f>
        <v>Gray Water Use</v>
      </c>
      <c r="D208" s="794"/>
      <c r="E208" s="381">
        <f>'Concept-Level Data'!AG52</f>
        <v>3</v>
      </c>
    </row>
    <row r="209" spans="2:5" hidden="1" x14ac:dyDescent="0.25">
      <c r="B209" s="227" t="str">
        <f>'Concept-Level Data'!A53</f>
        <v>Respondent 4</v>
      </c>
      <c r="C209" s="793" t="str">
        <f>'Concept-Level Data'!B53</f>
        <v>Groundwater</v>
      </c>
      <c r="D209" s="794"/>
      <c r="E209" s="381">
        <f>'Concept-Level Data'!AG53</f>
        <v>3</v>
      </c>
    </row>
    <row r="210" spans="2:5" hidden="1" x14ac:dyDescent="0.25">
      <c r="B210" s="227" t="str">
        <f>'Concept-Level Data'!A54</f>
        <v>Respondent 4</v>
      </c>
      <c r="C210" s="793" t="str">
        <f>'Concept-Level Data'!B54</f>
        <v>Imported Water Purchases</v>
      </c>
      <c r="D210" s="794"/>
      <c r="E210" s="381">
        <f>'Concept-Level Data'!AG54</f>
        <v>3</v>
      </c>
    </row>
    <row r="211" spans="2:5" hidden="1" x14ac:dyDescent="0.25">
      <c r="B211" s="227" t="str">
        <f>'Concept-Level Data'!A55</f>
        <v>Respondent 4</v>
      </c>
      <c r="C211" s="793" t="str">
        <f>'Concept-Level Data'!B55</f>
        <v>Local Surface Water Reservoirs</v>
      </c>
      <c r="D211" s="794"/>
      <c r="E211" s="381">
        <f>'Concept-Level Data'!AG55</f>
        <v>3</v>
      </c>
    </row>
    <row r="212" spans="2:5" hidden="1" x14ac:dyDescent="0.25">
      <c r="B212" s="227" t="str">
        <f>'Concept-Level Data'!A56</f>
        <v>Respondent 4</v>
      </c>
      <c r="C212" s="793" t="str">
        <f>'Concept-Level Data'!B56</f>
        <v>Potable Reuse</v>
      </c>
      <c r="D212" s="794"/>
      <c r="E212" s="381">
        <f>'Concept-Level Data'!AG56</f>
        <v>3</v>
      </c>
    </row>
    <row r="213" spans="2:5" hidden="1" x14ac:dyDescent="0.25">
      <c r="B213" s="227" t="str">
        <f>'Concept-Level Data'!A57</f>
        <v>Respondent 4</v>
      </c>
      <c r="C213" s="793" t="str">
        <f>'Concept-Level Data'!B57</f>
        <v>Recycled Water</v>
      </c>
      <c r="D213" s="794"/>
      <c r="E213" s="381">
        <f>'Concept-Level Data'!AG57</f>
        <v>4</v>
      </c>
    </row>
    <row r="214" spans="2:5" hidden="1" x14ac:dyDescent="0.25">
      <c r="B214" s="227" t="str">
        <f>'Concept-Level Data'!A58</f>
        <v>Respondent 4</v>
      </c>
      <c r="C214" s="793" t="str">
        <f>'Concept-Level Data'!B58</f>
        <v>Seawater Desalination</v>
      </c>
      <c r="D214" s="794"/>
      <c r="E214" s="381">
        <f>'Concept-Level Data'!AG58</f>
        <v>3</v>
      </c>
    </row>
    <row r="215" spans="2:5" hidden="1" x14ac:dyDescent="0.25">
      <c r="B215" s="227" t="str">
        <f>'Concept-Level Data'!A59</f>
        <v>Respondent 4</v>
      </c>
      <c r="C215" s="793" t="str">
        <f>'Concept-Level Data'!B59</f>
        <v>Stormwater BMPs</v>
      </c>
      <c r="D215" s="794"/>
      <c r="E215" s="381">
        <f>'Concept-Level Data'!AG59</f>
        <v>4</v>
      </c>
    </row>
    <row r="216" spans="2:5" hidden="1" x14ac:dyDescent="0.25">
      <c r="B216" s="227" t="str">
        <f>'Concept-Level Data'!A60</f>
        <v>Respondent 4</v>
      </c>
      <c r="C216" s="793" t="str">
        <f>'Concept-Level Data'!B60</f>
        <v>Stormwater Capture</v>
      </c>
      <c r="D216" s="794"/>
      <c r="E216" s="381">
        <f>'Concept-Level Data'!AG60</f>
        <v>3</v>
      </c>
    </row>
    <row r="217" spans="2:5" hidden="1" x14ac:dyDescent="0.25">
      <c r="B217" s="227" t="str">
        <f>'Concept-Level Data'!A61</f>
        <v>Respondent 4</v>
      </c>
      <c r="C217" s="793" t="str">
        <f>'Concept-Level Data'!B61</f>
        <v>Urban and Agricultural Water Use Efficiency</v>
      </c>
      <c r="D217" s="794"/>
      <c r="E217" s="381">
        <f>'Concept-Level Data'!AG61</f>
        <v>3</v>
      </c>
    </row>
    <row r="218" spans="2:5" hidden="1" x14ac:dyDescent="0.25">
      <c r="B218" s="227" t="str">
        <f>'Concept-Level Data'!A62</f>
        <v>Respondent 4</v>
      </c>
      <c r="C218" s="793" t="str">
        <f>'Concept-Level Data'!B62</f>
        <v>Watershed and Ecosystem Management</v>
      </c>
      <c r="D218" s="794"/>
      <c r="E218" s="381">
        <f>'Concept-Level Data'!AG62</f>
        <v>5</v>
      </c>
    </row>
    <row r="219" spans="2:5" hidden="1" x14ac:dyDescent="0.25">
      <c r="B219" s="227" t="str">
        <f>'Concept-Level Data'!A63</f>
        <v>Respondent 5</v>
      </c>
      <c r="C219" s="793" t="str">
        <f>'Concept-Level Data'!B63</f>
        <v>Conveyance Improvement</v>
      </c>
      <c r="D219" s="794"/>
      <c r="E219" s="381">
        <f>'Concept-Level Data'!AG63</f>
        <v>4</v>
      </c>
    </row>
    <row r="220" spans="2:5" hidden="1" x14ac:dyDescent="0.25">
      <c r="B220" s="227" t="str">
        <f>'Concept-Level Data'!A64</f>
        <v>Respondent 5</v>
      </c>
      <c r="C220" s="793" t="str">
        <f>'Concept-Level Data'!B64</f>
        <v>Drought Restriction/Allocation</v>
      </c>
      <c r="D220" s="794"/>
      <c r="E220" s="381">
        <f>'Concept-Level Data'!AG64</f>
        <v>3</v>
      </c>
    </row>
    <row r="221" spans="2:5" hidden="1" x14ac:dyDescent="0.25">
      <c r="B221" s="227" t="str">
        <f>'Concept-Level Data'!A65</f>
        <v>Respondent 5</v>
      </c>
      <c r="C221" s="793" t="str">
        <f>'Concept-Level Data'!B65</f>
        <v>Firm Water Supply Agreements</v>
      </c>
      <c r="D221" s="794"/>
      <c r="E221" s="381">
        <f>'Concept-Level Data'!AG65</f>
        <v>2</v>
      </c>
    </row>
    <row r="222" spans="2:5" hidden="1" x14ac:dyDescent="0.25">
      <c r="B222" s="227" t="str">
        <f>'Concept-Level Data'!A66</f>
        <v>Respondent 5</v>
      </c>
      <c r="C222" s="793" t="str">
        <f>'Concept-Level Data'!B66</f>
        <v>Gray Water Use</v>
      </c>
      <c r="D222" s="794"/>
      <c r="E222" s="381">
        <f>'Concept-Level Data'!AG66</f>
        <v>5</v>
      </c>
    </row>
    <row r="223" spans="2:5" hidden="1" x14ac:dyDescent="0.25">
      <c r="B223" s="227" t="str">
        <f>'Concept-Level Data'!A67</f>
        <v>Respondent 5</v>
      </c>
      <c r="C223" s="793" t="str">
        <f>'Concept-Level Data'!B67</f>
        <v>Groundwater</v>
      </c>
      <c r="D223" s="794"/>
      <c r="E223" s="381">
        <f>'Concept-Level Data'!AG67</f>
        <v>2</v>
      </c>
    </row>
    <row r="224" spans="2:5" hidden="1" x14ac:dyDescent="0.25">
      <c r="B224" s="227" t="str">
        <f>'Concept-Level Data'!A68</f>
        <v>Respondent 5</v>
      </c>
      <c r="C224" s="793" t="str">
        <f>'Concept-Level Data'!B68</f>
        <v>Imported Water Purchases</v>
      </c>
      <c r="D224" s="794"/>
      <c r="E224" s="381">
        <f>'Concept-Level Data'!AG68</f>
        <v>2</v>
      </c>
    </row>
    <row r="225" spans="2:5" hidden="1" x14ac:dyDescent="0.25">
      <c r="B225" s="227" t="str">
        <f>'Concept-Level Data'!A69</f>
        <v>Respondent 5</v>
      </c>
      <c r="C225" s="793" t="str">
        <f>'Concept-Level Data'!B69</f>
        <v>Local Surface Water Reservoirs</v>
      </c>
      <c r="D225" s="794"/>
      <c r="E225" s="381">
        <f>'Concept-Level Data'!AG69</f>
        <v>4</v>
      </c>
    </row>
    <row r="226" spans="2:5" hidden="1" x14ac:dyDescent="0.25">
      <c r="B226" s="227" t="str">
        <f>'Concept-Level Data'!A70</f>
        <v>Respondent 5</v>
      </c>
      <c r="C226" s="793" t="str">
        <f>'Concept-Level Data'!B70</f>
        <v>Potable Reuse</v>
      </c>
      <c r="D226" s="794"/>
      <c r="E226" s="381">
        <f>'Concept-Level Data'!AG70</f>
        <v>5</v>
      </c>
    </row>
    <row r="227" spans="2:5" hidden="1" x14ac:dyDescent="0.25">
      <c r="B227" s="227" t="str">
        <f>'Concept-Level Data'!A71</f>
        <v>Respondent 5</v>
      </c>
      <c r="C227" s="793" t="str">
        <f>'Concept-Level Data'!B71</f>
        <v>Recycled Water</v>
      </c>
      <c r="D227" s="794"/>
      <c r="E227" s="381">
        <f>'Concept-Level Data'!AG71</f>
        <v>5</v>
      </c>
    </row>
    <row r="228" spans="2:5" hidden="1" x14ac:dyDescent="0.25">
      <c r="B228" s="227" t="str">
        <f>'Concept-Level Data'!A72</f>
        <v>Respondent 5</v>
      </c>
      <c r="C228" s="793" t="str">
        <f>'Concept-Level Data'!B72</f>
        <v>Seawater Desalination</v>
      </c>
      <c r="D228" s="794"/>
      <c r="E228" s="381">
        <f>'Concept-Level Data'!AG72</f>
        <v>2</v>
      </c>
    </row>
    <row r="229" spans="2:5" hidden="1" x14ac:dyDescent="0.25">
      <c r="B229" s="227" t="str">
        <f>'Concept-Level Data'!A73</f>
        <v>Respondent 5</v>
      </c>
      <c r="C229" s="793" t="str">
        <f>'Concept-Level Data'!B73</f>
        <v>Stormwater BMPs</v>
      </c>
      <c r="D229" s="794"/>
      <c r="E229" s="381">
        <f>'Concept-Level Data'!AG73</f>
        <v>5</v>
      </c>
    </row>
    <row r="230" spans="2:5" hidden="1" x14ac:dyDescent="0.25">
      <c r="B230" s="227" t="str">
        <f>'Concept-Level Data'!A74</f>
        <v>Respondent 5</v>
      </c>
      <c r="C230" s="793" t="str">
        <f>'Concept-Level Data'!B74</f>
        <v>Stormwater Capture</v>
      </c>
      <c r="D230" s="794"/>
      <c r="E230" s="381">
        <f>'Concept-Level Data'!AG74</f>
        <v>4</v>
      </c>
    </row>
    <row r="231" spans="2:5" hidden="1" x14ac:dyDescent="0.25">
      <c r="B231" s="227" t="str">
        <f>'Concept-Level Data'!A75</f>
        <v>Respondent 5</v>
      </c>
      <c r="C231" s="793" t="str">
        <f>'Concept-Level Data'!B75</f>
        <v>Urban and Agricultural Water Use Efficiency</v>
      </c>
      <c r="D231" s="794"/>
      <c r="E231" s="381">
        <f>'Concept-Level Data'!AG75</f>
        <v>5</v>
      </c>
    </row>
    <row r="232" spans="2:5" hidden="1" x14ac:dyDescent="0.25">
      <c r="B232" s="227" t="str">
        <f>'Concept-Level Data'!A76</f>
        <v>Respondent 5</v>
      </c>
      <c r="C232" s="793" t="str">
        <f>'Concept-Level Data'!B76</f>
        <v>Watershed and Ecosystem Management</v>
      </c>
      <c r="D232" s="794"/>
      <c r="E232" s="381">
        <f>'Concept-Level Data'!AG76</f>
        <v>5</v>
      </c>
    </row>
    <row r="233" spans="2:5" hidden="1" x14ac:dyDescent="0.25">
      <c r="B233" s="227" t="str">
        <f>'Concept-Level Data'!A77</f>
        <v>Respondent 6</v>
      </c>
      <c r="C233" s="793" t="str">
        <f>'Concept-Level Data'!B77</f>
        <v>Conveyance Improvement</v>
      </c>
      <c r="D233" s="794"/>
      <c r="E233" s="381">
        <f>'Concept-Level Data'!AG77</f>
        <v>3</v>
      </c>
    </row>
    <row r="234" spans="2:5" hidden="1" x14ac:dyDescent="0.25">
      <c r="B234" s="227" t="str">
        <f>'Concept-Level Data'!A78</f>
        <v>Respondent 6</v>
      </c>
      <c r="C234" s="793" t="str">
        <f>'Concept-Level Data'!B78</f>
        <v>Drought Restriction/Allocation</v>
      </c>
      <c r="D234" s="794"/>
      <c r="E234" s="381">
        <f>'Concept-Level Data'!AG78</f>
        <v>3</v>
      </c>
    </row>
    <row r="235" spans="2:5" hidden="1" x14ac:dyDescent="0.25">
      <c r="B235" s="227" t="str">
        <f>'Concept-Level Data'!A79</f>
        <v>Respondent 6</v>
      </c>
      <c r="C235" s="793" t="str">
        <f>'Concept-Level Data'!B79</f>
        <v>Firm Water Supply Agreements</v>
      </c>
      <c r="D235" s="794"/>
      <c r="E235" s="381">
        <f>'Concept-Level Data'!AG79</f>
        <v>3</v>
      </c>
    </row>
    <row r="236" spans="2:5" hidden="1" x14ac:dyDescent="0.25">
      <c r="B236" s="227" t="str">
        <f>'Concept-Level Data'!A80</f>
        <v>Respondent 6</v>
      </c>
      <c r="C236" s="793" t="str">
        <f>'Concept-Level Data'!B80</f>
        <v>Gray Water Use</v>
      </c>
      <c r="D236" s="794"/>
      <c r="E236" s="381">
        <f>'Concept-Level Data'!AG80</f>
        <v>3</v>
      </c>
    </row>
    <row r="237" spans="2:5" hidden="1" x14ac:dyDescent="0.25">
      <c r="B237" s="227" t="str">
        <f>'Concept-Level Data'!A81</f>
        <v>Respondent 6</v>
      </c>
      <c r="C237" s="793" t="str">
        <f>'Concept-Level Data'!B81</f>
        <v>Groundwater</v>
      </c>
      <c r="D237" s="794"/>
      <c r="E237" s="381">
        <f>'Concept-Level Data'!AG81</f>
        <v>3</v>
      </c>
    </row>
    <row r="238" spans="2:5" hidden="1" x14ac:dyDescent="0.25">
      <c r="B238" s="227" t="str">
        <f>'Concept-Level Data'!A82</f>
        <v>Respondent 6</v>
      </c>
      <c r="C238" s="793" t="str">
        <f>'Concept-Level Data'!B82</f>
        <v>Imported Water Purchases</v>
      </c>
      <c r="D238" s="794"/>
      <c r="E238" s="381">
        <f>'Concept-Level Data'!AG82</f>
        <v>3</v>
      </c>
    </row>
    <row r="239" spans="2:5" hidden="1" x14ac:dyDescent="0.25">
      <c r="B239" s="227" t="str">
        <f>'Concept-Level Data'!A83</f>
        <v>Respondent 6</v>
      </c>
      <c r="C239" s="793" t="str">
        <f>'Concept-Level Data'!B83</f>
        <v>Local Surface Water Reservoirs</v>
      </c>
      <c r="D239" s="794"/>
      <c r="E239" s="381">
        <f>'Concept-Level Data'!AG83</f>
        <v>3</v>
      </c>
    </row>
    <row r="240" spans="2:5" hidden="1" x14ac:dyDescent="0.25">
      <c r="B240" s="227" t="str">
        <f>'Concept-Level Data'!A84</f>
        <v>Respondent 6</v>
      </c>
      <c r="C240" s="793" t="str">
        <f>'Concept-Level Data'!B84</f>
        <v>Potable Reuse</v>
      </c>
      <c r="D240" s="794"/>
      <c r="E240" s="381">
        <f>'Concept-Level Data'!AG84</f>
        <v>2</v>
      </c>
    </row>
    <row r="241" spans="2:5" hidden="1" x14ac:dyDescent="0.25">
      <c r="B241" s="227" t="str">
        <f>'Concept-Level Data'!A85</f>
        <v>Respondent 6</v>
      </c>
      <c r="C241" s="793" t="str">
        <f>'Concept-Level Data'!B85</f>
        <v>Recycled Water</v>
      </c>
      <c r="D241" s="794"/>
      <c r="E241" s="381">
        <f>'Concept-Level Data'!AG85</f>
        <v>3</v>
      </c>
    </row>
    <row r="242" spans="2:5" hidden="1" x14ac:dyDescent="0.25">
      <c r="B242" s="227" t="str">
        <f>'Concept-Level Data'!A86</f>
        <v>Respondent 6</v>
      </c>
      <c r="C242" s="793" t="str">
        <f>'Concept-Level Data'!B86</f>
        <v>Seawater Desalination</v>
      </c>
      <c r="D242" s="794"/>
      <c r="E242" s="381">
        <f>'Concept-Level Data'!AG86</f>
        <v>3</v>
      </c>
    </row>
    <row r="243" spans="2:5" hidden="1" x14ac:dyDescent="0.25">
      <c r="B243" s="227" t="str">
        <f>'Concept-Level Data'!A87</f>
        <v>Respondent 6</v>
      </c>
      <c r="C243" s="793" t="str">
        <f>'Concept-Level Data'!B87</f>
        <v>Stormwater BMPs</v>
      </c>
      <c r="D243" s="794"/>
      <c r="E243" s="381">
        <f>'Concept-Level Data'!AG87</f>
        <v>3</v>
      </c>
    </row>
    <row r="244" spans="2:5" hidden="1" x14ac:dyDescent="0.25">
      <c r="B244" s="227" t="str">
        <f>'Concept-Level Data'!A88</f>
        <v>Respondent 6</v>
      </c>
      <c r="C244" s="793" t="str">
        <f>'Concept-Level Data'!B88</f>
        <v>Stormwater Capture</v>
      </c>
      <c r="D244" s="794"/>
      <c r="E244" s="381">
        <f>'Concept-Level Data'!AG88</f>
        <v>3</v>
      </c>
    </row>
    <row r="245" spans="2:5" hidden="1" x14ac:dyDescent="0.25">
      <c r="B245" s="227" t="str">
        <f>'Concept-Level Data'!A89</f>
        <v>Respondent 6</v>
      </c>
      <c r="C245" s="793" t="str">
        <f>'Concept-Level Data'!B89</f>
        <v>Urban and Agricultural Water Use Efficiency</v>
      </c>
      <c r="D245" s="794"/>
      <c r="E245" s="381">
        <f>'Concept-Level Data'!AG89</f>
        <v>3</v>
      </c>
    </row>
    <row r="246" spans="2:5" hidden="1" x14ac:dyDescent="0.25">
      <c r="B246" s="227" t="str">
        <f>'Concept-Level Data'!A90</f>
        <v>Respondent 6</v>
      </c>
      <c r="C246" s="793" t="str">
        <f>'Concept-Level Data'!B90</f>
        <v>Watershed and Ecosystem Management</v>
      </c>
      <c r="D246" s="794"/>
      <c r="E246" s="381">
        <f>'Concept-Level Data'!AG90</f>
        <v>4</v>
      </c>
    </row>
    <row r="247" spans="2:5" hidden="1" x14ac:dyDescent="0.25">
      <c r="B247" s="227" t="str">
        <f>'Concept-Level Data'!A91</f>
        <v>Respondent 7</v>
      </c>
      <c r="C247" s="793" t="str">
        <f>'Concept-Level Data'!B91</f>
        <v>Conveyance Improvement</v>
      </c>
      <c r="D247" s="794"/>
      <c r="E247" s="381">
        <f>'Concept-Level Data'!AG91</f>
        <v>4</v>
      </c>
    </row>
    <row r="248" spans="2:5" hidden="1" x14ac:dyDescent="0.25">
      <c r="B248" s="227" t="str">
        <f>'Concept-Level Data'!A92</f>
        <v>Respondent 7</v>
      </c>
      <c r="C248" s="793" t="str">
        <f>'Concept-Level Data'!B92</f>
        <v>Drought Restriction/Allocation</v>
      </c>
      <c r="D248" s="794"/>
      <c r="E248" s="381">
        <f>'Concept-Level Data'!AG92</f>
        <v>4</v>
      </c>
    </row>
    <row r="249" spans="2:5" hidden="1" x14ac:dyDescent="0.25">
      <c r="B249" s="227" t="str">
        <f>'Concept-Level Data'!A93</f>
        <v>Respondent 7</v>
      </c>
      <c r="C249" s="793" t="str">
        <f>'Concept-Level Data'!B93</f>
        <v>Firm Water Supply Agreements</v>
      </c>
      <c r="D249" s="794"/>
      <c r="E249" s="381">
        <f>'Concept-Level Data'!AG93</f>
        <v>2</v>
      </c>
    </row>
    <row r="250" spans="2:5" hidden="1" x14ac:dyDescent="0.25">
      <c r="B250" s="227" t="str">
        <f>'Concept-Level Data'!A94</f>
        <v>Respondent 7</v>
      </c>
      <c r="C250" s="793" t="str">
        <f>'Concept-Level Data'!B94</f>
        <v>Gray Water Use</v>
      </c>
      <c r="D250" s="794"/>
      <c r="E250" s="381">
        <f>'Concept-Level Data'!AG94</f>
        <v>4</v>
      </c>
    </row>
    <row r="251" spans="2:5" hidden="1" x14ac:dyDescent="0.25">
      <c r="B251" s="227" t="str">
        <f>'Concept-Level Data'!A95</f>
        <v>Respondent 7</v>
      </c>
      <c r="C251" s="793" t="str">
        <f>'Concept-Level Data'!B95</f>
        <v>Groundwater</v>
      </c>
      <c r="D251" s="794"/>
      <c r="E251" s="381">
        <f>'Concept-Level Data'!AG95</f>
        <v>2</v>
      </c>
    </row>
    <row r="252" spans="2:5" hidden="1" x14ac:dyDescent="0.25">
      <c r="B252" s="227" t="str">
        <f>'Concept-Level Data'!A96</f>
        <v>Respondent 7</v>
      </c>
      <c r="C252" s="793" t="str">
        <f>'Concept-Level Data'!B96</f>
        <v>Imported Water Purchases</v>
      </c>
      <c r="D252" s="794"/>
      <c r="E252" s="381">
        <f>'Concept-Level Data'!AG96</f>
        <v>1</v>
      </c>
    </row>
    <row r="253" spans="2:5" hidden="1" x14ac:dyDescent="0.25">
      <c r="B253" s="227" t="str">
        <f>'Concept-Level Data'!A97</f>
        <v>Respondent 7</v>
      </c>
      <c r="C253" s="793" t="str">
        <f>'Concept-Level Data'!B97</f>
        <v>Local Surface Water Reservoirs</v>
      </c>
      <c r="D253" s="794"/>
      <c r="E253" s="381">
        <f>'Concept-Level Data'!AG97</f>
        <v>4</v>
      </c>
    </row>
    <row r="254" spans="2:5" hidden="1" x14ac:dyDescent="0.25">
      <c r="B254" s="227" t="str">
        <f>'Concept-Level Data'!A98</f>
        <v>Respondent 7</v>
      </c>
      <c r="C254" s="793" t="str">
        <f>'Concept-Level Data'!B98</f>
        <v>Potable Reuse</v>
      </c>
      <c r="D254" s="794"/>
      <c r="E254" s="381">
        <f>'Concept-Level Data'!AG98</f>
        <v>5</v>
      </c>
    </row>
    <row r="255" spans="2:5" hidden="1" x14ac:dyDescent="0.25">
      <c r="B255" s="227" t="str">
        <f>'Concept-Level Data'!A99</f>
        <v>Respondent 7</v>
      </c>
      <c r="C255" s="793" t="str">
        <f>'Concept-Level Data'!B99</f>
        <v>Recycled Water</v>
      </c>
      <c r="D255" s="794"/>
      <c r="E255" s="381">
        <f>'Concept-Level Data'!AG99</f>
        <v>4</v>
      </c>
    </row>
    <row r="256" spans="2:5" hidden="1" x14ac:dyDescent="0.25">
      <c r="B256" s="227" t="str">
        <f>'Concept-Level Data'!A100</f>
        <v>Respondent 7</v>
      </c>
      <c r="C256" s="793" t="str">
        <f>'Concept-Level Data'!B100</f>
        <v>Seawater Desalination</v>
      </c>
      <c r="D256" s="794"/>
      <c r="E256" s="381">
        <f>'Concept-Level Data'!AG100</f>
        <v>1</v>
      </c>
    </row>
    <row r="257" spans="2:5" hidden="1" x14ac:dyDescent="0.25">
      <c r="B257" s="227" t="str">
        <f>'Concept-Level Data'!A101</f>
        <v>Respondent 7</v>
      </c>
      <c r="C257" s="793" t="str">
        <f>'Concept-Level Data'!B101</f>
        <v>Stormwater BMPs</v>
      </c>
      <c r="D257" s="794"/>
      <c r="E257" s="381">
        <f>'Concept-Level Data'!AG101</f>
        <v>4</v>
      </c>
    </row>
    <row r="258" spans="2:5" hidden="1" x14ac:dyDescent="0.25">
      <c r="B258" s="227" t="str">
        <f>'Concept-Level Data'!A102</f>
        <v>Respondent 7</v>
      </c>
      <c r="C258" s="793" t="str">
        <f>'Concept-Level Data'!B102</f>
        <v>Stormwater Capture</v>
      </c>
      <c r="D258" s="794"/>
      <c r="E258" s="381">
        <f>'Concept-Level Data'!AG102</f>
        <v>4</v>
      </c>
    </row>
    <row r="259" spans="2:5" hidden="1" x14ac:dyDescent="0.25">
      <c r="B259" s="227" t="str">
        <f>'Concept-Level Data'!A103</f>
        <v>Respondent 7</v>
      </c>
      <c r="C259" s="793" t="str">
        <f>'Concept-Level Data'!B103</f>
        <v>Urban and Agricultural Water Use Efficiency</v>
      </c>
      <c r="D259" s="794"/>
      <c r="E259" s="381">
        <f>'Concept-Level Data'!AG103</f>
        <v>4</v>
      </c>
    </row>
    <row r="260" spans="2:5" hidden="1" x14ac:dyDescent="0.25">
      <c r="B260" s="227" t="str">
        <f>'Concept-Level Data'!A104</f>
        <v>Respondent 7</v>
      </c>
      <c r="C260" s="793" t="str">
        <f>'Concept-Level Data'!B104</f>
        <v>Watershed and Ecosystem Management</v>
      </c>
      <c r="D260" s="794"/>
      <c r="E260" s="381">
        <f>'Concept-Level Data'!AG104</f>
        <v>5</v>
      </c>
    </row>
    <row r="261" spans="2:5" hidden="1" x14ac:dyDescent="0.25">
      <c r="B261" s="227" t="str">
        <f>'Concept-Level Data'!A105</f>
        <v>Respondent 8</v>
      </c>
      <c r="C261" s="793" t="str">
        <f>'Concept-Level Data'!B105</f>
        <v>Conveyance Improvement</v>
      </c>
      <c r="D261" s="794"/>
      <c r="E261" s="381">
        <f>'Concept-Level Data'!AG105</f>
        <v>2</v>
      </c>
    </row>
    <row r="262" spans="2:5" hidden="1" x14ac:dyDescent="0.25">
      <c r="B262" s="227" t="str">
        <f>'Concept-Level Data'!A106</f>
        <v>Respondent 8</v>
      </c>
      <c r="C262" s="793" t="str">
        <f>'Concept-Level Data'!B106</f>
        <v>Drought Restriction/Allocation</v>
      </c>
      <c r="D262" s="794"/>
      <c r="E262" s="381">
        <f>'Concept-Level Data'!AG106</f>
        <v>4</v>
      </c>
    </row>
    <row r="263" spans="2:5" hidden="1" x14ac:dyDescent="0.25">
      <c r="B263" s="227" t="str">
        <f>'Concept-Level Data'!A107</f>
        <v>Respondent 8</v>
      </c>
      <c r="C263" s="793" t="str">
        <f>'Concept-Level Data'!B107</f>
        <v>Firm Water Supply Agreements</v>
      </c>
      <c r="D263" s="794"/>
      <c r="E263" s="381">
        <f>'Concept-Level Data'!AG107</f>
        <v>2</v>
      </c>
    </row>
    <row r="264" spans="2:5" hidden="1" x14ac:dyDescent="0.25">
      <c r="B264" s="227" t="str">
        <f>'Concept-Level Data'!A108</f>
        <v>Respondent 8</v>
      </c>
      <c r="C264" s="793" t="str">
        <f>'Concept-Level Data'!B108</f>
        <v>Gray Water Use</v>
      </c>
      <c r="D264" s="794"/>
      <c r="E264" s="381">
        <f>'Concept-Level Data'!AG108</f>
        <v>3</v>
      </c>
    </row>
    <row r="265" spans="2:5" hidden="1" x14ac:dyDescent="0.25">
      <c r="B265" s="227" t="str">
        <f>'Concept-Level Data'!A109</f>
        <v>Respondent 8</v>
      </c>
      <c r="C265" s="793" t="str">
        <f>'Concept-Level Data'!B109</f>
        <v>Groundwater</v>
      </c>
      <c r="D265" s="794"/>
      <c r="E265" s="381">
        <f>'Concept-Level Data'!AG109</f>
        <v>4</v>
      </c>
    </row>
    <row r="266" spans="2:5" hidden="1" x14ac:dyDescent="0.25">
      <c r="B266" s="227" t="str">
        <f>'Concept-Level Data'!A110</f>
        <v>Respondent 8</v>
      </c>
      <c r="C266" s="793" t="str">
        <f>'Concept-Level Data'!B110</f>
        <v>Imported Water Purchases</v>
      </c>
      <c r="D266" s="794"/>
      <c r="E266" s="381">
        <f>'Concept-Level Data'!AG110</f>
        <v>1</v>
      </c>
    </row>
    <row r="267" spans="2:5" hidden="1" x14ac:dyDescent="0.25">
      <c r="B267" s="227" t="str">
        <f>'Concept-Level Data'!A111</f>
        <v>Respondent 8</v>
      </c>
      <c r="C267" s="793" t="str">
        <f>'Concept-Level Data'!B111</f>
        <v>Local Surface Water Reservoirs</v>
      </c>
      <c r="D267" s="794"/>
      <c r="E267" s="381">
        <f>'Concept-Level Data'!AG111</f>
        <v>3</v>
      </c>
    </row>
    <row r="268" spans="2:5" hidden="1" x14ac:dyDescent="0.25">
      <c r="B268" s="227" t="str">
        <f>'Concept-Level Data'!A112</f>
        <v>Respondent 8</v>
      </c>
      <c r="C268" s="793" t="str">
        <f>'Concept-Level Data'!B112</f>
        <v>Potable Reuse</v>
      </c>
      <c r="D268" s="794"/>
      <c r="E268" s="381">
        <f>'Concept-Level Data'!AG112</f>
        <v>4</v>
      </c>
    </row>
    <row r="269" spans="2:5" hidden="1" x14ac:dyDescent="0.25">
      <c r="B269" s="227" t="str">
        <f>'Concept-Level Data'!A113</f>
        <v>Respondent 8</v>
      </c>
      <c r="C269" s="793" t="str">
        <f>'Concept-Level Data'!B113</f>
        <v>Recycled Water</v>
      </c>
      <c r="D269" s="794"/>
      <c r="E269" s="381">
        <f>'Concept-Level Data'!AG113</f>
        <v>4</v>
      </c>
    </row>
    <row r="270" spans="2:5" hidden="1" x14ac:dyDescent="0.25">
      <c r="B270" s="227" t="str">
        <f>'Concept-Level Data'!A114</f>
        <v>Respondent 8</v>
      </c>
      <c r="C270" s="793" t="str">
        <f>'Concept-Level Data'!B114</f>
        <v>Seawater Desalination</v>
      </c>
      <c r="D270" s="794"/>
      <c r="E270" s="381">
        <f>'Concept-Level Data'!AG114</f>
        <v>1</v>
      </c>
    </row>
    <row r="271" spans="2:5" hidden="1" x14ac:dyDescent="0.25">
      <c r="B271" s="227" t="str">
        <f>'Concept-Level Data'!A115</f>
        <v>Respondent 8</v>
      </c>
      <c r="C271" s="793" t="str">
        <f>'Concept-Level Data'!B115</f>
        <v>Stormwater BMPs</v>
      </c>
      <c r="D271" s="794"/>
      <c r="E271" s="381">
        <f>'Concept-Level Data'!AG115</f>
        <v>3</v>
      </c>
    </row>
    <row r="272" spans="2:5" hidden="1" x14ac:dyDescent="0.25">
      <c r="B272" s="227" t="str">
        <f>'Concept-Level Data'!A116</f>
        <v>Respondent 8</v>
      </c>
      <c r="C272" s="793" t="str">
        <f>'Concept-Level Data'!B116</f>
        <v>Stormwater Capture</v>
      </c>
      <c r="D272" s="794"/>
      <c r="E272" s="381">
        <f>'Concept-Level Data'!AG116</f>
        <v>2</v>
      </c>
    </row>
    <row r="273" spans="2:5" hidden="1" x14ac:dyDescent="0.25">
      <c r="B273" s="227" t="str">
        <f>'Concept-Level Data'!A117</f>
        <v>Respondent 8</v>
      </c>
      <c r="C273" s="793" t="str">
        <f>'Concept-Level Data'!B117</f>
        <v>Urban and Agricultural Water Use Efficiency</v>
      </c>
      <c r="D273" s="794"/>
      <c r="E273" s="381">
        <f>'Concept-Level Data'!AG117</f>
        <v>4</v>
      </c>
    </row>
    <row r="274" spans="2:5" hidden="1" x14ac:dyDescent="0.25">
      <c r="B274" s="227" t="str">
        <f>'Concept-Level Data'!A118</f>
        <v>Respondent 8</v>
      </c>
      <c r="C274" s="793" t="str">
        <f>'Concept-Level Data'!B118</f>
        <v>Watershed and Ecosystem Management</v>
      </c>
      <c r="D274" s="794"/>
      <c r="E274" s="381">
        <f>'Concept-Level Data'!AG118</f>
        <v>5</v>
      </c>
    </row>
    <row r="275" spans="2:5" hidden="1" x14ac:dyDescent="0.25">
      <c r="B275" s="227" t="str">
        <f>'Concept-Level Data'!A119</f>
        <v>Respondent 9</v>
      </c>
      <c r="C275" s="793" t="str">
        <f>'Concept-Level Data'!B119</f>
        <v>Conveyance Improvement</v>
      </c>
      <c r="D275" s="794"/>
      <c r="E275" s="381">
        <f>'Concept-Level Data'!AG119</f>
        <v>4</v>
      </c>
    </row>
    <row r="276" spans="2:5" hidden="1" x14ac:dyDescent="0.25">
      <c r="B276" s="227" t="str">
        <f>'Concept-Level Data'!A120</f>
        <v>Respondent 9</v>
      </c>
      <c r="C276" s="793" t="str">
        <f>'Concept-Level Data'!B120</f>
        <v>Drought Restriction/Allocation</v>
      </c>
      <c r="D276" s="794"/>
      <c r="E276" s="381">
        <f>'Concept-Level Data'!AG120</f>
        <v>3</v>
      </c>
    </row>
    <row r="277" spans="2:5" hidden="1" x14ac:dyDescent="0.25">
      <c r="B277" s="227" t="str">
        <f>'Concept-Level Data'!A121</f>
        <v>Respondent 9</v>
      </c>
      <c r="C277" s="793" t="str">
        <f>'Concept-Level Data'!B121</f>
        <v>Firm Water Supply Agreements</v>
      </c>
      <c r="D277" s="794"/>
      <c r="E277" s="381">
        <f>'Concept-Level Data'!AG121</f>
        <v>2</v>
      </c>
    </row>
    <row r="278" spans="2:5" hidden="1" x14ac:dyDescent="0.25">
      <c r="B278" s="227" t="str">
        <f>'Concept-Level Data'!A122</f>
        <v>Respondent 9</v>
      </c>
      <c r="C278" s="793" t="str">
        <f>'Concept-Level Data'!B122</f>
        <v>Gray Water Use</v>
      </c>
      <c r="D278" s="794"/>
      <c r="E278" s="381">
        <f>'Concept-Level Data'!AG122</f>
        <v>3</v>
      </c>
    </row>
    <row r="279" spans="2:5" hidden="1" x14ac:dyDescent="0.25">
      <c r="B279" s="227" t="str">
        <f>'Concept-Level Data'!A123</f>
        <v>Respondent 9</v>
      </c>
      <c r="C279" s="793" t="str">
        <f>'Concept-Level Data'!B123</f>
        <v>Groundwater</v>
      </c>
      <c r="D279" s="794"/>
      <c r="E279" s="381">
        <f>'Concept-Level Data'!AG123</f>
        <v>3</v>
      </c>
    </row>
    <row r="280" spans="2:5" hidden="1" x14ac:dyDescent="0.25">
      <c r="B280" s="227" t="str">
        <f>'Concept-Level Data'!A124</f>
        <v>Respondent 9</v>
      </c>
      <c r="C280" s="793" t="str">
        <f>'Concept-Level Data'!B124</f>
        <v>Imported Water Purchases</v>
      </c>
      <c r="D280" s="794"/>
      <c r="E280" s="381">
        <f>'Concept-Level Data'!AG124</f>
        <v>2</v>
      </c>
    </row>
    <row r="281" spans="2:5" hidden="1" x14ac:dyDescent="0.25">
      <c r="B281" s="227" t="str">
        <f>'Concept-Level Data'!A125</f>
        <v>Respondent 9</v>
      </c>
      <c r="C281" s="793" t="str">
        <f>'Concept-Level Data'!B125</f>
        <v>Local Surface Water Reservoirs</v>
      </c>
      <c r="D281" s="794"/>
      <c r="E281" s="381">
        <f>'Concept-Level Data'!AG125</f>
        <v>5</v>
      </c>
    </row>
    <row r="282" spans="2:5" hidden="1" x14ac:dyDescent="0.25">
      <c r="B282" s="227" t="str">
        <f>'Concept-Level Data'!A126</f>
        <v>Respondent 9</v>
      </c>
      <c r="C282" s="793" t="str">
        <f>'Concept-Level Data'!B126</f>
        <v>Potable Reuse</v>
      </c>
      <c r="D282" s="794"/>
      <c r="E282" s="381">
        <f>'Concept-Level Data'!AG126</f>
        <v>5</v>
      </c>
    </row>
    <row r="283" spans="2:5" hidden="1" x14ac:dyDescent="0.25">
      <c r="B283" s="227" t="str">
        <f>'Concept-Level Data'!A127</f>
        <v>Respondent 9</v>
      </c>
      <c r="C283" s="793" t="str">
        <f>'Concept-Level Data'!B127</f>
        <v>Recycled Water</v>
      </c>
      <c r="D283" s="794"/>
      <c r="E283" s="381">
        <f>'Concept-Level Data'!AG127</f>
        <v>5</v>
      </c>
    </row>
    <row r="284" spans="2:5" hidden="1" x14ac:dyDescent="0.25">
      <c r="B284" s="227" t="str">
        <f>'Concept-Level Data'!A128</f>
        <v>Respondent 9</v>
      </c>
      <c r="C284" s="793" t="str">
        <f>'Concept-Level Data'!B128</f>
        <v>Seawater Desalination</v>
      </c>
      <c r="D284" s="794"/>
      <c r="E284" s="381">
        <f>'Concept-Level Data'!AG128</f>
        <v>2</v>
      </c>
    </row>
    <row r="285" spans="2:5" hidden="1" x14ac:dyDescent="0.25">
      <c r="B285" s="227" t="str">
        <f>'Concept-Level Data'!A129</f>
        <v>Respondent 9</v>
      </c>
      <c r="C285" s="793" t="str">
        <f>'Concept-Level Data'!B129</f>
        <v>Stormwater BMPs</v>
      </c>
      <c r="D285" s="794"/>
      <c r="E285" s="381">
        <f>'Concept-Level Data'!AG129</f>
        <v>4</v>
      </c>
    </row>
    <row r="286" spans="2:5" hidden="1" x14ac:dyDescent="0.25">
      <c r="B286" s="227" t="str">
        <f>'Concept-Level Data'!A130</f>
        <v>Respondent 9</v>
      </c>
      <c r="C286" s="793" t="str">
        <f>'Concept-Level Data'!B130</f>
        <v>Stormwater Capture</v>
      </c>
      <c r="D286" s="794"/>
      <c r="E286" s="381">
        <f>'Concept-Level Data'!AG130</f>
        <v>3</v>
      </c>
    </row>
    <row r="287" spans="2:5" hidden="1" x14ac:dyDescent="0.25">
      <c r="B287" s="227" t="str">
        <f>'Concept-Level Data'!A131</f>
        <v>Respondent 9</v>
      </c>
      <c r="C287" s="793" t="str">
        <f>'Concept-Level Data'!B131</f>
        <v>Urban and Agricultural Water Use Efficiency</v>
      </c>
      <c r="D287" s="794"/>
      <c r="E287" s="381" t="str">
        <f>'Concept-Level Data'!AG131</f>
        <v>MISSING</v>
      </c>
    </row>
    <row r="288" spans="2:5" hidden="1" x14ac:dyDescent="0.25">
      <c r="B288" s="227" t="str">
        <f>'Concept-Level Data'!A132</f>
        <v>Respondent 9</v>
      </c>
      <c r="C288" s="793" t="str">
        <f>'Concept-Level Data'!B132</f>
        <v>Watershed and Ecosystem Management</v>
      </c>
      <c r="D288" s="794"/>
      <c r="E288" s="381">
        <f>'Concept-Level Data'!AG132</f>
        <v>5</v>
      </c>
    </row>
    <row r="289" spans="2:5" hidden="1" x14ac:dyDescent="0.25">
      <c r="B289" s="227" t="str">
        <f>'Concept-Level Data'!A133</f>
        <v>Respondent 10</v>
      </c>
      <c r="C289" s="793" t="str">
        <f>'Concept-Level Data'!B133</f>
        <v>Conveyance Improvement</v>
      </c>
      <c r="D289" s="794"/>
      <c r="E289" s="381">
        <f>'Concept-Level Data'!AG133</f>
        <v>4</v>
      </c>
    </row>
    <row r="290" spans="2:5" hidden="1" x14ac:dyDescent="0.25">
      <c r="B290" s="227" t="str">
        <f>'Concept-Level Data'!A134</f>
        <v>Respondent 10</v>
      </c>
      <c r="C290" s="793" t="str">
        <f>'Concept-Level Data'!B134</f>
        <v>Drought Restriction/Allocation</v>
      </c>
      <c r="D290" s="794"/>
      <c r="E290" s="381">
        <f>'Concept-Level Data'!AG134</f>
        <v>4</v>
      </c>
    </row>
    <row r="291" spans="2:5" hidden="1" x14ac:dyDescent="0.25">
      <c r="B291" s="227" t="str">
        <f>'Concept-Level Data'!A135</f>
        <v>Respondent 10</v>
      </c>
      <c r="C291" s="793" t="str">
        <f>'Concept-Level Data'!B135</f>
        <v>Firm Water Supply Agreements</v>
      </c>
      <c r="D291" s="794"/>
      <c r="E291" s="381">
        <f>'Concept-Level Data'!AG135</f>
        <v>3</v>
      </c>
    </row>
    <row r="292" spans="2:5" hidden="1" x14ac:dyDescent="0.25">
      <c r="B292" s="227" t="str">
        <f>'Concept-Level Data'!A136</f>
        <v>Respondent 10</v>
      </c>
      <c r="C292" s="793" t="str">
        <f>'Concept-Level Data'!B136</f>
        <v>Gray Water Use</v>
      </c>
      <c r="D292" s="794"/>
      <c r="E292" s="381">
        <f>'Concept-Level Data'!AG136</f>
        <v>4</v>
      </c>
    </row>
    <row r="293" spans="2:5" hidden="1" x14ac:dyDescent="0.25">
      <c r="B293" s="227" t="str">
        <f>'Concept-Level Data'!A137</f>
        <v>Respondent 10</v>
      </c>
      <c r="C293" s="793" t="str">
        <f>'Concept-Level Data'!B137</f>
        <v>Groundwater</v>
      </c>
      <c r="D293" s="794"/>
      <c r="E293" s="381">
        <f>'Concept-Level Data'!AG137</f>
        <v>4</v>
      </c>
    </row>
    <row r="294" spans="2:5" hidden="1" x14ac:dyDescent="0.25">
      <c r="B294" s="227" t="str">
        <f>'Concept-Level Data'!A138</f>
        <v>Respondent 10</v>
      </c>
      <c r="C294" s="793" t="str">
        <f>'Concept-Level Data'!B138</f>
        <v>Imported Water Purchases</v>
      </c>
      <c r="D294" s="794"/>
      <c r="E294" s="381">
        <f>'Concept-Level Data'!AG138</f>
        <v>3</v>
      </c>
    </row>
    <row r="295" spans="2:5" hidden="1" x14ac:dyDescent="0.25">
      <c r="B295" s="227" t="str">
        <f>'Concept-Level Data'!A139</f>
        <v>Respondent 10</v>
      </c>
      <c r="C295" s="793" t="str">
        <f>'Concept-Level Data'!B139</f>
        <v>Local Surface Water Reservoirs</v>
      </c>
      <c r="D295" s="794"/>
      <c r="E295" s="381">
        <f>'Concept-Level Data'!AG139</f>
        <v>4</v>
      </c>
    </row>
    <row r="296" spans="2:5" hidden="1" x14ac:dyDescent="0.25">
      <c r="B296" s="227" t="str">
        <f>'Concept-Level Data'!A140</f>
        <v>Respondent 10</v>
      </c>
      <c r="C296" s="793" t="str">
        <f>'Concept-Level Data'!B140</f>
        <v>Potable Reuse</v>
      </c>
      <c r="D296" s="794"/>
      <c r="E296" s="381">
        <f>'Concept-Level Data'!AG140</f>
        <v>4</v>
      </c>
    </row>
    <row r="297" spans="2:5" hidden="1" x14ac:dyDescent="0.25">
      <c r="B297" s="227" t="str">
        <f>'Concept-Level Data'!A141</f>
        <v>Respondent 10</v>
      </c>
      <c r="C297" s="793" t="str">
        <f>'Concept-Level Data'!B141</f>
        <v>Recycled Water</v>
      </c>
      <c r="D297" s="794"/>
      <c r="E297" s="381">
        <f>'Concept-Level Data'!AG141</f>
        <v>5</v>
      </c>
    </row>
    <row r="298" spans="2:5" hidden="1" x14ac:dyDescent="0.25">
      <c r="B298" s="227" t="str">
        <f>'Concept-Level Data'!A142</f>
        <v>Respondent 10</v>
      </c>
      <c r="C298" s="793" t="str">
        <f>'Concept-Level Data'!B142</f>
        <v>Seawater Desalination</v>
      </c>
      <c r="D298" s="794"/>
      <c r="E298" s="381">
        <f>'Concept-Level Data'!AG142</f>
        <v>3</v>
      </c>
    </row>
    <row r="299" spans="2:5" hidden="1" x14ac:dyDescent="0.25">
      <c r="B299" s="227" t="str">
        <f>'Concept-Level Data'!A143</f>
        <v>Respondent 10</v>
      </c>
      <c r="C299" s="793" t="str">
        <f>'Concept-Level Data'!B143</f>
        <v>Stormwater BMPs</v>
      </c>
      <c r="D299" s="794"/>
      <c r="E299" s="381">
        <f>'Concept-Level Data'!AG143</f>
        <v>4</v>
      </c>
    </row>
    <row r="300" spans="2:5" hidden="1" x14ac:dyDescent="0.25">
      <c r="B300" s="227" t="str">
        <f>'Concept-Level Data'!A144</f>
        <v>Respondent 10</v>
      </c>
      <c r="C300" s="793" t="str">
        <f>'Concept-Level Data'!B144</f>
        <v>Stormwater Capture</v>
      </c>
      <c r="D300" s="794"/>
      <c r="E300" s="381">
        <f>'Concept-Level Data'!AG144</f>
        <v>4</v>
      </c>
    </row>
    <row r="301" spans="2:5" hidden="1" x14ac:dyDescent="0.25">
      <c r="B301" s="227" t="str">
        <f>'Concept-Level Data'!A145</f>
        <v>Respondent 10</v>
      </c>
      <c r="C301" s="793" t="str">
        <f>'Concept-Level Data'!B145</f>
        <v>Urban and Agricultural Water Use Efficiency</v>
      </c>
      <c r="D301" s="794"/>
      <c r="E301" s="381">
        <f>'Concept-Level Data'!AG145</f>
        <v>4</v>
      </c>
    </row>
    <row r="302" spans="2:5" hidden="1" x14ac:dyDescent="0.25">
      <c r="B302" s="227" t="str">
        <f>'Concept-Level Data'!A146</f>
        <v>Respondent 10</v>
      </c>
      <c r="C302" s="793" t="str">
        <f>'Concept-Level Data'!B146</f>
        <v>Watershed and Ecosystem Management</v>
      </c>
      <c r="D302" s="794"/>
      <c r="E302" s="381">
        <f>'Concept-Level Data'!AG146</f>
        <v>4</v>
      </c>
    </row>
    <row r="303" spans="2:5" hidden="1" x14ac:dyDescent="0.25">
      <c r="B303" s="227" t="str">
        <f>'Concept-Level Data'!A147</f>
        <v>Respondent 11</v>
      </c>
      <c r="C303" s="793" t="str">
        <f>'Concept-Level Data'!B147</f>
        <v>Conveyance Improvement</v>
      </c>
      <c r="D303" s="794"/>
      <c r="E303" s="381">
        <f>'Concept-Level Data'!AG147</f>
        <v>3</v>
      </c>
    </row>
    <row r="304" spans="2:5" hidden="1" x14ac:dyDescent="0.25">
      <c r="B304" s="227" t="str">
        <f>'Concept-Level Data'!A148</f>
        <v>Respondent 11</v>
      </c>
      <c r="C304" s="793" t="str">
        <f>'Concept-Level Data'!B148</f>
        <v>Drought Restriction/Allocation</v>
      </c>
      <c r="D304" s="794"/>
      <c r="E304" s="381">
        <f>'Concept-Level Data'!AG148</f>
        <v>4</v>
      </c>
    </row>
    <row r="305" spans="2:5" hidden="1" x14ac:dyDescent="0.25">
      <c r="B305" s="227" t="str">
        <f>'Concept-Level Data'!A149</f>
        <v>Respondent 11</v>
      </c>
      <c r="C305" s="793" t="str">
        <f>'Concept-Level Data'!B149</f>
        <v>Firm Water Supply Agreements</v>
      </c>
      <c r="D305" s="794"/>
      <c r="E305" s="381">
        <f>'Concept-Level Data'!AG149</f>
        <v>3</v>
      </c>
    </row>
    <row r="306" spans="2:5" hidden="1" x14ac:dyDescent="0.25">
      <c r="B306" s="227" t="str">
        <f>'Concept-Level Data'!A150</f>
        <v>Respondent 11</v>
      </c>
      <c r="C306" s="793" t="str">
        <f>'Concept-Level Data'!B150</f>
        <v>Gray Water Use</v>
      </c>
      <c r="D306" s="794"/>
      <c r="E306" s="381">
        <f>'Concept-Level Data'!AG150</f>
        <v>3</v>
      </c>
    </row>
    <row r="307" spans="2:5" hidden="1" x14ac:dyDescent="0.25">
      <c r="B307" s="227" t="str">
        <f>'Concept-Level Data'!A151</f>
        <v>Respondent 11</v>
      </c>
      <c r="C307" s="793" t="str">
        <f>'Concept-Level Data'!B151</f>
        <v>Groundwater</v>
      </c>
      <c r="D307" s="794"/>
      <c r="E307" s="381">
        <f>'Concept-Level Data'!AG151</f>
        <v>2</v>
      </c>
    </row>
    <row r="308" spans="2:5" hidden="1" x14ac:dyDescent="0.25">
      <c r="B308" s="227" t="str">
        <f>'Concept-Level Data'!A152</f>
        <v>Respondent 11</v>
      </c>
      <c r="C308" s="793" t="str">
        <f>'Concept-Level Data'!B152</f>
        <v>Imported Water Purchases</v>
      </c>
      <c r="D308" s="794"/>
      <c r="E308" s="381">
        <f>'Concept-Level Data'!AG152</f>
        <v>1</v>
      </c>
    </row>
    <row r="309" spans="2:5" hidden="1" x14ac:dyDescent="0.25">
      <c r="B309" s="227" t="str">
        <f>'Concept-Level Data'!A153</f>
        <v>Respondent 11</v>
      </c>
      <c r="C309" s="793" t="str">
        <f>'Concept-Level Data'!B153</f>
        <v>Local Surface Water Reservoirs</v>
      </c>
      <c r="D309" s="794"/>
      <c r="E309" s="381">
        <f>'Concept-Level Data'!AG153</f>
        <v>4</v>
      </c>
    </row>
    <row r="310" spans="2:5" hidden="1" x14ac:dyDescent="0.25">
      <c r="B310" s="227" t="str">
        <f>'Concept-Level Data'!A154</f>
        <v>Respondent 11</v>
      </c>
      <c r="C310" s="793" t="str">
        <f>'Concept-Level Data'!B154</f>
        <v>Potable Reuse</v>
      </c>
      <c r="D310" s="794"/>
      <c r="E310" s="381">
        <f>'Concept-Level Data'!AG154</f>
        <v>3</v>
      </c>
    </row>
    <row r="311" spans="2:5" hidden="1" x14ac:dyDescent="0.25">
      <c r="B311" s="227" t="str">
        <f>'Concept-Level Data'!A155</f>
        <v>Respondent 11</v>
      </c>
      <c r="C311" s="793" t="str">
        <f>'Concept-Level Data'!B155</f>
        <v>Recycled Water</v>
      </c>
      <c r="D311" s="794"/>
      <c r="E311" s="381">
        <f>'Concept-Level Data'!AG155</f>
        <v>3</v>
      </c>
    </row>
    <row r="312" spans="2:5" hidden="1" x14ac:dyDescent="0.25">
      <c r="B312" s="227" t="str">
        <f>'Concept-Level Data'!A156</f>
        <v>Respondent 11</v>
      </c>
      <c r="C312" s="793" t="str">
        <f>'Concept-Level Data'!B156</f>
        <v>Seawater Desalination</v>
      </c>
      <c r="D312" s="794"/>
      <c r="E312" s="381">
        <f>'Concept-Level Data'!AG156</f>
        <v>2</v>
      </c>
    </row>
    <row r="313" spans="2:5" hidden="1" x14ac:dyDescent="0.25">
      <c r="B313" s="227" t="str">
        <f>'Concept-Level Data'!A157</f>
        <v>Respondent 11</v>
      </c>
      <c r="C313" s="793" t="str">
        <f>'Concept-Level Data'!B157</f>
        <v>Stormwater BMPs</v>
      </c>
      <c r="D313" s="794"/>
      <c r="E313" s="381">
        <f>'Concept-Level Data'!AG157</f>
        <v>3</v>
      </c>
    </row>
    <row r="314" spans="2:5" hidden="1" x14ac:dyDescent="0.25">
      <c r="B314" s="227" t="str">
        <f>'Concept-Level Data'!A158</f>
        <v>Respondent 11</v>
      </c>
      <c r="C314" s="793" t="str">
        <f>'Concept-Level Data'!B158</f>
        <v>Stormwater Capture</v>
      </c>
      <c r="D314" s="794"/>
      <c r="E314" s="381">
        <f>'Concept-Level Data'!AG158</f>
        <v>3</v>
      </c>
    </row>
    <row r="315" spans="2:5" hidden="1" x14ac:dyDescent="0.25">
      <c r="B315" s="227" t="str">
        <f>'Concept-Level Data'!A159</f>
        <v>Respondent 11</v>
      </c>
      <c r="C315" s="793" t="str">
        <f>'Concept-Level Data'!B159</f>
        <v>Urban and Agricultural Water Use Efficiency</v>
      </c>
      <c r="D315" s="794"/>
      <c r="E315" s="381">
        <f>'Concept-Level Data'!AG159</f>
        <v>4</v>
      </c>
    </row>
    <row r="316" spans="2:5" hidden="1" x14ac:dyDescent="0.25">
      <c r="B316" s="227" t="str">
        <f>'Concept-Level Data'!A160</f>
        <v>Respondent 11</v>
      </c>
      <c r="C316" s="793" t="str">
        <f>'Concept-Level Data'!B160</f>
        <v>Watershed and Ecosystem Management</v>
      </c>
      <c r="D316" s="794"/>
      <c r="E316" s="381">
        <f>'Concept-Level Data'!AG160</f>
        <v>3</v>
      </c>
    </row>
    <row r="317" spans="2:5" hidden="1" x14ac:dyDescent="0.25">
      <c r="B317" s="227" t="str">
        <f>'Concept-Level Data'!A161</f>
        <v>Respondent 12</v>
      </c>
      <c r="C317" s="793" t="str">
        <f>'Concept-Level Data'!B161</f>
        <v>Conveyance Improvement</v>
      </c>
      <c r="D317" s="794"/>
      <c r="E317" s="381">
        <f>'Concept-Level Data'!AG161</f>
        <v>3</v>
      </c>
    </row>
    <row r="318" spans="2:5" hidden="1" x14ac:dyDescent="0.25">
      <c r="B318" s="227" t="str">
        <f>'Concept-Level Data'!A162</f>
        <v>Respondent 12</v>
      </c>
      <c r="C318" s="793" t="str">
        <f>'Concept-Level Data'!B162</f>
        <v>Drought Restriction/Allocation</v>
      </c>
      <c r="D318" s="794"/>
      <c r="E318" s="381">
        <f>'Concept-Level Data'!AG162</f>
        <v>3</v>
      </c>
    </row>
    <row r="319" spans="2:5" hidden="1" x14ac:dyDescent="0.25">
      <c r="B319" s="227" t="str">
        <f>'Concept-Level Data'!A163</f>
        <v>Respondent 12</v>
      </c>
      <c r="C319" s="793" t="str">
        <f>'Concept-Level Data'!B163</f>
        <v>Firm Water Supply Agreements</v>
      </c>
      <c r="D319" s="794"/>
      <c r="E319" s="381">
        <f>'Concept-Level Data'!AG163</f>
        <v>3</v>
      </c>
    </row>
    <row r="320" spans="2:5" hidden="1" x14ac:dyDescent="0.25">
      <c r="B320" s="227" t="str">
        <f>'Concept-Level Data'!A164</f>
        <v>Respondent 12</v>
      </c>
      <c r="C320" s="793" t="str">
        <f>'Concept-Level Data'!B164</f>
        <v>Gray Water Use</v>
      </c>
      <c r="D320" s="794"/>
      <c r="E320" s="381">
        <f>'Concept-Level Data'!AG164</f>
        <v>3</v>
      </c>
    </row>
    <row r="321" spans="2:5" hidden="1" x14ac:dyDescent="0.25">
      <c r="B321" s="227" t="str">
        <f>'Concept-Level Data'!A165</f>
        <v>Respondent 12</v>
      </c>
      <c r="C321" s="793" t="str">
        <f>'Concept-Level Data'!B165</f>
        <v>Groundwater</v>
      </c>
      <c r="D321" s="794"/>
      <c r="E321" s="381">
        <f>'Concept-Level Data'!AG165</f>
        <v>3</v>
      </c>
    </row>
    <row r="322" spans="2:5" hidden="1" x14ac:dyDescent="0.25">
      <c r="B322" s="227" t="str">
        <f>'Concept-Level Data'!A166</f>
        <v>Respondent 12</v>
      </c>
      <c r="C322" s="793" t="str">
        <f>'Concept-Level Data'!B166</f>
        <v>Imported Water Purchases</v>
      </c>
      <c r="D322" s="794"/>
      <c r="E322" s="381">
        <f>'Concept-Level Data'!AG166</f>
        <v>3</v>
      </c>
    </row>
    <row r="323" spans="2:5" hidden="1" x14ac:dyDescent="0.25">
      <c r="B323" s="227" t="str">
        <f>'Concept-Level Data'!A167</f>
        <v>Respondent 12</v>
      </c>
      <c r="C323" s="793" t="str">
        <f>'Concept-Level Data'!B167</f>
        <v>Local Surface Water Reservoirs</v>
      </c>
      <c r="D323" s="794"/>
      <c r="E323" s="381">
        <f>'Concept-Level Data'!AG167</f>
        <v>3</v>
      </c>
    </row>
    <row r="324" spans="2:5" hidden="1" x14ac:dyDescent="0.25">
      <c r="B324" s="227" t="str">
        <f>'Concept-Level Data'!A168</f>
        <v>Respondent 12</v>
      </c>
      <c r="C324" s="793" t="str">
        <f>'Concept-Level Data'!B168</f>
        <v>Potable Reuse</v>
      </c>
      <c r="D324" s="794"/>
      <c r="E324" s="381">
        <f>'Concept-Level Data'!AG168</f>
        <v>3</v>
      </c>
    </row>
    <row r="325" spans="2:5" hidden="1" x14ac:dyDescent="0.25">
      <c r="B325" s="227" t="str">
        <f>'Concept-Level Data'!A169</f>
        <v>Respondent 12</v>
      </c>
      <c r="C325" s="793" t="str">
        <f>'Concept-Level Data'!B169</f>
        <v>Recycled Water</v>
      </c>
      <c r="D325" s="794"/>
      <c r="E325" s="381">
        <f>'Concept-Level Data'!AG169</f>
        <v>3</v>
      </c>
    </row>
    <row r="326" spans="2:5" hidden="1" x14ac:dyDescent="0.25">
      <c r="B326" s="227" t="str">
        <f>'Concept-Level Data'!A170</f>
        <v>Respondent 12</v>
      </c>
      <c r="C326" s="793" t="str">
        <f>'Concept-Level Data'!B170</f>
        <v>Seawater Desalination</v>
      </c>
      <c r="D326" s="794"/>
      <c r="E326" s="381">
        <f>'Concept-Level Data'!AG170</f>
        <v>1</v>
      </c>
    </row>
    <row r="327" spans="2:5" hidden="1" x14ac:dyDescent="0.25">
      <c r="B327" s="227" t="str">
        <f>'Concept-Level Data'!A171</f>
        <v>Respondent 12</v>
      </c>
      <c r="C327" s="793" t="str">
        <f>'Concept-Level Data'!B171</f>
        <v>Stormwater BMPs</v>
      </c>
      <c r="D327" s="794"/>
      <c r="E327" s="381">
        <f>'Concept-Level Data'!AG171</f>
        <v>3</v>
      </c>
    </row>
    <row r="328" spans="2:5" hidden="1" x14ac:dyDescent="0.25">
      <c r="B328" s="227" t="str">
        <f>'Concept-Level Data'!A172</f>
        <v>Respondent 12</v>
      </c>
      <c r="C328" s="793" t="str">
        <f>'Concept-Level Data'!B172</f>
        <v>Stormwater Capture</v>
      </c>
      <c r="D328" s="794"/>
      <c r="E328" s="381">
        <f>'Concept-Level Data'!AG172</f>
        <v>3</v>
      </c>
    </row>
    <row r="329" spans="2:5" hidden="1" x14ac:dyDescent="0.25">
      <c r="B329" s="227" t="str">
        <f>'Concept-Level Data'!A173</f>
        <v>Respondent 12</v>
      </c>
      <c r="C329" s="793" t="str">
        <f>'Concept-Level Data'!B173</f>
        <v>Urban and Agricultural Water Use Efficiency</v>
      </c>
      <c r="D329" s="794"/>
      <c r="E329" s="381">
        <f>'Concept-Level Data'!AG173</f>
        <v>3</v>
      </c>
    </row>
    <row r="330" spans="2:5" hidden="1" x14ac:dyDescent="0.25">
      <c r="B330" s="227" t="str">
        <f>'Concept-Level Data'!A174</f>
        <v>Respondent 12</v>
      </c>
      <c r="C330" s="793" t="str">
        <f>'Concept-Level Data'!B174</f>
        <v>Watershed and Ecosystem Management</v>
      </c>
      <c r="D330" s="794"/>
      <c r="E330" s="381">
        <f>'Concept-Level Data'!AG174</f>
        <v>5</v>
      </c>
    </row>
    <row r="331" spans="2:5" hidden="1" x14ac:dyDescent="0.25">
      <c r="B331" s="227" t="str">
        <f>'Concept-Level Data'!A175</f>
        <v>Respondent 13</v>
      </c>
      <c r="C331" s="793" t="str">
        <f>'Concept-Level Data'!B175</f>
        <v>Conveyance Improvement</v>
      </c>
      <c r="D331" s="794"/>
      <c r="E331" s="381">
        <f>'Concept-Level Data'!AG175</f>
        <v>4</v>
      </c>
    </row>
    <row r="332" spans="2:5" hidden="1" x14ac:dyDescent="0.25">
      <c r="B332" s="227" t="str">
        <f>'Concept-Level Data'!A176</f>
        <v>Respondent 13</v>
      </c>
      <c r="C332" s="793" t="str">
        <f>'Concept-Level Data'!B176</f>
        <v>Drought Restriction/Allocation</v>
      </c>
      <c r="D332" s="794"/>
      <c r="E332" s="381">
        <f>'Concept-Level Data'!AG176</f>
        <v>3</v>
      </c>
    </row>
    <row r="333" spans="2:5" hidden="1" x14ac:dyDescent="0.25">
      <c r="B333" s="227" t="str">
        <f>'Concept-Level Data'!A177</f>
        <v>Respondent 13</v>
      </c>
      <c r="C333" s="793" t="str">
        <f>'Concept-Level Data'!B177</f>
        <v>Firm Water Supply Agreements</v>
      </c>
      <c r="D333" s="794"/>
      <c r="E333" s="381">
        <f>'Concept-Level Data'!AG177</f>
        <v>3</v>
      </c>
    </row>
    <row r="334" spans="2:5" hidden="1" x14ac:dyDescent="0.25">
      <c r="B334" s="227" t="str">
        <f>'Concept-Level Data'!A178</f>
        <v>Respondent 13</v>
      </c>
      <c r="C334" s="793" t="str">
        <f>'Concept-Level Data'!B178</f>
        <v>Gray Water Use</v>
      </c>
      <c r="D334" s="794"/>
      <c r="E334" s="381">
        <f>'Concept-Level Data'!AG178</f>
        <v>4</v>
      </c>
    </row>
    <row r="335" spans="2:5" hidden="1" x14ac:dyDescent="0.25">
      <c r="B335" s="227" t="str">
        <f>'Concept-Level Data'!A179</f>
        <v>Respondent 13</v>
      </c>
      <c r="C335" s="793" t="str">
        <f>'Concept-Level Data'!B179</f>
        <v>Groundwater</v>
      </c>
      <c r="D335" s="794"/>
      <c r="E335" s="381">
        <f>'Concept-Level Data'!AG179</f>
        <v>2</v>
      </c>
    </row>
    <row r="336" spans="2:5" hidden="1" x14ac:dyDescent="0.25">
      <c r="B336" s="227" t="str">
        <f>'Concept-Level Data'!A180</f>
        <v>Respondent 13</v>
      </c>
      <c r="C336" s="793" t="str">
        <f>'Concept-Level Data'!B180</f>
        <v>Imported Water Purchases</v>
      </c>
      <c r="D336" s="794"/>
      <c r="E336" s="381">
        <f>'Concept-Level Data'!AG180</f>
        <v>2</v>
      </c>
    </row>
    <row r="337" spans="2:5" hidden="1" x14ac:dyDescent="0.25">
      <c r="B337" s="227" t="str">
        <f>'Concept-Level Data'!A181</f>
        <v>Respondent 13</v>
      </c>
      <c r="C337" s="793" t="str">
        <f>'Concept-Level Data'!B181</f>
        <v>Local Surface Water Reservoirs</v>
      </c>
      <c r="D337" s="794"/>
      <c r="E337" s="381">
        <f>'Concept-Level Data'!AG181</f>
        <v>4</v>
      </c>
    </row>
    <row r="338" spans="2:5" hidden="1" x14ac:dyDescent="0.25">
      <c r="B338" s="227" t="str">
        <f>'Concept-Level Data'!A182</f>
        <v>Respondent 13</v>
      </c>
      <c r="C338" s="793" t="str">
        <f>'Concept-Level Data'!B182</f>
        <v>Potable Reuse</v>
      </c>
      <c r="D338" s="794"/>
      <c r="E338" s="381">
        <f>'Concept-Level Data'!AG182</f>
        <v>2</v>
      </c>
    </row>
    <row r="339" spans="2:5" hidden="1" x14ac:dyDescent="0.25">
      <c r="B339" s="227" t="str">
        <f>'Concept-Level Data'!A183</f>
        <v>Respondent 13</v>
      </c>
      <c r="C339" s="793" t="str">
        <f>'Concept-Level Data'!B183</f>
        <v>Recycled Water</v>
      </c>
      <c r="D339" s="794"/>
      <c r="E339" s="381">
        <f>'Concept-Level Data'!AG183</f>
        <v>2</v>
      </c>
    </row>
    <row r="340" spans="2:5" hidden="1" x14ac:dyDescent="0.25">
      <c r="B340" s="227" t="str">
        <f>'Concept-Level Data'!A184</f>
        <v>Respondent 13</v>
      </c>
      <c r="C340" s="793" t="str">
        <f>'Concept-Level Data'!B184</f>
        <v>Seawater Desalination</v>
      </c>
      <c r="D340" s="794"/>
      <c r="E340" s="381">
        <f>'Concept-Level Data'!AG184</f>
        <v>1</v>
      </c>
    </row>
    <row r="341" spans="2:5" hidden="1" x14ac:dyDescent="0.25">
      <c r="B341" s="227" t="str">
        <f>'Concept-Level Data'!A185</f>
        <v>Respondent 13</v>
      </c>
      <c r="C341" s="793" t="str">
        <f>'Concept-Level Data'!B185</f>
        <v>Stormwater BMPs</v>
      </c>
      <c r="D341" s="794"/>
      <c r="E341" s="381">
        <f>'Concept-Level Data'!AG185</f>
        <v>4</v>
      </c>
    </row>
    <row r="342" spans="2:5" hidden="1" x14ac:dyDescent="0.25">
      <c r="B342" s="227" t="str">
        <f>'Concept-Level Data'!A186</f>
        <v>Respondent 13</v>
      </c>
      <c r="C342" s="793" t="str">
        <f>'Concept-Level Data'!B186</f>
        <v>Stormwater Capture</v>
      </c>
      <c r="D342" s="794"/>
      <c r="E342" s="381">
        <f>'Concept-Level Data'!AG186</f>
        <v>4</v>
      </c>
    </row>
    <row r="343" spans="2:5" hidden="1" x14ac:dyDescent="0.25">
      <c r="B343" s="227" t="str">
        <f>'Concept-Level Data'!A187</f>
        <v>Respondent 13</v>
      </c>
      <c r="C343" s="793" t="str">
        <f>'Concept-Level Data'!B187</f>
        <v>Urban and Agricultural Water Use Efficiency</v>
      </c>
      <c r="D343" s="794"/>
      <c r="E343" s="381">
        <f>'Concept-Level Data'!AG187</f>
        <v>4</v>
      </c>
    </row>
    <row r="344" spans="2:5" hidden="1" x14ac:dyDescent="0.25">
      <c r="B344" s="227" t="str">
        <f>'Concept-Level Data'!A188</f>
        <v>Respondent 13</v>
      </c>
      <c r="C344" s="793" t="str">
        <f>'Concept-Level Data'!B188</f>
        <v>Watershed and Ecosystem Management</v>
      </c>
      <c r="D344" s="794"/>
      <c r="E344" s="381">
        <f>'Concept-Level Data'!AG188</f>
        <v>5</v>
      </c>
    </row>
    <row r="345" spans="2:5" hidden="1" x14ac:dyDescent="0.25">
      <c r="B345" s="227" t="str">
        <f>'Concept-Level Data'!A189</f>
        <v>Respondent 14</v>
      </c>
      <c r="C345" s="793" t="str">
        <f>'Concept-Level Data'!B189</f>
        <v>Conveyance Improvement</v>
      </c>
      <c r="D345" s="794"/>
      <c r="E345" s="381">
        <f>'Concept-Level Data'!AG189</f>
        <v>3</v>
      </c>
    </row>
    <row r="346" spans="2:5" hidden="1" x14ac:dyDescent="0.25">
      <c r="B346" s="227" t="str">
        <f>'Concept-Level Data'!A190</f>
        <v>Respondent 14</v>
      </c>
      <c r="C346" s="793" t="str">
        <f>'Concept-Level Data'!B190</f>
        <v>Drought Restriction/Allocation</v>
      </c>
      <c r="D346" s="794"/>
      <c r="E346" s="381">
        <f>'Concept-Level Data'!AG190</f>
        <v>2</v>
      </c>
    </row>
    <row r="347" spans="2:5" hidden="1" x14ac:dyDescent="0.25">
      <c r="B347" s="227" t="str">
        <f>'Concept-Level Data'!A191</f>
        <v>Respondent 14</v>
      </c>
      <c r="C347" s="793" t="str">
        <f>'Concept-Level Data'!B191</f>
        <v>Firm Water Supply Agreements</v>
      </c>
      <c r="D347" s="794"/>
      <c r="E347" s="381">
        <f>'Concept-Level Data'!AG191</f>
        <v>3</v>
      </c>
    </row>
    <row r="348" spans="2:5" hidden="1" x14ac:dyDescent="0.25">
      <c r="B348" s="227" t="str">
        <f>'Concept-Level Data'!A192</f>
        <v>Respondent 14</v>
      </c>
      <c r="C348" s="793" t="str">
        <f>'Concept-Level Data'!B192</f>
        <v>Gray Water Use</v>
      </c>
      <c r="D348" s="794"/>
      <c r="E348" s="381">
        <f>'Concept-Level Data'!AG192</f>
        <v>2</v>
      </c>
    </row>
    <row r="349" spans="2:5" hidden="1" x14ac:dyDescent="0.25">
      <c r="B349" s="227" t="str">
        <f>'Concept-Level Data'!A193</f>
        <v>Respondent 14</v>
      </c>
      <c r="C349" s="793" t="str">
        <f>'Concept-Level Data'!B193</f>
        <v>Groundwater</v>
      </c>
      <c r="D349" s="794"/>
      <c r="E349" s="381">
        <f>'Concept-Level Data'!AG193</f>
        <v>3</v>
      </c>
    </row>
    <row r="350" spans="2:5" hidden="1" x14ac:dyDescent="0.25">
      <c r="B350" s="227" t="str">
        <f>'Concept-Level Data'!A194</f>
        <v>Respondent 14</v>
      </c>
      <c r="C350" s="793" t="str">
        <f>'Concept-Level Data'!B194</f>
        <v>Imported Water Purchases</v>
      </c>
      <c r="D350" s="794"/>
      <c r="E350" s="381">
        <f>'Concept-Level Data'!AG194</f>
        <v>3</v>
      </c>
    </row>
    <row r="351" spans="2:5" hidden="1" x14ac:dyDescent="0.25">
      <c r="B351" s="227" t="str">
        <f>'Concept-Level Data'!A195</f>
        <v>Respondent 14</v>
      </c>
      <c r="C351" s="793" t="str">
        <f>'Concept-Level Data'!B195</f>
        <v>Local Surface Water Reservoirs</v>
      </c>
      <c r="D351" s="794"/>
      <c r="E351" s="381">
        <f>'Concept-Level Data'!AG195</f>
        <v>3</v>
      </c>
    </row>
    <row r="352" spans="2:5" hidden="1" x14ac:dyDescent="0.25">
      <c r="B352" s="227" t="str">
        <f>'Concept-Level Data'!A196</f>
        <v>Respondent 14</v>
      </c>
      <c r="C352" s="793" t="str">
        <f>'Concept-Level Data'!B196</f>
        <v>Potable Reuse</v>
      </c>
      <c r="D352" s="794"/>
      <c r="E352" s="381">
        <f>'Concept-Level Data'!AG196</f>
        <v>3</v>
      </c>
    </row>
    <row r="353" spans="2:5" hidden="1" x14ac:dyDescent="0.25">
      <c r="B353" s="227" t="str">
        <f>'Concept-Level Data'!A197</f>
        <v>Respondent 14</v>
      </c>
      <c r="C353" s="793" t="str">
        <f>'Concept-Level Data'!B197</f>
        <v>Recycled Water</v>
      </c>
      <c r="D353" s="794"/>
      <c r="E353" s="381">
        <f>'Concept-Level Data'!AG197</f>
        <v>3</v>
      </c>
    </row>
    <row r="354" spans="2:5" hidden="1" x14ac:dyDescent="0.25">
      <c r="B354" s="227" t="str">
        <f>'Concept-Level Data'!A198</f>
        <v>Respondent 14</v>
      </c>
      <c r="C354" s="793" t="str">
        <f>'Concept-Level Data'!B198</f>
        <v>Seawater Desalination</v>
      </c>
      <c r="D354" s="794"/>
      <c r="E354" s="381">
        <f>'Concept-Level Data'!AG198</f>
        <v>3</v>
      </c>
    </row>
    <row r="355" spans="2:5" hidden="1" x14ac:dyDescent="0.25">
      <c r="B355" s="227" t="str">
        <f>'Concept-Level Data'!A199</f>
        <v>Respondent 14</v>
      </c>
      <c r="C355" s="793" t="str">
        <f>'Concept-Level Data'!B199</f>
        <v>Stormwater BMPs</v>
      </c>
      <c r="D355" s="794"/>
      <c r="E355" s="381">
        <f>'Concept-Level Data'!AG199</f>
        <v>3</v>
      </c>
    </row>
    <row r="356" spans="2:5" hidden="1" x14ac:dyDescent="0.25">
      <c r="B356" s="227" t="str">
        <f>'Concept-Level Data'!A200</f>
        <v>Respondent 14</v>
      </c>
      <c r="C356" s="793" t="str">
        <f>'Concept-Level Data'!B200</f>
        <v>Stormwater Capture</v>
      </c>
      <c r="D356" s="794"/>
      <c r="E356" s="381">
        <f>'Concept-Level Data'!AG200</f>
        <v>3</v>
      </c>
    </row>
    <row r="357" spans="2:5" hidden="1" x14ac:dyDescent="0.25">
      <c r="B357" s="227" t="str">
        <f>'Concept-Level Data'!A201</f>
        <v>Respondent 14</v>
      </c>
      <c r="C357" s="793" t="str">
        <f>'Concept-Level Data'!B201</f>
        <v>Urban and Agricultural Water Use Efficiency</v>
      </c>
      <c r="D357" s="794"/>
      <c r="E357" s="381">
        <f>'Concept-Level Data'!AG201</f>
        <v>3</v>
      </c>
    </row>
    <row r="358" spans="2:5" hidden="1" x14ac:dyDescent="0.25">
      <c r="B358" s="227" t="str">
        <f>'Concept-Level Data'!A202</f>
        <v>Respondent 14</v>
      </c>
      <c r="C358" s="793" t="str">
        <f>'Concept-Level Data'!B202</f>
        <v>Watershed and Ecosystem Management</v>
      </c>
      <c r="D358" s="794"/>
      <c r="E358" s="381">
        <f>'Concept-Level Data'!AG202</f>
        <v>3</v>
      </c>
    </row>
    <row r="359" spans="2:5" hidden="1" x14ac:dyDescent="0.25">
      <c r="B359" s="227" t="str">
        <f>'Concept-Level Data'!A203</f>
        <v>Respondent 15</v>
      </c>
      <c r="C359" s="793" t="str">
        <f>'Concept-Level Data'!B203</f>
        <v>Conveyance Improvement</v>
      </c>
      <c r="D359" s="794"/>
      <c r="E359" s="381">
        <f>'Concept-Level Data'!AG203</f>
        <v>3</v>
      </c>
    </row>
    <row r="360" spans="2:5" hidden="1" x14ac:dyDescent="0.25">
      <c r="B360" s="227" t="str">
        <f>'Concept-Level Data'!A204</f>
        <v>Respondent 15</v>
      </c>
      <c r="C360" s="793" t="str">
        <f>'Concept-Level Data'!B204</f>
        <v>Drought Restriction/Allocation</v>
      </c>
      <c r="D360" s="794"/>
      <c r="E360" s="381">
        <f>'Concept-Level Data'!AG204</f>
        <v>3</v>
      </c>
    </row>
    <row r="361" spans="2:5" hidden="1" x14ac:dyDescent="0.25">
      <c r="B361" s="227" t="str">
        <f>'Concept-Level Data'!A205</f>
        <v>Respondent 15</v>
      </c>
      <c r="C361" s="793" t="str">
        <f>'Concept-Level Data'!B205</f>
        <v>Firm Water Supply Agreements</v>
      </c>
      <c r="D361" s="794"/>
      <c r="E361" s="381">
        <f>'Concept-Level Data'!AG205</f>
        <v>3</v>
      </c>
    </row>
    <row r="362" spans="2:5" hidden="1" x14ac:dyDescent="0.25">
      <c r="B362" s="227" t="str">
        <f>'Concept-Level Data'!A206</f>
        <v>Respondent 15</v>
      </c>
      <c r="C362" s="793" t="str">
        <f>'Concept-Level Data'!B206</f>
        <v>Gray Water Use</v>
      </c>
      <c r="D362" s="794"/>
      <c r="E362" s="381">
        <f>'Concept-Level Data'!AG206</f>
        <v>3</v>
      </c>
    </row>
    <row r="363" spans="2:5" hidden="1" x14ac:dyDescent="0.25">
      <c r="B363" s="227" t="str">
        <f>'Concept-Level Data'!A207</f>
        <v>Respondent 15</v>
      </c>
      <c r="C363" s="793" t="str">
        <f>'Concept-Level Data'!B207</f>
        <v>Groundwater</v>
      </c>
      <c r="D363" s="794"/>
      <c r="E363" s="381">
        <f>'Concept-Level Data'!AG207</f>
        <v>3</v>
      </c>
    </row>
    <row r="364" spans="2:5" hidden="1" x14ac:dyDescent="0.25">
      <c r="B364" s="227" t="str">
        <f>'Concept-Level Data'!A208</f>
        <v>Respondent 15</v>
      </c>
      <c r="C364" s="793" t="str">
        <f>'Concept-Level Data'!B208</f>
        <v>Imported Water Purchases</v>
      </c>
      <c r="D364" s="794"/>
      <c r="E364" s="381">
        <f>'Concept-Level Data'!AG208</f>
        <v>3</v>
      </c>
    </row>
    <row r="365" spans="2:5" hidden="1" x14ac:dyDescent="0.25">
      <c r="B365" s="227" t="str">
        <f>'Concept-Level Data'!A209</f>
        <v>Respondent 15</v>
      </c>
      <c r="C365" s="793" t="str">
        <f>'Concept-Level Data'!B209</f>
        <v>Local Surface Water Reservoirs</v>
      </c>
      <c r="D365" s="794"/>
      <c r="E365" s="381">
        <f>'Concept-Level Data'!AG209</f>
        <v>3</v>
      </c>
    </row>
    <row r="366" spans="2:5" hidden="1" x14ac:dyDescent="0.25">
      <c r="B366" s="227" t="str">
        <f>'Concept-Level Data'!A210</f>
        <v>Respondent 15</v>
      </c>
      <c r="C366" s="793" t="str">
        <f>'Concept-Level Data'!B210</f>
        <v>Potable Reuse</v>
      </c>
      <c r="D366" s="794"/>
      <c r="E366" s="381">
        <f>'Concept-Level Data'!AG210</f>
        <v>3</v>
      </c>
    </row>
    <row r="367" spans="2:5" hidden="1" x14ac:dyDescent="0.25">
      <c r="B367" s="227" t="str">
        <f>'Concept-Level Data'!A211</f>
        <v>Respondent 15</v>
      </c>
      <c r="C367" s="793" t="str">
        <f>'Concept-Level Data'!B211</f>
        <v>Recycled Water</v>
      </c>
      <c r="D367" s="794"/>
      <c r="E367" s="381">
        <f>'Concept-Level Data'!AG211</f>
        <v>3</v>
      </c>
    </row>
    <row r="368" spans="2:5" hidden="1" x14ac:dyDescent="0.25">
      <c r="B368" s="227" t="str">
        <f>'Concept-Level Data'!A212</f>
        <v>Respondent 15</v>
      </c>
      <c r="C368" s="793" t="str">
        <f>'Concept-Level Data'!B212</f>
        <v>Seawater Desalination</v>
      </c>
      <c r="D368" s="794"/>
      <c r="E368" s="381">
        <f>'Concept-Level Data'!AG212</f>
        <v>3</v>
      </c>
    </row>
    <row r="369" spans="2:5" hidden="1" x14ac:dyDescent="0.25">
      <c r="B369" s="227" t="str">
        <f>'Concept-Level Data'!A213</f>
        <v>Respondent 15</v>
      </c>
      <c r="C369" s="793" t="str">
        <f>'Concept-Level Data'!B213</f>
        <v>Stormwater BMPs</v>
      </c>
      <c r="D369" s="794"/>
      <c r="E369" s="381">
        <f>'Concept-Level Data'!AG213</f>
        <v>3</v>
      </c>
    </row>
    <row r="370" spans="2:5" hidden="1" x14ac:dyDescent="0.25">
      <c r="B370" s="227" t="str">
        <f>'Concept-Level Data'!A214</f>
        <v>Respondent 15</v>
      </c>
      <c r="C370" s="793" t="str">
        <f>'Concept-Level Data'!B214</f>
        <v>Stormwater Capture</v>
      </c>
      <c r="D370" s="794"/>
      <c r="E370" s="381">
        <f>'Concept-Level Data'!AG214</f>
        <v>3</v>
      </c>
    </row>
    <row r="371" spans="2:5" hidden="1" x14ac:dyDescent="0.25">
      <c r="B371" s="227" t="str">
        <f>'Concept-Level Data'!A215</f>
        <v>Respondent 15</v>
      </c>
      <c r="C371" s="793" t="str">
        <f>'Concept-Level Data'!B215</f>
        <v>Urban and Agricultural Water Use Efficiency</v>
      </c>
      <c r="D371" s="794"/>
      <c r="E371" s="381">
        <f>'Concept-Level Data'!AG215</f>
        <v>4</v>
      </c>
    </row>
    <row r="372" spans="2:5" hidden="1" x14ac:dyDescent="0.25">
      <c r="B372" s="227" t="str">
        <f>'Concept-Level Data'!A216</f>
        <v>Respondent 15</v>
      </c>
      <c r="C372" s="793" t="str">
        <f>'Concept-Level Data'!B216</f>
        <v>Watershed and Ecosystem Management</v>
      </c>
      <c r="D372" s="794"/>
      <c r="E372" s="381">
        <f>'Concept-Level Data'!AG216</f>
        <v>5</v>
      </c>
    </row>
    <row r="373" spans="2:5" hidden="1" x14ac:dyDescent="0.25">
      <c r="B373" s="227" t="str">
        <f>'Concept-Level Data'!A217</f>
        <v>Respondent 16</v>
      </c>
      <c r="C373" s="793" t="str">
        <f>'Concept-Level Data'!B217</f>
        <v>Conveyance Improvement</v>
      </c>
      <c r="D373" s="794"/>
      <c r="E373" s="381">
        <f>'Concept-Level Data'!AG217</f>
        <v>3</v>
      </c>
    </row>
    <row r="374" spans="2:5" hidden="1" x14ac:dyDescent="0.25">
      <c r="B374" s="227" t="str">
        <f>'Concept-Level Data'!A218</f>
        <v>Respondent 16</v>
      </c>
      <c r="C374" s="793" t="str">
        <f>'Concept-Level Data'!B218</f>
        <v>Drought Restriction/Allocation</v>
      </c>
      <c r="D374" s="794"/>
      <c r="E374" s="381">
        <f>'Concept-Level Data'!AG218</f>
        <v>4</v>
      </c>
    </row>
    <row r="375" spans="2:5" hidden="1" x14ac:dyDescent="0.25">
      <c r="B375" s="227" t="str">
        <f>'Concept-Level Data'!A219</f>
        <v>Respondent 16</v>
      </c>
      <c r="C375" s="793" t="str">
        <f>'Concept-Level Data'!B219</f>
        <v>Firm Water Supply Agreements</v>
      </c>
      <c r="D375" s="794"/>
      <c r="E375" s="381" t="str">
        <f>'Concept-Level Data'!AG219</f>
        <v>MISSING</v>
      </c>
    </row>
    <row r="376" spans="2:5" hidden="1" x14ac:dyDescent="0.25">
      <c r="B376" s="227" t="str">
        <f>'Concept-Level Data'!A220</f>
        <v>Respondent 16</v>
      </c>
      <c r="C376" s="793" t="str">
        <f>'Concept-Level Data'!B220</f>
        <v>Gray Water Use</v>
      </c>
      <c r="D376" s="794"/>
      <c r="E376" s="381" t="str">
        <f>'Concept-Level Data'!AG220</f>
        <v>MISSING</v>
      </c>
    </row>
    <row r="377" spans="2:5" hidden="1" x14ac:dyDescent="0.25">
      <c r="B377" s="227" t="str">
        <f>'Concept-Level Data'!A221</f>
        <v>Respondent 16</v>
      </c>
      <c r="C377" s="793" t="str">
        <f>'Concept-Level Data'!B221</f>
        <v>Groundwater</v>
      </c>
      <c r="D377" s="794"/>
      <c r="E377" s="381" t="str">
        <f>'Concept-Level Data'!AG221</f>
        <v>MISSING</v>
      </c>
    </row>
    <row r="378" spans="2:5" hidden="1" x14ac:dyDescent="0.25">
      <c r="B378" s="227" t="str">
        <f>'Concept-Level Data'!A222</f>
        <v>Respondent 16</v>
      </c>
      <c r="C378" s="793" t="str">
        <f>'Concept-Level Data'!B222</f>
        <v>Imported Water Purchases</v>
      </c>
      <c r="D378" s="794"/>
      <c r="E378" s="381" t="str">
        <f>'Concept-Level Data'!AG222</f>
        <v>MISSING</v>
      </c>
    </row>
    <row r="379" spans="2:5" hidden="1" x14ac:dyDescent="0.25">
      <c r="B379" s="227" t="str">
        <f>'Concept-Level Data'!A223</f>
        <v>Respondent 16</v>
      </c>
      <c r="C379" s="793" t="str">
        <f>'Concept-Level Data'!B223</f>
        <v>Local Surface Water Reservoirs</v>
      </c>
      <c r="D379" s="794"/>
      <c r="E379" s="381" t="str">
        <f>'Concept-Level Data'!AG223</f>
        <v>MISSING</v>
      </c>
    </row>
    <row r="380" spans="2:5" hidden="1" x14ac:dyDescent="0.25">
      <c r="B380" s="227" t="str">
        <f>'Concept-Level Data'!A224</f>
        <v>Respondent 16</v>
      </c>
      <c r="C380" s="793" t="str">
        <f>'Concept-Level Data'!B224</f>
        <v>Potable Reuse</v>
      </c>
      <c r="D380" s="794"/>
      <c r="E380" s="381">
        <f>'Concept-Level Data'!AG224</f>
        <v>3</v>
      </c>
    </row>
    <row r="381" spans="2:5" hidden="1" x14ac:dyDescent="0.25">
      <c r="B381" s="227" t="str">
        <f>'Concept-Level Data'!A225</f>
        <v>Respondent 16</v>
      </c>
      <c r="C381" s="793" t="str">
        <f>'Concept-Level Data'!B225</f>
        <v>Recycled Water</v>
      </c>
      <c r="D381" s="794"/>
      <c r="E381" s="381" t="str">
        <f>'Concept-Level Data'!AG225</f>
        <v>MISSING</v>
      </c>
    </row>
    <row r="382" spans="2:5" hidden="1" x14ac:dyDescent="0.25">
      <c r="B382" s="227" t="str">
        <f>'Concept-Level Data'!A226</f>
        <v>Respondent 16</v>
      </c>
      <c r="C382" s="793" t="str">
        <f>'Concept-Level Data'!B226</f>
        <v>Seawater Desalination</v>
      </c>
      <c r="D382" s="794"/>
      <c r="E382" s="381" t="str">
        <f>'Concept-Level Data'!AG226</f>
        <v>MISSING</v>
      </c>
    </row>
    <row r="383" spans="2:5" hidden="1" x14ac:dyDescent="0.25">
      <c r="B383" s="227" t="str">
        <f>'Concept-Level Data'!A227</f>
        <v>Respondent 16</v>
      </c>
      <c r="C383" s="793" t="str">
        <f>'Concept-Level Data'!B227</f>
        <v>Stormwater BMPs</v>
      </c>
      <c r="D383" s="794"/>
      <c r="E383" s="381" t="str">
        <f>'Concept-Level Data'!AG227</f>
        <v>MISSING</v>
      </c>
    </row>
    <row r="384" spans="2:5" hidden="1" x14ac:dyDescent="0.25">
      <c r="B384" s="227" t="str">
        <f>'Concept-Level Data'!A228</f>
        <v>Respondent 16</v>
      </c>
      <c r="C384" s="793" t="str">
        <f>'Concept-Level Data'!B228</f>
        <v>Stormwater Capture</v>
      </c>
      <c r="D384" s="794"/>
      <c r="E384" s="381" t="str">
        <f>'Concept-Level Data'!AG228</f>
        <v>MISSING</v>
      </c>
    </row>
    <row r="385" spans="2:5" hidden="1" x14ac:dyDescent="0.25">
      <c r="B385" s="227" t="str">
        <f>'Concept-Level Data'!A229</f>
        <v>Respondent 16</v>
      </c>
      <c r="C385" s="793" t="str">
        <f>'Concept-Level Data'!B229</f>
        <v>Urban and Agricultural Water Use Efficiency</v>
      </c>
      <c r="D385" s="794"/>
      <c r="E385" s="381" t="str">
        <f>'Concept-Level Data'!AG229</f>
        <v>MISSING</v>
      </c>
    </row>
    <row r="386" spans="2:5" ht="15.75" hidden="1" thickBot="1" x14ac:dyDescent="0.3">
      <c r="B386" s="228" t="str">
        <f>'Concept-Level Data'!A230</f>
        <v>Respondent 16</v>
      </c>
      <c r="C386" s="791" t="str">
        <f>'Concept-Level Data'!B230</f>
        <v>Watershed and Ecosystem Management</v>
      </c>
      <c r="D386" s="792"/>
      <c r="E386" s="385" t="str">
        <f>'Concept-Level Data'!AG230</f>
        <v>MISSING</v>
      </c>
    </row>
    <row r="387" spans="2:5" hidden="1" x14ac:dyDescent="0.25">
      <c r="B387" s="548"/>
      <c r="C387" s="515" t="s">
        <v>855</v>
      </c>
      <c r="D387" s="515"/>
      <c r="E387" s="485">
        <f>COUNTIFS(E163:E386, "=MISSING")</f>
        <v>12</v>
      </c>
    </row>
    <row r="388" spans="2:5" hidden="1" x14ac:dyDescent="0.25">
      <c r="B388" s="549"/>
      <c r="C388" s="516" t="s">
        <v>856</v>
      </c>
      <c r="D388" s="516"/>
      <c r="E388" s="378">
        <f>COUNTIFS(E163:E386, "=No Response")</f>
        <v>0</v>
      </c>
    </row>
    <row r="389" spans="2:5" hidden="1" x14ac:dyDescent="0.25">
      <c r="B389" s="549"/>
      <c r="C389" s="516" t="s">
        <v>858</v>
      </c>
      <c r="D389" s="516"/>
      <c r="E389" s="378">
        <f>COUNTIFS(E163:E386, "=REMOVED")</f>
        <v>0</v>
      </c>
    </row>
    <row r="390" spans="2:5" ht="15.75" hidden="1" thickBot="1" x14ac:dyDescent="0.3">
      <c r="B390" s="550"/>
      <c r="C390" s="517" t="s">
        <v>859</v>
      </c>
      <c r="D390" s="517"/>
      <c r="E390" s="382">
        <f>COUNTIFS(E163:E386, "&gt;0")</f>
        <v>212</v>
      </c>
    </row>
  </sheetData>
  <sheetProtection algorithmName="SHA-512" hashValue="sIDq21eGRvP2Jqz6lKAzAKoQej/kT9mRLJWHZw3tq5tVBIxPRBgBji42z60NVo2dmFNhghpbshVN8my3un2Q9w==" saltValue="L4FpKounW1NpWdaYegoTeg==" spinCount="100000" sheet="1" objects="1" scenarios="1"/>
  <autoFilter ref="B35:E159" xr:uid="{6F2EB2C7-7983-4693-9061-0B1534F28931}">
    <sortState ref="B36:E159">
      <sortCondition ref="C35:C159"/>
    </sortState>
  </autoFilter>
  <mergeCells count="226">
    <mergeCell ref="C163:D163"/>
    <mergeCell ref="C164:D164"/>
    <mergeCell ref="C165:D165"/>
    <mergeCell ref="B3:I3"/>
    <mergeCell ref="C162:D162"/>
    <mergeCell ref="C171:D171"/>
    <mergeCell ref="C172:D172"/>
    <mergeCell ref="C173:D173"/>
    <mergeCell ref="C174:D174"/>
    <mergeCell ref="C175:D175"/>
    <mergeCell ref="C166:D166"/>
    <mergeCell ref="C167:D167"/>
    <mergeCell ref="C168:D168"/>
    <mergeCell ref="C169:D169"/>
    <mergeCell ref="C170:D170"/>
    <mergeCell ref="C181:D181"/>
    <mergeCell ref="C182:D182"/>
    <mergeCell ref="C183:D183"/>
    <mergeCell ref="C184:D184"/>
    <mergeCell ref="C185:D185"/>
    <mergeCell ref="C176:D176"/>
    <mergeCell ref="C177:D177"/>
    <mergeCell ref="C178:D178"/>
    <mergeCell ref="C179:D179"/>
    <mergeCell ref="C180:D180"/>
    <mergeCell ref="C191:D191"/>
    <mergeCell ref="C192:D192"/>
    <mergeCell ref="C193:D193"/>
    <mergeCell ref="C194:D194"/>
    <mergeCell ref="C195:D195"/>
    <mergeCell ref="C186:D186"/>
    <mergeCell ref="C187:D187"/>
    <mergeCell ref="C188:D188"/>
    <mergeCell ref="C189:D189"/>
    <mergeCell ref="C190:D190"/>
    <mergeCell ref="C201:D201"/>
    <mergeCell ref="C202:D202"/>
    <mergeCell ref="C203:D203"/>
    <mergeCell ref="C204:D204"/>
    <mergeCell ref="C205:D205"/>
    <mergeCell ref="C196:D196"/>
    <mergeCell ref="C197:D197"/>
    <mergeCell ref="C198:D198"/>
    <mergeCell ref="C199:D199"/>
    <mergeCell ref="C200:D200"/>
    <mergeCell ref="C211:D211"/>
    <mergeCell ref="C212:D212"/>
    <mergeCell ref="C213:D213"/>
    <mergeCell ref="C214:D214"/>
    <mergeCell ref="C215:D215"/>
    <mergeCell ref="C206:D206"/>
    <mergeCell ref="C207:D207"/>
    <mergeCell ref="C208:D208"/>
    <mergeCell ref="C209:D209"/>
    <mergeCell ref="C210:D210"/>
    <mergeCell ref="C221:D221"/>
    <mergeCell ref="C222:D222"/>
    <mergeCell ref="C223:D223"/>
    <mergeCell ref="C224:D224"/>
    <mergeCell ref="C225:D225"/>
    <mergeCell ref="C216:D216"/>
    <mergeCell ref="C217:D217"/>
    <mergeCell ref="C218:D218"/>
    <mergeCell ref="C219:D219"/>
    <mergeCell ref="C220:D220"/>
    <mergeCell ref="C231:D231"/>
    <mergeCell ref="C232:D232"/>
    <mergeCell ref="C233:D233"/>
    <mergeCell ref="C234:D234"/>
    <mergeCell ref="C235:D235"/>
    <mergeCell ref="C226:D226"/>
    <mergeCell ref="C227:D227"/>
    <mergeCell ref="C228:D228"/>
    <mergeCell ref="C229:D229"/>
    <mergeCell ref="C230:D230"/>
    <mergeCell ref="C241:D241"/>
    <mergeCell ref="C242:D242"/>
    <mergeCell ref="C243:D243"/>
    <mergeCell ref="C244:D244"/>
    <mergeCell ref="C245:D245"/>
    <mergeCell ref="C236:D236"/>
    <mergeCell ref="C237:D237"/>
    <mergeCell ref="C238:D238"/>
    <mergeCell ref="C239:D239"/>
    <mergeCell ref="C240:D240"/>
    <mergeCell ref="C251:D251"/>
    <mergeCell ref="C252:D252"/>
    <mergeCell ref="C253:D253"/>
    <mergeCell ref="C254:D254"/>
    <mergeCell ref="C255:D255"/>
    <mergeCell ref="C246:D246"/>
    <mergeCell ref="C247:D247"/>
    <mergeCell ref="C248:D248"/>
    <mergeCell ref="C249:D249"/>
    <mergeCell ref="C250:D250"/>
    <mergeCell ref="C261:D261"/>
    <mergeCell ref="C262:D262"/>
    <mergeCell ref="C263:D263"/>
    <mergeCell ref="C264:D264"/>
    <mergeCell ref="C265:D265"/>
    <mergeCell ref="C256:D256"/>
    <mergeCell ref="C257:D257"/>
    <mergeCell ref="C258:D258"/>
    <mergeCell ref="C259:D259"/>
    <mergeCell ref="C260:D260"/>
    <mergeCell ref="C271:D271"/>
    <mergeCell ref="C272:D272"/>
    <mergeCell ref="C273:D273"/>
    <mergeCell ref="C274:D274"/>
    <mergeCell ref="C275:D275"/>
    <mergeCell ref="C266:D266"/>
    <mergeCell ref="C267:D267"/>
    <mergeCell ref="C268:D268"/>
    <mergeCell ref="C269:D269"/>
    <mergeCell ref="C270:D270"/>
    <mergeCell ref="C281:D281"/>
    <mergeCell ref="C282:D282"/>
    <mergeCell ref="C283:D283"/>
    <mergeCell ref="C284:D284"/>
    <mergeCell ref="C285:D285"/>
    <mergeCell ref="C276:D276"/>
    <mergeCell ref="C277:D277"/>
    <mergeCell ref="C278:D278"/>
    <mergeCell ref="C279:D279"/>
    <mergeCell ref="C280:D280"/>
    <mergeCell ref="C291:D291"/>
    <mergeCell ref="C292:D292"/>
    <mergeCell ref="C293:D293"/>
    <mergeCell ref="C294:D294"/>
    <mergeCell ref="C295:D295"/>
    <mergeCell ref="C286:D286"/>
    <mergeCell ref="C287:D287"/>
    <mergeCell ref="C288:D288"/>
    <mergeCell ref="C289:D289"/>
    <mergeCell ref="C290:D290"/>
    <mergeCell ref="C301:D301"/>
    <mergeCell ref="C302:D302"/>
    <mergeCell ref="C303:D303"/>
    <mergeCell ref="C304:D304"/>
    <mergeCell ref="C305:D305"/>
    <mergeCell ref="C296:D296"/>
    <mergeCell ref="C297:D297"/>
    <mergeCell ref="C298:D298"/>
    <mergeCell ref="C299:D299"/>
    <mergeCell ref="C300:D300"/>
    <mergeCell ref="C311:D311"/>
    <mergeCell ref="C312:D312"/>
    <mergeCell ref="C313:D313"/>
    <mergeCell ref="C314:D314"/>
    <mergeCell ref="C315:D315"/>
    <mergeCell ref="C306:D306"/>
    <mergeCell ref="C307:D307"/>
    <mergeCell ref="C308:D308"/>
    <mergeCell ref="C309:D309"/>
    <mergeCell ref="C310:D310"/>
    <mergeCell ref="C321:D321"/>
    <mergeCell ref="C322:D322"/>
    <mergeCell ref="C323:D323"/>
    <mergeCell ref="C324:D324"/>
    <mergeCell ref="C325:D325"/>
    <mergeCell ref="C316:D316"/>
    <mergeCell ref="C317:D317"/>
    <mergeCell ref="C318:D318"/>
    <mergeCell ref="C319:D319"/>
    <mergeCell ref="C320:D320"/>
    <mergeCell ref="C331:D331"/>
    <mergeCell ref="C332:D332"/>
    <mergeCell ref="C333:D333"/>
    <mergeCell ref="C334:D334"/>
    <mergeCell ref="C335:D335"/>
    <mergeCell ref="C326:D326"/>
    <mergeCell ref="C327:D327"/>
    <mergeCell ref="C328:D328"/>
    <mergeCell ref="C329:D329"/>
    <mergeCell ref="C330:D330"/>
    <mergeCell ref="C341:D341"/>
    <mergeCell ref="C342:D342"/>
    <mergeCell ref="C343:D343"/>
    <mergeCell ref="C344:D344"/>
    <mergeCell ref="C345:D345"/>
    <mergeCell ref="C336:D336"/>
    <mergeCell ref="C337:D337"/>
    <mergeCell ref="C338:D338"/>
    <mergeCell ref="C339:D339"/>
    <mergeCell ref="C340:D340"/>
    <mergeCell ref="C351:D351"/>
    <mergeCell ref="C352:D352"/>
    <mergeCell ref="C353:D353"/>
    <mergeCell ref="C354:D354"/>
    <mergeCell ref="C355:D355"/>
    <mergeCell ref="C346:D346"/>
    <mergeCell ref="C347:D347"/>
    <mergeCell ref="C348:D348"/>
    <mergeCell ref="C349:D349"/>
    <mergeCell ref="C350:D350"/>
    <mergeCell ref="C361:D361"/>
    <mergeCell ref="C362:D362"/>
    <mergeCell ref="C363:D363"/>
    <mergeCell ref="C364:D364"/>
    <mergeCell ref="C365:D365"/>
    <mergeCell ref="C356:D356"/>
    <mergeCell ref="C357:D357"/>
    <mergeCell ref="C358:D358"/>
    <mergeCell ref="C359:D359"/>
    <mergeCell ref="C360:D360"/>
    <mergeCell ref="C371:D371"/>
    <mergeCell ref="C372:D372"/>
    <mergeCell ref="C373:D373"/>
    <mergeCell ref="C374:D374"/>
    <mergeCell ref="C375:D375"/>
    <mergeCell ref="C366:D366"/>
    <mergeCell ref="C367:D367"/>
    <mergeCell ref="C368:D368"/>
    <mergeCell ref="C369:D369"/>
    <mergeCell ref="C370:D370"/>
    <mergeCell ref="C386:D386"/>
    <mergeCell ref="C381:D381"/>
    <mergeCell ref="C382:D382"/>
    <mergeCell ref="C383:D383"/>
    <mergeCell ref="C384:D384"/>
    <mergeCell ref="C385:D385"/>
    <mergeCell ref="C376:D376"/>
    <mergeCell ref="C377:D377"/>
    <mergeCell ref="C378:D378"/>
    <mergeCell ref="C379:D379"/>
    <mergeCell ref="C380:D380"/>
  </mergeCells>
  <pageMargins left="0.7" right="0.7" top="0.75" bottom="0.75" header="0.3" footer="0.3"/>
  <pageSetup paperSize="3" scale="57"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'Data Validation Sheet'!$B$3:$B$4</xm:f>
          </x14:formula1>
          <xm:sqref>H8:H19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8"/>
    <pageSetUpPr fitToPage="1"/>
  </sheetPr>
  <dimension ref="A1:J162"/>
  <sheetViews>
    <sheetView showGridLines="0" topLeftCell="C181" zoomScale="80" zoomScaleNormal="80" workbookViewId="0">
      <selection activeCell="F25" sqref="F1:P1048576"/>
    </sheetView>
  </sheetViews>
  <sheetFormatPr defaultRowHeight="15" x14ac:dyDescent="0.25"/>
  <cols>
    <col min="1" max="1" width="5.7109375" customWidth="1"/>
    <col min="2" max="2" width="45.85546875" customWidth="1"/>
    <col min="3" max="7" width="20.85546875" customWidth="1"/>
    <col min="8" max="8" width="3.85546875" customWidth="1"/>
    <col min="9" max="9" width="2.5703125" style="49" customWidth="1"/>
    <col min="10" max="10" width="5.7109375" customWidth="1"/>
  </cols>
  <sheetData>
    <row r="1" spans="1:10" s="96" customFormat="1" ht="15.75" x14ac:dyDescent="0.25">
      <c r="A1" s="56" t="s">
        <v>243</v>
      </c>
      <c r="I1" s="362"/>
    </row>
    <row r="2" spans="1:10" s="96" customFormat="1" ht="26.25" x14ac:dyDescent="0.4">
      <c r="A2" s="97" t="s">
        <v>110</v>
      </c>
      <c r="I2" s="362"/>
    </row>
    <row r="3" spans="1:10" s="49" customFormat="1" ht="14.25" customHeight="1" x14ac:dyDescent="0.5">
      <c r="H3" s="53"/>
    </row>
    <row r="4" spans="1:10" s="10" customFormat="1" ht="18" customHeight="1" x14ac:dyDescent="0.3">
      <c r="A4" s="47" t="s">
        <v>961</v>
      </c>
      <c r="C4" s="4"/>
      <c r="D4" s="46"/>
      <c r="E4" s="46"/>
      <c r="F4" s="46"/>
      <c r="G4" s="46"/>
      <c r="H4" s="46"/>
      <c r="I4" s="50"/>
      <c r="J4" s="45" t="s">
        <v>120</v>
      </c>
    </row>
    <row r="5" spans="1:10" s="10" customFormat="1" ht="14.25" customHeight="1" x14ac:dyDescent="0.3">
      <c r="B5" s="47"/>
      <c r="C5" s="4"/>
      <c r="D5" s="46"/>
      <c r="E5" s="46"/>
      <c r="F5" s="46"/>
      <c r="G5" s="46"/>
      <c r="H5" s="46"/>
      <c r="I5" s="50"/>
    </row>
    <row r="6" spans="1:10" s="10" customFormat="1" ht="14.25" customHeight="1" thickBot="1" x14ac:dyDescent="0.3">
      <c r="B6" s="61" t="s">
        <v>966</v>
      </c>
      <c r="C6" s="4"/>
      <c r="D6" s="46"/>
      <c r="E6" s="46"/>
      <c r="F6" s="46"/>
      <c r="G6" s="46"/>
      <c r="H6" s="46"/>
      <c r="I6" s="50"/>
    </row>
    <row r="7" spans="1:10" s="10" customFormat="1" ht="75" x14ac:dyDescent="0.25">
      <c r="B7" s="25" t="s">
        <v>6</v>
      </c>
      <c r="C7" s="412" t="s">
        <v>780</v>
      </c>
      <c r="D7" s="412" t="s">
        <v>141</v>
      </c>
      <c r="E7" s="412" t="s">
        <v>140</v>
      </c>
      <c r="F7" s="412" t="s">
        <v>142</v>
      </c>
      <c r="G7" s="297" t="s">
        <v>143</v>
      </c>
      <c r="H7" s="14"/>
      <c r="I7" s="50"/>
      <c r="J7" s="9"/>
    </row>
    <row r="8" spans="1:10" s="10" customFormat="1" ht="18" customHeight="1" x14ac:dyDescent="0.25">
      <c r="B8" s="19" t="s">
        <v>7</v>
      </c>
      <c r="C8" s="62">
        <f>IFERROR(AVERAGEIFS($E$39:$E$158,$C$39:$C$158,"="&amp;B8), "NA")</f>
        <v>1.6</v>
      </c>
      <c r="D8" s="62">
        <f>IFERROR(AVERAGEIFS($F$39:$F$158,$C$39:$C$158,"="&amp;B8), "NA")</f>
        <v>2.2999999999999998</v>
      </c>
      <c r="E8" s="62">
        <f>IFERROR(AVERAGEIFS($G$39:$G$158,$C$39:$C$158,"="&amp;B8), "NA")</f>
        <v>3</v>
      </c>
      <c r="F8" s="37">
        <f>IF(C8="NA","NA",IF(D8="NA","NA",IF(E8="NA","NA",(((SUM(D8:E8))/2)*IF(C8="NA",0,C8)))))</f>
        <v>4.24</v>
      </c>
      <c r="G8" s="43">
        <f>IF(F8="NA","NA",(F8/(MAX(F$8:F$19)))*5)</f>
        <v>2.5696969696969694</v>
      </c>
      <c r="H8"/>
      <c r="I8" s="50"/>
    </row>
    <row r="9" spans="1:10" s="10" customFormat="1" ht="18" customHeight="1" x14ac:dyDescent="0.25">
      <c r="B9" s="19" t="s">
        <v>34</v>
      </c>
      <c r="C9" s="62" t="str">
        <f t="shared" ref="C9:C19" si="0">IFERROR(AVERAGEIFS($E$39:$E$158,$C$39:$C$158,"="&amp;B9), "NA")</f>
        <v>NA</v>
      </c>
      <c r="D9" s="62" t="str">
        <f t="shared" ref="D9:D19" si="1">IFERROR(AVERAGEIFS($F$39:$F$158,$C$39:$C$158,"="&amp;B9), "NA")</f>
        <v>NA</v>
      </c>
      <c r="E9" s="62" t="str">
        <f t="shared" ref="E9:E19" si="2">IFERROR(AVERAGEIFS($G$39:$G$158,$C$39:$C$158,"="&amp;B9), "NA")</f>
        <v>NA</v>
      </c>
      <c r="F9" s="37" t="str">
        <f t="shared" ref="F9:F19" si="3">IF(C9="NA","NA",IF(D9="NA","NA",IF(E9="NA","NA",(((SUM(D9:E9))/2)*IF(C9="NA",0,C9)))))</f>
        <v>NA</v>
      </c>
      <c r="G9" s="43" t="str">
        <f t="shared" ref="G9:G19" si="4">IF(F9="NA","NA",(F9/(MAX(F$8:F$19)))*5)</f>
        <v>NA</v>
      </c>
      <c r="H9"/>
      <c r="I9" s="50"/>
    </row>
    <row r="10" spans="1:10" s="10" customFormat="1" ht="18" customHeight="1" x14ac:dyDescent="0.25">
      <c r="B10" s="19" t="s">
        <v>8</v>
      </c>
      <c r="C10" s="62">
        <f t="shared" si="0"/>
        <v>3</v>
      </c>
      <c r="D10" s="62">
        <f t="shared" si="1"/>
        <v>2.5</v>
      </c>
      <c r="E10" s="62">
        <f t="shared" si="2"/>
        <v>3</v>
      </c>
      <c r="F10" s="37">
        <f t="shared" si="3"/>
        <v>8.25</v>
      </c>
      <c r="G10" s="43">
        <f t="shared" si="4"/>
        <v>5</v>
      </c>
      <c r="H10"/>
      <c r="I10" s="50"/>
    </row>
    <row r="11" spans="1:10" s="14" customFormat="1" x14ac:dyDescent="0.25">
      <c r="A11" s="10"/>
      <c r="B11" s="19" t="s">
        <v>9</v>
      </c>
      <c r="C11" s="62">
        <f t="shared" si="0"/>
        <v>2.4545454545454546</v>
      </c>
      <c r="D11" s="62">
        <f t="shared" si="1"/>
        <v>2.1818181818181817</v>
      </c>
      <c r="E11" s="62">
        <f t="shared" si="2"/>
        <v>2.8181818181818183</v>
      </c>
      <c r="F11" s="37">
        <f t="shared" si="3"/>
        <v>6.1363636363636367</v>
      </c>
      <c r="G11" s="43">
        <f t="shared" si="4"/>
        <v>3.7190082644628104</v>
      </c>
      <c r="H11"/>
      <c r="I11" s="50"/>
    </row>
    <row r="12" spans="1:10" x14ac:dyDescent="0.25">
      <c r="A12" s="10"/>
      <c r="B12" s="19" t="s">
        <v>10</v>
      </c>
      <c r="C12" s="62" t="str">
        <f t="shared" si="0"/>
        <v>NA</v>
      </c>
      <c r="D12" s="62" t="str">
        <f t="shared" si="1"/>
        <v>NA</v>
      </c>
      <c r="E12" s="62" t="str">
        <f t="shared" si="2"/>
        <v>NA</v>
      </c>
      <c r="F12" s="37" t="str">
        <f t="shared" si="3"/>
        <v>NA</v>
      </c>
      <c r="G12" s="43" t="str">
        <f t="shared" si="4"/>
        <v>NA</v>
      </c>
      <c r="I12" s="50"/>
    </row>
    <row r="13" spans="1:10" x14ac:dyDescent="0.25">
      <c r="A13" s="10"/>
      <c r="B13" s="19" t="s">
        <v>11</v>
      </c>
      <c r="C13" s="62">
        <f t="shared" si="0"/>
        <v>1.625</v>
      </c>
      <c r="D13" s="62">
        <f t="shared" si="1"/>
        <v>2.5416666666666665</v>
      </c>
      <c r="E13" s="62">
        <f t="shared" si="2"/>
        <v>2.8333333333333335</v>
      </c>
      <c r="F13" s="37">
        <f t="shared" si="3"/>
        <v>4.3671875</v>
      </c>
      <c r="G13" s="43">
        <f t="shared" si="4"/>
        <v>2.6467803030303028</v>
      </c>
      <c r="I13" s="50"/>
    </row>
    <row r="14" spans="1:10" x14ac:dyDescent="0.25">
      <c r="A14" s="14"/>
      <c r="B14" s="19" t="s">
        <v>12</v>
      </c>
      <c r="C14" s="62">
        <f t="shared" si="0"/>
        <v>1.8035714285714286</v>
      </c>
      <c r="D14" s="62">
        <f t="shared" si="1"/>
        <v>2.2857142857142856</v>
      </c>
      <c r="E14" s="62">
        <f t="shared" si="2"/>
        <v>2.8571428571428572</v>
      </c>
      <c r="F14" s="37">
        <f t="shared" si="3"/>
        <v>4.6377551020408161</v>
      </c>
      <c r="G14" s="43">
        <f t="shared" si="4"/>
        <v>2.8107606679035246</v>
      </c>
      <c r="I14" s="50"/>
    </row>
    <row r="15" spans="1:10" x14ac:dyDescent="0.25">
      <c r="B15" s="19" t="s">
        <v>13</v>
      </c>
      <c r="C15" s="62">
        <f t="shared" si="0"/>
        <v>3</v>
      </c>
      <c r="D15" s="62">
        <f t="shared" si="1"/>
        <v>2.5</v>
      </c>
      <c r="E15" s="62">
        <f t="shared" si="2"/>
        <v>3</v>
      </c>
      <c r="F15" s="37">
        <f t="shared" si="3"/>
        <v>8.25</v>
      </c>
      <c r="G15" s="43">
        <f t="shared" si="4"/>
        <v>5</v>
      </c>
      <c r="I15" s="51"/>
    </row>
    <row r="16" spans="1:10" x14ac:dyDescent="0.25">
      <c r="B16" s="19" t="s">
        <v>14</v>
      </c>
      <c r="C16" s="62">
        <f t="shared" si="0"/>
        <v>2.7413793103448274</v>
      </c>
      <c r="D16" s="62">
        <f t="shared" si="1"/>
        <v>2.2241379310344827</v>
      </c>
      <c r="E16" s="62">
        <f t="shared" si="2"/>
        <v>3</v>
      </c>
      <c r="F16" s="37">
        <f t="shared" si="3"/>
        <v>7.160671819262781</v>
      </c>
      <c r="G16" s="43">
        <f t="shared" si="4"/>
        <v>4.3398011025835039</v>
      </c>
    </row>
    <row r="17" spans="2:9" x14ac:dyDescent="0.25">
      <c r="B17" s="19" t="s">
        <v>15</v>
      </c>
      <c r="C17" s="62">
        <f t="shared" si="0"/>
        <v>3</v>
      </c>
      <c r="D17" s="62">
        <f t="shared" si="1"/>
        <v>2.5</v>
      </c>
      <c r="E17" s="62">
        <f t="shared" si="2"/>
        <v>3</v>
      </c>
      <c r="F17" s="37">
        <f t="shared" si="3"/>
        <v>8.25</v>
      </c>
      <c r="G17" s="43">
        <f t="shared" si="4"/>
        <v>5</v>
      </c>
      <c r="I17" s="52"/>
    </row>
    <row r="18" spans="2:9" x14ac:dyDescent="0.25">
      <c r="B18" s="19" t="s">
        <v>16</v>
      </c>
      <c r="C18" s="62">
        <f t="shared" si="0"/>
        <v>2.25</v>
      </c>
      <c r="D18" s="62">
        <f t="shared" si="1"/>
        <v>2.5</v>
      </c>
      <c r="E18" s="62">
        <f t="shared" si="2"/>
        <v>3</v>
      </c>
      <c r="F18" s="37">
        <f t="shared" si="3"/>
        <v>6.1875</v>
      </c>
      <c r="G18" s="43">
        <f t="shared" si="4"/>
        <v>3.75</v>
      </c>
    </row>
    <row r="19" spans="2:9" ht="15.75" thickBot="1" x14ac:dyDescent="0.3">
      <c r="B19" s="20" t="s">
        <v>17</v>
      </c>
      <c r="C19" s="418">
        <f t="shared" si="0"/>
        <v>2.4722222222222223</v>
      </c>
      <c r="D19" s="418">
        <f t="shared" si="1"/>
        <v>2.3055555555555554</v>
      </c>
      <c r="E19" s="418">
        <f t="shared" si="2"/>
        <v>3</v>
      </c>
      <c r="F19" s="40">
        <f t="shared" si="3"/>
        <v>6.5582561728395063</v>
      </c>
      <c r="G19" s="44">
        <f t="shared" si="4"/>
        <v>3.9747007108118222</v>
      </c>
      <c r="I19" s="52"/>
    </row>
    <row r="20" spans="2:9" ht="17.25" x14ac:dyDescent="0.25">
      <c r="B20" t="s">
        <v>144</v>
      </c>
    </row>
    <row r="21" spans="2:9" ht="17.25" x14ac:dyDescent="0.25">
      <c r="B21" s="5" t="s">
        <v>145</v>
      </c>
    </row>
    <row r="22" spans="2:9" x14ac:dyDescent="0.25">
      <c r="B22" s="5"/>
    </row>
    <row r="23" spans="2:9" ht="15.75" hidden="1" thickBot="1" x14ac:dyDescent="0.3">
      <c r="B23" s="1" t="s">
        <v>846</v>
      </c>
    </row>
    <row r="24" spans="2:9" ht="75" hidden="1" x14ac:dyDescent="0.25">
      <c r="B24" s="494" t="s">
        <v>851</v>
      </c>
      <c r="C24" s="413" t="str">
        <f>C7</f>
        <v>Warming and Fire Vulnerability Performance Measure
Score</v>
      </c>
      <c r="D24" s="413" t="str">
        <f t="shared" ref="D24:E24" si="5">D7</f>
        <v>Flood Risk Management Performance Measure
Score</v>
      </c>
      <c r="E24" s="413" t="str">
        <f t="shared" si="5"/>
        <v>Sea Level Rise Vulnerability Performance Measure Score</v>
      </c>
      <c r="F24" s="457"/>
      <c r="G24" s="297" t="str">
        <f t="shared" ref="G24" si="6">G7</f>
        <v>Climate Resilience Evaluation Objective Unweighted Score (rescaled)2</v>
      </c>
    </row>
    <row r="25" spans="2:9" hidden="1" x14ac:dyDescent="0.25">
      <c r="B25" s="463" t="s">
        <v>848</v>
      </c>
      <c r="C25" s="241">
        <f>MAX(C8:C19)</f>
        <v>3</v>
      </c>
      <c r="D25" s="241">
        <f t="shared" ref="D25:E25" si="7">MAX(D8:D19)</f>
        <v>2.5416666666666665</v>
      </c>
      <c r="E25" s="241">
        <f t="shared" si="7"/>
        <v>3</v>
      </c>
      <c r="F25" s="11"/>
      <c r="G25" s="43">
        <f t="shared" ref="G25" si="8">MAX(G8:G19)</f>
        <v>5</v>
      </c>
    </row>
    <row r="26" spans="2:9" ht="30" hidden="1" x14ac:dyDescent="0.25">
      <c r="B26" s="463" t="s">
        <v>849</v>
      </c>
      <c r="C26" s="461" t="str">
        <f>INDEX($B8:$B19,MATCH(C25,C8:C19,0))</f>
        <v>Gray Water Use</v>
      </c>
      <c r="D26" s="461" t="str">
        <f t="shared" ref="D26:G26" si="9">INDEX($B8:$B19,MATCH(D25,D8:D19,0))</f>
        <v>Potable Reuse</v>
      </c>
      <c r="E26" s="461" t="str">
        <f t="shared" si="9"/>
        <v>Conveyance Improvement</v>
      </c>
      <c r="F26" s="461"/>
      <c r="G26" s="462" t="str">
        <f t="shared" si="9"/>
        <v>Gray Water Use</v>
      </c>
    </row>
    <row r="27" spans="2:9" hidden="1" x14ac:dyDescent="0.25">
      <c r="B27" s="504" t="s">
        <v>861</v>
      </c>
      <c r="C27" s="497">
        <f>LARGE(C8:C19,2)</f>
        <v>3</v>
      </c>
      <c r="D27" s="497">
        <f t="shared" ref="D27:E27" si="10">LARGE(D8:D19,2)</f>
        <v>2.5</v>
      </c>
      <c r="E27" s="497">
        <f t="shared" si="10"/>
        <v>3</v>
      </c>
      <c r="F27" s="497"/>
      <c r="G27" s="498">
        <f t="shared" ref="G27" si="11">LARGE(G8:G19,2)</f>
        <v>5</v>
      </c>
    </row>
    <row r="28" spans="2:9" ht="30" hidden="1" x14ac:dyDescent="0.25">
      <c r="B28" s="505" t="s">
        <v>862</v>
      </c>
      <c r="C28" s="499" t="str">
        <f>INDEX($B8:$B19,MATCH(C27,C8:C19,0))</f>
        <v>Gray Water Use</v>
      </c>
      <c r="D28" s="499" t="str">
        <f t="shared" ref="D28:G28" si="12">INDEX($B8:$B19,MATCH(D27,D8:D19,0))</f>
        <v>Gray Water Use</v>
      </c>
      <c r="E28" s="499" t="str">
        <f t="shared" si="12"/>
        <v>Conveyance Improvement</v>
      </c>
      <c r="F28" s="499"/>
      <c r="G28" s="500" t="str">
        <f t="shared" si="12"/>
        <v>Gray Water Use</v>
      </c>
    </row>
    <row r="29" spans="2:9" hidden="1" x14ac:dyDescent="0.25">
      <c r="B29" s="463" t="s">
        <v>847</v>
      </c>
      <c r="C29" s="241">
        <f>MIN(C8:C19)</f>
        <v>1.6</v>
      </c>
      <c r="D29" s="241">
        <f t="shared" ref="D29:E29" si="13">MIN(D8:D19)</f>
        <v>2.1818181818181817</v>
      </c>
      <c r="E29" s="241">
        <f t="shared" si="13"/>
        <v>2.8181818181818183</v>
      </c>
      <c r="F29" s="241"/>
      <c r="G29" s="464">
        <f t="shared" ref="G29" si="14">MIN(G8:G19)</f>
        <v>2.5696969696969694</v>
      </c>
    </row>
    <row r="30" spans="2:9" ht="30" hidden="1" x14ac:dyDescent="0.25">
      <c r="B30" s="505" t="s">
        <v>850</v>
      </c>
      <c r="C30" s="499" t="str">
        <f>INDEX($B8:$B19,MATCH(C29,C8:C19,0))</f>
        <v>Conveyance Improvement</v>
      </c>
      <c r="D30" s="499" t="str">
        <f t="shared" ref="D30:G30" si="15">INDEX($B8:$B19,MATCH(D29,D8:D19,0))</f>
        <v>Groundwater</v>
      </c>
      <c r="E30" s="499" t="str">
        <f t="shared" si="15"/>
        <v>Groundwater</v>
      </c>
      <c r="F30" s="499"/>
      <c r="G30" s="500" t="str">
        <f t="shared" si="15"/>
        <v>Conveyance Improvement</v>
      </c>
    </row>
    <row r="31" spans="2:9" hidden="1" x14ac:dyDescent="0.25">
      <c r="B31" s="504" t="s">
        <v>864</v>
      </c>
      <c r="C31" s="497">
        <f>SMALL(C8:C19,2)</f>
        <v>1.625</v>
      </c>
      <c r="D31" s="497">
        <f t="shared" ref="D31:E31" si="16">SMALL(D8:D19,2)</f>
        <v>2.2241379310344827</v>
      </c>
      <c r="E31" s="497">
        <f t="shared" si="16"/>
        <v>2.8333333333333335</v>
      </c>
      <c r="F31" s="497"/>
      <c r="G31" s="498">
        <f t="shared" ref="G31" si="17">SMALL(G8:G19,2)</f>
        <v>2.6467803030303028</v>
      </c>
    </row>
    <row r="32" spans="2:9" hidden="1" x14ac:dyDescent="0.25">
      <c r="B32" s="505" t="s">
        <v>863</v>
      </c>
      <c r="C32" s="499" t="str">
        <f>INDEX($B8:$B19,MATCH(C31,C8:C19,0))</f>
        <v>Potable Reuse</v>
      </c>
      <c r="D32" s="499" t="str">
        <f t="shared" ref="D32:G32" si="18">INDEX($B8:$B19,MATCH(D31,D8:D19,0))</f>
        <v>Stormwater BMPs</v>
      </c>
      <c r="E32" s="499" t="str">
        <f t="shared" si="18"/>
        <v>Potable Reuse</v>
      </c>
      <c r="F32" s="499"/>
      <c r="G32" s="500" t="str">
        <f t="shared" si="18"/>
        <v>Potable Reuse</v>
      </c>
    </row>
    <row r="33" spans="2:9" hidden="1" x14ac:dyDescent="0.25">
      <c r="B33" s="506" t="s">
        <v>844</v>
      </c>
      <c r="C33" s="502">
        <f>C25-C29</f>
        <v>1.4</v>
      </c>
      <c r="D33" s="502">
        <f t="shared" ref="D33:E33" si="19">D25-D29</f>
        <v>0.35984848484848486</v>
      </c>
      <c r="E33" s="502">
        <f t="shared" si="19"/>
        <v>0.18181818181818166</v>
      </c>
      <c r="F33" s="502"/>
      <c r="G33" s="503">
        <f t="shared" ref="G33" si="20">G25-G29</f>
        <v>2.4303030303030306</v>
      </c>
    </row>
    <row r="34" spans="2:9" ht="15.75" hidden="1" thickBot="1" x14ac:dyDescent="0.3">
      <c r="B34" s="507" t="s">
        <v>865</v>
      </c>
      <c r="C34" s="41">
        <f>AVERAGE(C8:C19)</f>
        <v>2.3946718415683934</v>
      </c>
      <c r="D34" s="41">
        <f t="shared" ref="D34:E34" si="21">AVERAGE(D8:D19)</f>
        <v>2.3838892620789176</v>
      </c>
      <c r="E34" s="41">
        <f t="shared" si="21"/>
        <v>2.9508658008658011</v>
      </c>
      <c r="F34" s="41"/>
      <c r="G34" s="44">
        <f t="shared" ref="G34" si="22">AVERAGE(G8:G19)</f>
        <v>3.881074801848893</v>
      </c>
      <c r="I34" s="52"/>
    </row>
    <row r="35" spans="2:9" hidden="1" x14ac:dyDescent="0.25">
      <c r="B35" s="11"/>
      <c r="C35" s="5"/>
      <c r="I35" s="52"/>
    </row>
    <row r="36" spans="2:9" ht="15.75" hidden="1" thickBot="1" x14ac:dyDescent="0.3">
      <c r="B36" s="1" t="s">
        <v>785</v>
      </c>
    </row>
    <row r="37" spans="2:9" ht="48.75" hidden="1" customHeight="1" x14ac:dyDescent="0.25">
      <c r="B37" s="800" t="s">
        <v>37</v>
      </c>
      <c r="C37" s="337"/>
      <c r="D37" s="338"/>
      <c r="E37" s="339" t="s">
        <v>781</v>
      </c>
      <c r="F37" s="416" t="s">
        <v>782</v>
      </c>
      <c r="G37" s="340" t="s">
        <v>783</v>
      </c>
    </row>
    <row r="38" spans="2:9" ht="60.75" hidden="1" thickBot="1" x14ac:dyDescent="0.3">
      <c r="B38" s="801" t="s">
        <v>37</v>
      </c>
      <c r="C38" s="341" t="s">
        <v>6</v>
      </c>
      <c r="D38" s="342"/>
      <c r="E38" s="343" t="s">
        <v>758</v>
      </c>
      <c r="F38" s="344" t="s">
        <v>757</v>
      </c>
      <c r="G38" s="345" t="s">
        <v>756</v>
      </c>
      <c r="I38" s="52"/>
    </row>
    <row r="39" spans="2:9" hidden="1" x14ac:dyDescent="0.25">
      <c r="B39" s="227" t="str">
        <f>'Project-Level Data'!B7</f>
        <v>69th St Green Street</v>
      </c>
      <c r="C39" s="804" t="str">
        <f>'Project-Level Data'!C7</f>
        <v>Watershed and Ecosystem Management</v>
      </c>
      <c r="D39" s="793"/>
      <c r="E39" s="393">
        <f>'Project-Level Data'!I7</f>
        <v>3</v>
      </c>
      <c r="F39" s="393">
        <f>'Project-Level Data'!K7</f>
        <v>2.5</v>
      </c>
      <c r="G39" s="399">
        <f>'Project-Level Data'!L7</f>
        <v>3</v>
      </c>
      <c r="I39" s="52"/>
    </row>
    <row r="40" spans="2:9" ht="38.25" hidden="1" x14ac:dyDescent="0.25">
      <c r="B40" s="227" t="str">
        <f>'Project-Level Data'!B8</f>
        <v>Alternative Compliance Retrofit Project Avenida Del Diablo Park,
Escondido</v>
      </c>
      <c r="C40" s="804" t="str">
        <f>'Project-Level Data'!C8</f>
        <v>Watershed and Ecosystem Management</v>
      </c>
      <c r="D40" s="793"/>
      <c r="E40" s="393">
        <f>'Project-Level Data'!I8</f>
        <v>1</v>
      </c>
      <c r="F40" s="393">
        <f>'Project-Level Data'!K8</f>
        <v>1.5</v>
      </c>
      <c r="G40" s="399">
        <f>'Project-Level Data'!L8</f>
        <v>3</v>
      </c>
    </row>
    <row r="41" spans="2:9" ht="38.25" hidden="1" x14ac:dyDescent="0.25">
      <c r="B41" s="227" t="str">
        <f>'Project-Level Data'!B9</f>
        <v>Alternative Compliance Retrofit Project El Norte Parkway and Rincon
Villa Drive, Escondido</v>
      </c>
      <c r="C41" s="804" t="str">
        <f>'Project-Level Data'!C9</f>
        <v>Stormwater BMPs</v>
      </c>
      <c r="D41" s="793"/>
      <c r="E41" s="393">
        <f>'Project-Level Data'!I9</f>
        <v>3</v>
      </c>
      <c r="F41" s="393">
        <f>'Project-Level Data'!K9</f>
        <v>2.5</v>
      </c>
      <c r="G41" s="399">
        <f>'Project-Level Data'!L9</f>
        <v>3</v>
      </c>
    </row>
    <row r="42" spans="2:9" ht="25.5" hidden="1" x14ac:dyDescent="0.25">
      <c r="B42" s="227" t="str">
        <f>'Project-Level Data'!B10</f>
        <v>Alternative Compliance Retrofit Project Mountain View Park, Escondido</v>
      </c>
      <c r="C42" s="804" t="str">
        <f>'Project-Level Data'!C10</f>
        <v>Stormwater BMPs</v>
      </c>
      <c r="D42" s="793"/>
      <c r="E42" s="393">
        <f>'Project-Level Data'!I10</f>
        <v>3</v>
      </c>
      <c r="F42" s="393">
        <f>'Project-Level Data'!K10</f>
        <v>2.5</v>
      </c>
      <c r="G42" s="399">
        <f>'Project-Level Data'!L10</f>
        <v>3</v>
      </c>
    </row>
    <row r="43" spans="2:9" hidden="1" x14ac:dyDescent="0.25">
      <c r="B43" s="227" t="str">
        <f>'Project-Level Data'!B11</f>
        <v>Bakersfield Street and San Altos Channel Restoration</v>
      </c>
      <c r="C43" s="804" t="str">
        <f>'Project-Level Data'!C11</f>
        <v>Stormwater BMPs</v>
      </c>
      <c r="D43" s="793"/>
      <c r="E43" s="393">
        <f>'Project-Level Data'!I11</f>
        <v>3</v>
      </c>
      <c r="F43" s="393">
        <f>'Project-Level Data'!K11</f>
        <v>2.5</v>
      </c>
      <c r="G43" s="399">
        <f>'Project-Level Data'!L11</f>
        <v>3</v>
      </c>
    </row>
    <row r="44" spans="2:9" ht="38.25" hidden="1" x14ac:dyDescent="0.25">
      <c r="B44" s="227" t="str">
        <f>'Project-Level Data'!B12</f>
        <v>Broadway Channel Flood Risk Reduction and Water Quality
Improvements</v>
      </c>
      <c r="C44" s="804" t="str">
        <f>'Project-Level Data'!C12</f>
        <v>Stormwater BMPs</v>
      </c>
      <c r="D44" s="793"/>
      <c r="E44" s="393">
        <f>'Project-Level Data'!I12</f>
        <v>3</v>
      </c>
      <c r="F44" s="393">
        <f>'Project-Level Data'!K12</f>
        <v>1.5</v>
      </c>
      <c r="G44" s="399">
        <f>'Project-Level Data'!L12</f>
        <v>3</v>
      </c>
    </row>
    <row r="45" spans="2:9" hidden="1" x14ac:dyDescent="0.25">
      <c r="B45" s="227" t="str">
        <f>'Project-Level Data'!B13</f>
        <v>Broadway/Federal Blvd Green Street</v>
      </c>
      <c r="C45" s="804" t="str">
        <f>'Project-Level Data'!C13</f>
        <v>Watershed and Ecosystem Management</v>
      </c>
      <c r="D45" s="793"/>
      <c r="E45" s="393">
        <f>'Project-Level Data'!I13</f>
        <v>3</v>
      </c>
      <c r="F45" s="393">
        <f>'Project-Level Data'!K13</f>
        <v>2.5</v>
      </c>
      <c r="G45" s="399">
        <f>'Project-Level Data'!L13</f>
        <v>3</v>
      </c>
    </row>
    <row r="46" spans="2:9" hidden="1" x14ac:dyDescent="0.25">
      <c r="B46" s="227" t="str">
        <f>'Project-Level Data'!B14</f>
        <v>Cadiz additional imported supplies</v>
      </c>
      <c r="C46" s="804" t="str">
        <f>'Project-Level Data'!C14</f>
        <v>Imported Water Purchases</v>
      </c>
      <c r="D46" s="793"/>
      <c r="E46" s="393" t="str">
        <f>'Project-Level Data'!I14</f>
        <v>NOT MAPPED</v>
      </c>
      <c r="F46" s="393" t="str">
        <f>'Project-Level Data'!K14</f>
        <v>NOT MAPPED</v>
      </c>
      <c r="G46" s="399" t="str">
        <f>'Project-Level Data'!L14</f>
        <v>NOT MAPPED</v>
      </c>
    </row>
    <row r="47" spans="2:9" hidden="1" x14ac:dyDescent="0.25">
      <c r="B47" s="227" t="str">
        <f>'Project-Level Data'!B15</f>
        <v>Camp Pendleton Desalination Facility</v>
      </c>
      <c r="C47" s="804" t="str">
        <f>'Project-Level Data'!C15</f>
        <v>Seawater Desalination</v>
      </c>
      <c r="D47" s="793"/>
      <c r="E47" s="393">
        <f>'Project-Level Data'!I15</f>
        <v>3</v>
      </c>
      <c r="F47" s="393">
        <f>'Project-Level Data'!K15</f>
        <v>2.5</v>
      </c>
      <c r="G47" s="399">
        <f>'Project-Level Data'!L15</f>
        <v>3</v>
      </c>
    </row>
    <row r="48" spans="2:9" hidden="1" x14ac:dyDescent="0.25">
      <c r="B48" s="227" t="str">
        <f>'Project-Level Data'!B16</f>
        <v>Canton Dr Green Street</v>
      </c>
      <c r="C48" s="804" t="str">
        <f>'Project-Level Data'!C16</f>
        <v>Watershed and Ecosystem Management</v>
      </c>
      <c r="D48" s="793"/>
      <c r="E48" s="393">
        <f>'Project-Level Data'!I16</f>
        <v>3</v>
      </c>
      <c r="F48" s="393">
        <f>'Project-Level Data'!K16</f>
        <v>2.5</v>
      </c>
      <c r="G48" s="399">
        <f>'Project-Level Data'!L16</f>
        <v>3</v>
      </c>
    </row>
    <row r="49" spans="2:7" hidden="1" x14ac:dyDescent="0.25">
      <c r="B49" s="227" t="str">
        <f>'Project-Level Data'!B17</f>
        <v>Carlsbad WRF - Landscape, Agriculture 2025</v>
      </c>
      <c r="C49" s="804" t="str">
        <f>'Project-Level Data'!C17</f>
        <v>Recycled Water</v>
      </c>
      <c r="D49" s="793"/>
      <c r="E49" s="393">
        <f>'Project-Level Data'!I17</f>
        <v>3</v>
      </c>
      <c r="F49" s="393">
        <f>'Project-Level Data'!K17</f>
        <v>2.5</v>
      </c>
      <c r="G49" s="399">
        <f>'Project-Level Data'!L17</f>
        <v>3</v>
      </c>
    </row>
    <row r="50" spans="2:7" hidden="1" x14ac:dyDescent="0.25">
      <c r="B50" s="227" t="str">
        <f>'Project-Level Data'!B18</f>
        <v>Carlsbad WRF - Landscape, Agriculture 2050</v>
      </c>
      <c r="C50" s="804" t="str">
        <f>'Project-Level Data'!C18</f>
        <v>Recycled Water</v>
      </c>
      <c r="D50" s="793"/>
      <c r="E50" s="393">
        <f>'Project-Level Data'!I18</f>
        <v>3</v>
      </c>
      <c r="F50" s="393">
        <f>'Project-Level Data'!K18</f>
        <v>2.5</v>
      </c>
      <c r="G50" s="399">
        <f>'Project-Level Data'!L18</f>
        <v>3</v>
      </c>
    </row>
    <row r="51" spans="2:7" hidden="1" x14ac:dyDescent="0.25">
      <c r="B51" s="227" t="str">
        <f>'Project-Level Data'!B19</f>
        <v>Central Avenue Green Street</v>
      </c>
      <c r="C51" s="804" t="str">
        <f>'Project-Level Data'!C19</f>
        <v>Watershed and Ecosystem Management</v>
      </c>
      <c r="D51" s="793"/>
      <c r="E51" s="393">
        <f>'Project-Level Data'!I19</f>
        <v>3</v>
      </c>
      <c r="F51" s="393">
        <f>'Project-Level Data'!K19</f>
        <v>2.5</v>
      </c>
      <c r="G51" s="399">
        <f>'Project-Level Data'!L19</f>
        <v>3</v>
      </c>
    </row>
    <row r="52" spans="2:7" hidden="1" x14ac:dyDescent="0.25">
      <c r="B52" s="227" t="str">
        <f>'Project-Level Data'!B20</f>
        <v>City of Oceanside Loma Alta Slough Restoration Project</v>
      </c>
      <c r="C52" s="804" t="str">
        <f>'Project-Level Data'!C20</f>
        <v>Stormwater BMPs</v>
      </c>
      <c r="D52" s="793"/>
      <c r="E52" s="393">
        <f>'Project-Level Data'!I20</f>
        <v>3</v>
      </c>
      <c r="F52" s="393">
        <f>'Project-Level Data'!K20</f>
        <v>1.5</v>
      </c>
      <c r="G52" s="399">
        <f>'Project-Level Data'!L20</f>
        <v>3</v>
      </c>
    </row>
    <row r="53" spans="2:7" ht="25.5" hidden="1" x14ac:dyDescent="0.25">
      <c r="B53" s="227" t="str">
        <f>'Project-Level Data'!B21</f>
        <v>Conservation Home Makeover in the Chollas Creek Watershed</v>
      </c>
      <c r="C53" s="804" t="str">
        <f>'Project-Level Data'!C21</f>
        <v>Gray Water Use</v>
      </c>
      <c r="D53" s="793"/>
      <c r="E53" s="393">
        <f>'Project-Level Data'!I21</f>
        <v>3</v>
      </c>
      <c r="F53" s="393">
        <f>'Project-Level Data'!K21</f>
        <v>2.5</v>
      </c>
      <c r="G53" s="399">
        <f>'Project-Level Data'!L21</f>
        <v>3</v>
      </c>
    </row>
    <row r="54" spans="2:7" hidden="1" x14ac:dyDescent="0.25">
      <c r="B54" s="227" t="str">
        <f>'Project-Level Data'!B22</f>
        <v>Dulzura Conduit Refurbishment</v>
      </c>
      <c r="C54" s="804" t="str">
        <f>'Project-Level Data'!C22</f>
        <v>Conveyance Improvement</v>
      </c>
      <c r="D54" s="793"/>
      <c r="E54" s="393">
        <f>'Project-Level Data'!I22</f>
        <v>1</v>
      </c>
      <c r="F54" s="393">
        <f>'Project-Level Data'!K22</f>
        <v>2.5</v>
      </c>
      <c r="G54" s="399">
        <f>'Project-Level Data'!L22</f>
        <v>3</v>
      </c>
    </row>
    <row r="55" spans="2:7" ht="25.5" hidden="1" x14ac:dyDescent="0.25">
      <c r="B55" s="227" t="str">
        <f>'Project-Level Data'!B23</f>
        <v>East County Advanced Water Purification Program Phase 1</v>
      </c>
      <c r="C55" s="804" t="str">
        <f>'Project-Level Data'!C23</f>
        <v>Potable Reuse</v>
      </c>
      <c r="D55" s="793"/>
      <c r="E55" s="393">
        <f>'Project-Level Data'!I23</f>
        <v>1</v>
      </c>
      <c r="F55" s="393">
        <f>'Project-Level Data'!K23</f>
        <v>2.5</v>
      </c>
      <c r="G55" s="399">
        <f>'Project-Level Data'!L23</f>
        <v>3</v>
      </c>
    </row>
    <row r="56" spans="2:7" ht="25.5" hidden="1" x14ac:dyDescent="0.25">
      <c r="B56" s="227" t="str">
        <f>'Project-Level Data'!B24</f>
        <v>East County Advanced Water Purification Program Phase 2</v>
      </c>
      <c r="C56" s="804" t="str">
        <f>'Project-Level Data'!C24</f>
        <v>Potable Reuse</v>
      </c>
      <c r="D56" s="793"/>
      <c r="E56" s="393">
        <f>'Project-Level Data'!I24</f>
        <v>1</v>
      </c>
      <c r="F56" s="393">
        <f>'Project-Level Data'!K24</f>
        <v>2.5</v>
      </c>
      <c r="G56" s="399">
        <f>'Project-Level Data'!L24</f>
        <v>3</v>
      </c>
    </row>
    <row r="57" spans="2:7" ht="25.5" hidden="1" x14ac:dyDescent="0.25">
      <c r="B57" s="227" t="str">
        <f>'Project-Level Data'!B25</f>
        <v>East County Advanced Water Purification Program Phase 3</v>
      </c>
      <c r="C57" s="804" t="str">
        <f>'Project-Level Data'!C25</f>
        <v>Potable Reuse</v>
      </c>
      <c r="D57" s="793"/>
      <c r="E57" s="393">
        <f>'Project-Level Data'!I25</f>
        <v>1</v>
      </c>
      <c r="F57" s="393">
        <f>'Project-Level Data'!K25</f>
        <v>2.5</v>
      </c>
      <c r="G57" s="399">
        <f>'Project-Level Data'!L25</f>
        <v>3</v>
      </c>
    </row>
    <row r="58" spans="2:7" hidden="1" x14ac:dyDescent="0.25">
      <c r="B58" s="227" t="str">
        <f>'Project-Level Data'!B26</f>
        <v>Encina Wastewater Water Reuse Project</v>
      </c>
      <c r="C58" s="804" t="str">
        <f>'Project-Level Data'!C26</f>
        <v>Potable Reuse</v>
      </c>
      <c r="D58" s="793"/>
      <c r="E58" s="393">
        <f>'Project-Level Data'!I26</f>
        <v>3</v>
      </c>
      <c r="F58" s="393">
        <f>'Project-Level Data'!K26</f>
        <v>2.5</v>
      </c>
      <c r="G58" s="399">
        <f>'Project-Level Data'!L26</f>
        <v>3</v>
      </c>
    </row>
    <row r="59" spans="2:7" hidden="1" x14ac:dyDescent="0.25">
      <c r="B59" s="227" t="str">
        <f>'Project-Level Data'!B27</f>
        <v xml:space="preserve">Enhanced Conservation </v>
      </c>
      <c r="C59" s="804" t="str">
        <f>'Project-Level Data'!C27</f>
        <v>Enhanced Conservation</v>
      </c>
      <c r="D59" s="793"/>
      <c r="E59" s="393" t="str">
        <f>'Project-Level Data'!I27</f>
        <v>NOT MAPPED</v>
      </c>
      <c r="F59" s="393" t="str">
        <f>'Project-Level Data'!K27</f>
        <v>NOT MAPPED</v>
      </c>
      <c r="G59" s="399" t="str">
        <f>'Project-Level Data'!L27</f>
        <v>NOT MAPPED</v>
      </c>
    </row>
    <row r="60" spans="2:7" hidden="1" x14ac:dyDescent="0.25">
      <c r="B60" s="227" t="str">
        <f>'Project-Level Data'!B28</f>
        <v>Extension 153 Phase I</v>
      </c>
      <c r="C60" s="804" t="str">
        <f>'Project-Level Data'!C28</f>
        <v>Recycled Water</v>
      </c>
      <c r="D60" s="793"/>
      <c r="E60" s="393">
        <f>'Project-Level Data'!I28</f>
        <v>3</v>
      </c>
      <c r="F60" s="393">
        <f>'Project-Level Data'!K28</f>
        <v>1.5</v>
      </c>
      <c r="G60" s="399">
        <f>'Project-Level Data'!L28</f>
        <v>3</v>
      </c>
    </row>
    <row r="61" spans="2:7" hidden="1" x14ac:dyDescent="0.25">
      <c r="B61" s="227" t="str">
        <f>'Project-Level Data'!B29</f>
        <v>Extension 153 Phase II</v>
      </c>
      <c r="C61" s="804" t="str">
        <f>'Project-Level Data'!C29</f>
        <v>Recycled Water</v>
      </c>
      <c r="D61" s="793"/>
      <c r="E61" s="393">
        <f>'Project-Level Data'!I29</f>
        <v>3</v>
      </c>
      <c r="F61" s="393">
        <f>'Project-Level Data'!K29</f>
        <v>1.5</v>
      </c>
      <c r="G61" s="399">
        <f>'Project-Level Data'!L29</f>
        <v>3</v>
      </c>
    </row>
    <row r="62" spans="2:7" hidden="1" x14ac:dyDescent="0.25">
      <c r="B62" s="227" t="str">
        <f>'Project-Level Data'!B30</f>
        <v>Federal Blvd Channel</v>
      </c>
      <c r="C62" s="804" t="str">
        <f>'Project-Level Data'!C30</f>
        <v>Watershed and Ecosystem Management</v>
      </c>
      <c r="D62" s="793"/>
      <c r="E62" s="393">
        <f>'Project-Level Data'!I30</f>
        <v>3</v>
      </c>
      <c r="F62" s="393">
        <f>'Project-Level Data'!K30</f>
        <v>2.5</v>
      </c>
      <c r="G62" s="399">
        <f>'Project-Level Data'!L30</f>
        <v>3</v>
      </c>
    </row>
    <row r="63" spans="2:7" hidden="1" x14ac:dyDescent="0.25">
      <c r="B63" s="227" t="str">
        <f>'Project-Level Data'!B31</f>
        <v>Hodges Water Quality Improvement Program</v>
      </c>
      <c r="C63" s="804" t="str">
        <f>'Project-Level Data'!C31</f>
        <v>Watershed and Ecosystem Management</v>
      </c>
      <c r="D63" s="793"/>
      <c r="E63" s="393">
        <f>'Project-Level Data'!I31</f>
        <v>1</v>
      </c>
      <c r="F63" s="393">
        <f>'Project-Level Data'!K31</f>
        <v>2.5</v>
      </c>
      <c r="G63" s="399">
        <f>'Project-Level Data'!L31</f>
        <v>3</v>
      </c>
    </row>
    <row r="64" spans="2:7" hidden="1" x14ac:dyDescent="0.25">
      <c r="B64" s="227" t="str">
        <f>'Project-Level Data'!B32</f>
        <v>Golden Ave Green Street</v>
      </c>
      <c r="C64" s="804" t="str">
        <f>'Project-Level Data'!C32</f>
        <v>Stormwater BMPs</v>
      </c>
      <c r="D64" s="793"/>
      <c r="E64" s="393">
        <f>'Project-Level Data'!I32</f>
        <v>3</v>
      </c>
      <c r="F64" s="393">
        <f>'Project-Level Data'!K32</f>
        <v>2.5</v>
      </c>
      <c r="G64" s="399">
        <f>'Project-Level Data'!L32</f>
        <v>3</v>
      </c>
    </row>
    <row r="65" spans="2:7" hidden="1" x14ac:dyDescent="0.25">
      <c r="B65" s="227" t="str">
        <f>'Project-Level Data'!B33</f>
        <v>Graywater pilot project</v>
      </c>
      <c r="C65" s="804" t="str">
        <f>'Project-Level Data'!C33</f>
        <v>Gray Water Use</v>
      </c>
      <c r="D65" s="793"/>
      <c r="E65" s="393" t="str">
        <f>'Project-Level Data'!I33</f>
        <v>NOT MAPPED</v>
      </c>
      <c r="F65" s="393" t="str">
        <f>'Project-Level Data'!K33</f>
        <v>NOT MAPPED</v>
      </c>
      <c r="G65" s="399" t="str">
        <f>'Project-Level Data'!L33</f>
        <v>NOT MAPPED</v>
      </c>
    </row>
    <row r="66" spans="2:7" hidden="1" x14ac:dyDescent="0.25">
      <c r="B66" s="227" t="str">
        <f>'Project-Level Data'!B34</f>
        <v>Groundwater Extraction Santee/El Monte</v>
      </c>
      <c r="C66" s="804" t="str">
        <f>'Project-Level Data'!C34</f>
        <v>Groundwater</v>
      </c>
      <c r="D66" s="793"/>
      <c r="E66" s="393">
        <f>'Project-Level Data'!I34</f>
        <v>2</v>
      </c>
      <c r="F66" s="393">
        <f>'Project-Level Data'!K34</f>
        <v>1.5</v>
      </c>
      <c r="G66" s="399">
        <f>'Project-Level Data'!L34</f>
        <v>3</v>
      </c>
    </row>
    <row r="67" spans="2:7" ht="25.5" hidden="1" x14ac:dyDescent="0.25">
      <c r="B67" s="227" t="str">
        <f>'Project-Level Data'!B35</f>
        <v>Hale Avenue Resource Recovery Facility (HARRF) - Landscape, Agriculture, Industrial, PR</v>
      </c>
      <c r="C67" s="804" t="str">
        <f>'Project-Level Data'!C35</f>
        <v>Recycled Water</v>
      </c>
      <c r="D67" s="793"/>
      <c r="E67" s="393">
        <f>'Project-Level Data'!I35</f>
        <v>1.5</v>
      </c>
      <c r="F67" s="393">
        <f>'Project-Level Data'!K35</f>
        <v>2.5</v>
      </c>
      <c r="G67" s="399">
        <f>'Project-Level Data'!L35</f>
        <v>3</v>
      </c>
    </row>
    <row r="68" spans="2:7" ht="25.5" hidden="1" x14ac:dyDescent="0.25">
      <c r="B68" s="227" t="str">
        <f>'Project-Level Data'!B36</f>
        <v>Integrated Water Resource Solutions for the Carlsbad Watershed</v>
      </c>
      <c r="C68" s="804" t="str">
        <f>'Project-Level Data'!C36</f>
        <v>Recycled Water</v>
      </c>
      <c r="D68" s="793"/>
      <c r="E68" s="393">
        <f>'Project-Level Data'!I36</f>
        <v>3</v>
      </c>
      <c r="F68" s="393">
        <f>'Project-Level Data'!K36</f>
        <v>1.5</v>
      </c>
      <c r="G68" s="399">
        <f>'Project-Level Data'!L36</f>
        <v>1</v>
      </c>
    </row>
    <row r="69" spans="2:7" ht="25.5" hidden="1" x14ac:dyDescent="0.25">
      <c r="B69" s="227" t="str">
        <f>'Project-Level Data'!B37</f>
        <v>Intergrated Water Resource Solutions for the Carlsbad Watershed</v>
      </c>
      <c r="C69" s="804" t="str">
        <f>'Project-Level Data'!C37</f>
        <v>Recycled Water</v>
      </c>
      <c r="D69" s="793"/>
      <c r="E69" s="393">
        <f>'Project-Level Data'!I37</f>
        <v>3</v>
      </c>
      <c r="F69" s="393">
        <f>'Project-Level Data'!K37</f>
        <v>1.5</v>
      </c>
      <c r="G69" s="399">
        <f>'Project-Level Data'!L37</f>
        <v>1</v>
      </c>
    </row>
    <row r="70" spans="2:7" hidden="1" x14ac:dyDescent="0.25">
      <c r="B70" s="227" t="str">
        <f>'Project-Level Data'!B38</f>
        <v>Joint RW Transmission Project with SFID and OMWD</v>
      </c>
      <c r="C70" s="804" t="str">
        <f>'Project-Level Data'!C38</f>
        <v>Recycled Water</v>
      </c>
      <c r="D70" s="793"/>
      <c r="E70" s="393">
        <f>'Project-Level Data'!I38</f>
        <v>1</v>
      </c>
      <c r="F70" s="393">
        <f>'Project-Level Data'!K38</f>
        <v>2.5</v>
      </c>
      <c r="G70" s="399">
        <f>'Project-Level Data'!L38</f>
        <v>3</v>
      </c>
    </row>
    <row r="71" spans="2:7" hidden="1" x14ac:dyDescent="0.25">
      <c r="B71" s="227" t="str">
        <f>'Project-Level Data'!B39</f>
        <v>Las Colinas Channel Improvments</v>
      </c>
      <c r="C71" s="804" t="str">
        <f>'Project-Level Data'!C39</f>
        <v>Stormwater BMPs</v>
      </c>
      <c r="D71" s="793"/>
      <c r="E71" s="393">
        <f>'Project-Level Data'!I39</f>
        <v>3</v>
      </c>
      <c r="F71" s="393">
        <f>'Project-Level Data'!K39</f>
        <v>1.5</v>
      </c>
      <c r="G71" s="399">
        <f>'Project-Level Data'!L39</f>
        <v>3</v>
      </c>
    </row>
    <row r="72" spans="2:7" hidden="1" x14ac:dyDescent="0.25">
      <c r="B72" s="227" t="str">
        <f>'Project-Level Data'!B40</f>
        <v>Lemon Grove Avenue Green Streets</v>
      </c>
      <c r="C72" s="804" t="str">
        <f>'Project-Level Data'!C40</f>
        <v>Stormwater BMPs</v>
      </c>
      <c r="D72" s="793"/>
      <c r="E72" s="393">
        <f>'Project-Level Data'!I40</f>
        <v>3</v>
      </c>
      <c r="F72" s="393">
        <f>'Project-Level Data'!K40</f>
        <v>2.5</v>
      </c>
      <c r="G72" s="399">
        <f>'Project-Level Data'!L40</f>
        <v>3</v>
      </c>
    </row>
    <row r="73" spans="2:7" ht="25.5" hidden="1" x14ac:dyDescent="0.25">
      <c r="B73" s="227" t="str">
        <f>'Project-Level Data'!B41</f>
        <v>Leucadia Roadside Park Stormwater Capture/Reuse Project</v>
      </c>
      <c r="C73" s="804" t="str">
        <f>'Project-Level Data'!C41</f>
        <v>Stormwater BMPs</v>
      </c>
      <c r="D73" s="793"/>
      <c r="E73" s="393">
        <f>'Project-Level Data'!I41</f>
        <v>3</v>
      </c>
      <c r="F73" s="393">
        <f>'Project-Level Data'!K41</f>
        <v>2.5</v>
      </c>
      <c r="G73" s="399">
        <f>'Project-Level Data'!L41</f>
        <v>3</v>
      </c>
    </row>
    <row r="74" spans="2:7" hidden="1" x14ac:dyDescent="0.25">
      <c r="B74" s="227" t="str">
        <f>'Project-Level Data'!B42</f>
        <v>Lilac Hills Ranch WRF</v>
      </c>
      <c r="C74" s="804" t="str">
        <f>'Project-Level Data'!C42</f>
        <v>Recycled Water</v>
      </c>
      <c r="D74" s="793"/>
      <c r="E74" s="393">
        <f>'Project-Level Data'!I42</f>
        <v>1</v>
      </c>
      <c r="F74" s="393">
        <f>'Project-Level Data'!K42</f>
        <v>2.5</v>
      </c>
      <c r="G74" s="399">
        <f>'Project-Level Data'!L42</f>
        <v>3</v>
      </c>
    </row>
    <row r="75" spans="2:7" hidden="1" x14ac:dyDescent="0.25">
      <c r="B75" s="227" t="str">
        <f>'Project-Level Data'!B43</f>
        <v>Lincoln St Green Street</v>
      </c>
      <c r="C75" s="804" t="str">
        <f>'Project-Level Data'!C43</f>
        <v>Stormwater BMPs</v>
      </c>
      <c r="D75" s="793"/>
      <c r="E75" s="393">
        <f>'Project-Level Data'!I43</f>
        <v>3</v>
      </c>
      <c r="F75" s="393">
        <f>'Project-Level Data'!K43</f>
        <v>2.5</v>
      </c>
      <c r="G75" s="399">
        <f>'Project-Level Data'!L43</f>
        <v>3</v>
      </c>
    </row>
    <row r="76" spans="2:7" ht="25.5" hidden="1" x14ac:dyDescent="0.25">
      <c r="B76" s="227" t="str">
        <f>'Project-Level Data'!B44</f>
        <v xml:space="preserve">Low Impact Development Urban Runoff Control Projects for the Tijuana Estuary </v>
      </c>
      <c r="C76" s="804" t="str">
        <f>'Project-Level Data'!C44</f>
        <v>Stormwater BMPs</v>
      </c>
      <c r="D76" s="793"/>
      <c r="E76" s="393">
        <f>'Project-Level Data'!I44</f>
        <v>3</v>
      </c>
      <c r="F76" s="393">
        <f>'Project-Level Data'!K44</f>
        <v>2.5</v>
      </c>
      <c r="G76" s="399">
        <f>'Project-Level Data'!L44</f>
        <v>3</v>
      </c>
    </row>
    <row r="77" spans="2:7" hidden="1" x14ac:dyDescent="0.25">
      <c r="B77" s="227" t="str">
        <f>'Project-Level Data'!B45</f>
        <v>Lower Moosa Canyon WRF</v>
      </c>
      <c r="C77" s="804" t="str">
        <f>'Project-Level Data'!C45</f>
        <v>Recycled Water</v>
      </c>
      <c r="D77" s="793"/>
      <c r="E77" s="393">
        <f>'Project-Level Data'!I45</f>
        <v>1</v>
      </c>
      <c r="F77" s="393">
        <f>'Project-Level Data'!K45</f>
        <v>2.5</v>
      </c>
      <c r="G77" s="399">
        <f>'Project-Level Data'!L45</f>
        <v>3</v>
      </c>
    </row>
    <row r="78" spans="2:7" hidden="1" x14ac:dyDescent="0.25">
      <c r="B78" s="227" t="str">
        <f>'Project-Level Data'!B46</f>
        <v>Madera St Green Street</v>
      </c>
      <c r="C78" s="804" t="str">
        <f>'Project-Level Data'!C46</f>
        <v>Stormwater BMPs</v>
      </c>
      <c r="D78" s="793"/>
      <c r="E78" s="393">
        <f>'Project-Level Data'!I46</f>
        <v>3</v>
      </c>
      <c r="F78" s="393">
        <f>'Project-Level Data'!K46</f>
        <v>2.5</v>
      </c>
      <c r="G78" s="399">
        <f>'Project-Level Data'!L46</f>
        <v>3</v>
      </c>
    </row>
    <row r="79" spans="2:7" hidden="1" x14ac:dyDescent="0.25">
      <c r="B79" s="227" t="str">
        <f>'Project-Level Data'!B47</f>
        <v>Main Street Promenade Extension</v>
      </c>
      <c r="C79" s="804" t="str">
        <f>'Project-Level Data'!C47</f>
        <v>Stormwater BMPs</v>
      </c>
      <c r="D79" s="793"/>
      <c r="E79" s="393">
        <f>'Project-Level Data'!I47</f>
        <v>3</v>
      </c>
      <c r="F79" s="393">
        <f>'Project-Level Data'!K47</f>
        <v>2.5</v>
      </c>
      <c r="G79" s="399">
        <f>'Project-Level Data'!L47</f>
        <v>3</v>
      </c>
    </row>
    <row r="80" spans="2:7" ht="25.5" hidden="1" x14ac:dyDescent="0.25">
      <c r="B80" s="227" t="str">
        <f>'Project-Level Data'!B48</f>
        <v>Mapleview Street ‐ Green Infrastructure and Stormwater QualityImprovement Project</v>
      </c>
      <c r="C80" s="804" t="str">
        <f>'Project-Level Data'!C48</f>
        <v>Stormwater BMPs</v>
      </c>
      <c r="D80" s="793"/>
      <c r="E80" s="393">
        <f>'Project-Level Data'!I48</f>
        <v>3</v>
      </c>
      <c r="F80" s="393">
        <f>'Project-Level Data'!K48</f>
        <v>2.5</v>
      </c>
      <c r="G80" s="399">
        <f>'Project-Level Data'!L48</f>
        <v>3</v>
      </c>
    </row>
    <row r="81" spans="2:7" hidden="1" x14ac:dyDescent="0.25">
      <c r="B81" s="227" t="str">
        <f>'Project-Level Data'!B49</f>
        <v>Massachusetts Blvd Green Street</v>
      </c>
      <c r="C81" s="804" t="str">
        <f>'Project-Level Data'!C49</f>
        <v>Watershed and Ecosystem Management</v>
      </c>
      <c r="D81" s="793"/>
      <c r="E81" s="393">
        <f>'Project-Level Data'!I49</f>
        <v>3</v>
      </c>
      <c r="F81" s="393">
        <f>'Project-Level Data'!K49</f>
        <v>2.5</v>
      </c>
      <c r="G81" s="399">
        <f>'Project-Level Data'!L49</f>
        <v>3</v>
      </c>
    </row>
    <row r="82" spans="2:7" hidden="1" x14ac:dyDescent="0.25">
      <c r="B82" s="227" t="str">
        <f>'Project-Level Data'!B50</f>
        <v>Meadowlark WRF</v>
      </c>
      <c r="C82" s="804" t="str">
        <f>'Project-Level Data'!C50</f>
        <v>Recycled Water</v>
      </c>
      <c r="D82" s="793"/>
      <c r="E82" s="393">
        <f>'Project-Level Data'!I50</f>
        <v>1</v>
      </c>
      <c r="F82" s="393">
        <f>'Project-Level Data'!K50</f>
        <v>2.5</v>
      </c>
      <c r="G82" s="399">
        <f>'Project-Level Data'!L50</f>
        <v>3</v>
      </c>
    </row>
    <row r="83" spans="2:7" hidden="1" x14ac:dyDescent="0.25">
      <c r="B83" s="227" t="str">
        <f>'Project-Level Data'!B51</f>
        <v>Meadowood WRF</v>
      </c>
      <c r="C83" s="804" t="str">
        <f>'Project-Level Data'!C51</f>
        <v>Recycled Water</v>
      </c>
      <c r="D83" s="793"/>
      <c r="E83" s="393">
        <f>'Project-Level Data'!I51</f>
        <v>1.5</v>
      </c>
      <c r="F83" s="393">
        <f>'Project-Level Data'!K51</f>
        <v>2</v>
      </c>
      <c r="G83" s="399">
        <f>'Project-Level Data'!L51</f>
        <v>3</v>
      </c>
    </row>
    <row r="84" spans="2:7" ht="25.5" hidden="1" x14ac:dyDescent="0.25">
      <c r="B84" s="227" t="str">
        <f>'Project-Level Data'!B52</f>
        <v>Middle Sweetwater River Basin Groundwater Well System</v>
      </c>
      <c r="C84" s="804" t="str">
        <f>'Project-Level Data'!C52</f>
        <v>Groundwater</v>
      </c>
      <c r="D84" s="793"/>
      <c r="E84" s="393">
        <f>'Project-Level Data'!I52</f>
        <v>2</v>
      </c>
      <c r="F84" s="393">
        <f>'Project-Level Data'!K52</f>
        <v>1.5</v>
      </c>
      <c r="G84" s="399">
        <f>'Project-Level Data'!L52</f>
        <v>3</v>
      </c>
    </row>
    <row r="85" spans="2:7" hidden="1" x14ac:dyDescent="0.25">
      <c r="B85" s="227" t="str">
        <f>'Project-Level Data'!B53</f>
        <v>Mission Trails Projects Alternative 1</v>
      </c>
      <c r="C85" s="804" t="str">
        <f>'Project-Level Data'!C53</f>
        <v>Conveyance Improvement</v>
      </c>
      <c r="D85" s="793"/>
      <c r="E85" s="393">
        <f>'Project-Level Data'!I53</f>
        <v>1</v>
      </c>
      <c r="F85" s="393">
        <f>'Project-Level Data'!K53</f>
        <v>2.5</v>
      </c>
      <c r="G85" s="399">
        <f>'Project-Level Data'!L53</f>
        <v>3</v>
      </c>
    </row>
    <row r="86" spans="2:7" hidden="1" x14ac:dyDescent="0.25">
      <c r="B86" s="227" t="str">
        <f>'Project-Level Data'!B54</f>
        <v>Mission Valley Brackish Groundwater Recovery Project</v>
      </c>
      <c r="C86" s="804" t="str">
        <f>'Project-Level Data'!C54</f>
        <v>Groundwater</v>
      </c>
      <c r="D86" s="793"/>
      <c r="E86" s="393">
        <f>'Project-Level Data'!I54</f>
        <v>3</v>
      </c>
      <c r="F86" s="393">
        <f>'Project-Level Data'!K54</f>
        <v>2.5</v>
      </c>
      <c r="G86" s="399">
        <f>'Project-Level Data'!L54</f>
        <v>3</v>
      </c>
    </row>
    <row r="87" spans="2:7" hidden="1" x14ac:dyDescent="0.25">
      <c r="B87" s="227" t="str">
        <f>'Project-Level Data'!B55</f>
        <v xml:space="preserve">Ms. Smarty-Plants Grows Water-Wise Schools </v>
      </c>
      <c r="C87" s="804" t="str">
        <f>'Project-Level Data'!C55</f>
        <v>Urban and Agricultural Water Use Efficiency</v>
      </c>
      <c r="D87" s="793"/>
      <c r="E87" s="393">
        <f>'Project-Level Data'!I55</f>
        <v>3</v>
      </c>
      <c r="F87" s="393">
        <f>'Project-Level Data'!K55</f>
        <v>2.5</v>
      </c>
      <c r="G87" s="399">
        <f>'Project-Level Data'!L55</f>
        <v>3</v>
      </c>
    </row>
    <row r="88" spans="2:7" hidden="1" x14ac:dyDescent="0.25">
      <c r="B88" s="227" t="str">
        <f>'Project-Level Data'!B56</f>
        <v>Mt. Vernon St Green Street</v>
      </c>
      <c r="C88" s="804" t="str">
        <f>'Project-Level Data'!C56</f>
        <v>Watershed and Ecosystem Management</v>
      </c>
      <c r="D88" s="793"/>
      <c r="E88" s="393">
        <f>'Project-Level Data'!I56</f>
        <v>3</v>
      </c>
      <c r="F88" s="393">
        <f>'Project-Level Data'!K56</f>
        <v>2.5</v>
      </c>
      <c r="G88" s="399">
        <f>'Project-Level Data'!L56</f>
        <v>3</v>
      </c>
    </row>
    <row r="89" spans="2:7" hidden="1" x14ac:dyDescent="0.25">
      <c r="B89" s="227" t="str">
        <f>'Project-Level Data'!B57</f>
        <v>Murray Urban Runoff Diversion System Capture</v>
      </c>
      <c r="C89" s="804" t="str">
        <f>'Project-Level Data'!C57</f>
        <v>Stormwater Capture</v>
      </c>
      <c r="D89" s="793"/>
      <c r="E89" s="393">
        <f>'Project-Level Data'!I57</f>
        <v>3</v>
      </c>
      <c r="F89" s="393">
        <f>'Project-Level Data'!K57</f>
        <v>2.5</v>
      </c>
      <c r="G89" s="399">
        <f>'Project-Level Data'!L57</f>
        <v>3</v>
      </c>
    </row>
    <row r="90" spans="2:7" hidden="1" x14ac:dyDescent="0.25">
      <c r="B90" s="227" t="str">
        <f>'Project-Level Data'!B58</f>
        <v>Nestor Creek Channel Restoration</v>
      </c>
      <c r="C90" s="804" t="str">
        <f>'Project-Level Data'!C58</f>
        <v>Watershed and Ecosystem Management</v>
      </c>
      <c r="D90" s="793"/>
      <c r="E90" s="393">
        <f>'Project-Level Data'!I58</f>
        <v>3</v>
      </c>
      <c r="F90" s="393">
        <f>'Project-Level Data'!K58</f>
        <v>1.5</v>
      </c>
      <c r="G90" s="399">
        <f>'Project-Level Data'!L58</f>
        <v>3</v>
      </c>
    </row>
    <row r="91" spans="2:7" ht="25.5" hidden="1" x14ac:dyDescent="0.25">
      <c r="B91" s="227" t="str">
        <f>'Project-Level Data'!B59</f>
        <v>New Local Supply Rincon del Diablo - Hale Avenue RRF/ City of Escondido/WRFs</v>
      </c>
      <c r="C91" s="804" t="str">
        <f>'Project-Level Data'!C59</f>
        <v>Potable Reuse</v>
      </c>
      <c r="D91" s="793"/>
      <c r="E91" s="393">
        <f>'Project-Level Data'!I59</f>
        <v>1.5</v>
      </c>
      <c r="F91" s="393">
        <f>'Project-Level Data'!K59</f>
        <v>2.5</v>
      </c>
      <c r="G91" s="399">
        <f>'Project-Level Data'!L59</f>
        <v>3</v>
      </c>
    </row>
    <row r="92" spans="2:7" hidden="1" x14ac:dyDescent="0.25">
      <c r="B92" s="227" t="str">
        <f>'Project-Level Data'!B60</f>
        <v>North Ave and Grove Green Street</v>
      </c>
      <c r="C92" s="804" t="str">
        <f>'Project-Level Data'!C60</f>
        <v>Watershed and Ecosystem Management</v>
      </c>
      <c r="D92" s="793"/>
      <c r="E92" s="393">
        <f>'Project-Level Data'!I60</f>
        <v>3</v>
      </c>
      <c r="F92" s="393">
        <f>'Project-Level Data'!K60</f>
        <v>2.5</v>
      </c>
      <c r="G92" s="399">
        <f>'Project-Level Data'!L60</f>
        <v>3</v>
      </c>
    </row>
    <row r="93" spans="2:7" hidden="1" x14ac:dyDescent="0.25">
      <c r="B93" s="227" t="str">
        <f>'Project-Level Data'!B61</f>
        <v>North City WRP - Project 1</v>
      </c>
      <c r="C93" s="804" t="str">
        <f>'Project-Level Data'!C61</f>
        <v>Recycled Water</v>
      </c>
      <c r="D93" s="793"/>
      <c r="E93" s="393">
        <f>'Project-Level Data'!I61</f>
        <v>1.5</v>
      </c>
      <c r="F93" s="393">
        <f>'Project-Level Data'!K61</f>
        <v>2.5</v>
      </c>
      <c r="G93" s="399">
        <f>'Project-Level Data'!L61</f>
        <v>3</v>
      </c>
    </row>
    <row r="94" spans="2:7" hidden="1" x14ac:dyDescent="0.25">
      <c r="B94" s="227" t="str">
        <f>'Project-Level Data'!B62</f>
        <v>North City WRP - Project 2</v>
      </c>
      <c r="C94" s="804" t="str">
        <f>'Project-Level Data'!C62</f>
        <v>Recycled Water</v>
      </c>
      <c r="D94" s="793"/>
      <c r="E94" s="393">
        <f>'Project-Level Data'!I62</f>
        <v>1.5</v>
      </c>
      <c r="F94" s="393">
        <f>'Project-Level Data'!K62</f>
        <v>2.5</v>
      </c>
      <c r="G94" s="399">
        <f>'Project-Level Data'!L62</f>
        <v>3</v>
      </c>
    </row>
    <row r="95" spans="2:7" hidden="1" x14ac:dyDescent="0.25">
      <c r="B95" s="227" t="str">
        <f>'Project-Level Data'!B63</f>
        <v>North District Recycled System/RW Chapman WRF</v>
      </c>
      <c r="C95" s="804" t="str">
        <f>'Project-Level Data'!C63</f>
        <v>Recycled Water</v>
      </c>
      <c r="D95" s="793"/>
      <c r="E95" s="393">
        <f>'Project-Level Data'!I63</f>
        <v>1.5</v>
      </c>
      <c r="F95" s="393">
        <f>'Project-Level Data'!K63</f>
        <v>2.5</v>
      </c>
      <c r="G95" s="399">
        <f>'Project-Level Data'!L63</f>
        <v>3</v>
      </c>
    </row>
    <row r="96" spans="2:7" ht="25.5" hidden="1" x14ac:dyDescent="0.25">
      <c r="B96" s="227" t="str">
        <f>'Project-Level Data'!B64</f>
        <v>North San Diego County Regional Recycled Water Project-Phase ll</v>
      </c>
      <c r="C96" s="804" t="str">
        <f>'Project-Level Data'!C64</f>
        <v>Recycled Water</v>
      </c>
      <c r="D96" s="793"/>
      <c r="E96" s="393">
        <f>'Project-Level Data'!I64</f>
        <v>3</v>
      </c>
      <c r="F96" s="393">
        <f>'Project-Level Data'!K64</f>
        <v>2.5</v>
      </c>
      <c r="G96" s="399">
        <f>'Project-Level Data'!L64</f>
        <v>3</v>
      </c>
    </row>
    <row r="97" spans="2:7" hidden="1" x14ac:dyDescent="0.25">
      <c r="B97" s="227" t="str">
        <f>'Project-Level Data'!B65</f>
        <v>North Village WRF</v>
      </c>
      <c r="C97" s="804" t="str">
        <f>'Project-Level Data'!C65</f>
        <v>Recycled Water</v>
      </c>
      <c r="D97" s="793"/>
      <c r="E97" s="393">
        <f>'Project-Level Data'!I65</f>
        <v>1</v>
      </c>
      <c r="F97" s="393">
        <f>'Project-Level Data'!K65</f>
        <v>2.5</v>
      </c>
      <c r="G97" s="399">
        <f>'Project-Level Data'!L65</f>
        <v>3</v>
      </c>
    </row>
    <row r="98" spans="2:7" hidden="1" x14ac:dyDescent="0.25">
      <c r="B98" s="227" t="str">
        <f>'Project-Level Data'!B66</f>
        <v>North WWTP Landscape Application</v>
      </c>
      <c r="C98" s="804" t="str">
        <f>'Project-Level Data'!C66</f>
        <v>Recycled Water</v>
      </c>
      <c r="D98" s="793"/>
      <c r="E98" s="393">
        <f>'Project-Level Data'!I66</f>
        <v>1</v>
      </c>
      <c r="F98" s="393">
        <f>'Project-Level Data'!K66</f>
        <v>3</v>
      </c>
      <c r="G98" s="399">
        <f>'Project-Level Data'!L66</f>
        <v>3</v>
      </c>
    </row>
    <row r="99" spans="2:7" hidden="1" x14ac:dyDescent="0.25">
      <c r="B99" s="227" t="str">
        <f>'Project-Level Data'!B67</f>
        <v>Otay Mesa Lot 7 Groundwater Well System (capacity)</v>
      </c>
      <c r="C99" s="804" t="str">
        <f>'Project-Level Data'!C67</f>
        <v>Groundwater</v>
      </c>
      <c r="D99" s="793"/>
      <c r="E99" s="393">
        <f>'Project-Level Data'!I67</f>
        <v>1.5</v>
      </c>
      <c r="F99" s="393">
        <f>'Project-Level Data'!K67</f>
        <v>2.5</v>
      </c>
      <c r="G99" s="399">
        <f>'Project-Level Data'!L67</f>
        <v>3</v>
      </c>
    </row>
    <row r="100" spans="2:7" ht="25.5" hidden="1" x14ac:dyDescent="0.25">
      <c r="B100" s="227" t="str">
        <f>'Project-Level Data'!B68</f>
        <v>Otay River Valley GW Aquifer Studies &amp; Field Investigations</v>
      </c>
      <c r="C100" s="804" t="str">
        <f>'Project-Level Data'!C68</f>
        <v>Groundwater</v>
      </c>
      <c r="D100" s="793"/>
      <c r="E100" s="393">
        <f>'Project-Level Data'!I68</f>
        <v>1.5</v>
      </c>
      <c r="F100" s="393">
        <f>'Project-Level Data'!K68</f>
        <v>1.5</v>
      </c>
      <c r="G100" s="399">
        <f>'Project-Level Data'!L68</f>
        <v>3</v>
      </c>
    </row>
    <row r="101" spans="2:7" hidden="1" x14ac:dyDescent="0.25">
      <c r="B101" s="227" t="str">
        <f>'Project-Level Data'!B69</f>
        <v>Palm St Green Street</v>
      </c>
      <c r="C101" s="804" t="str">
        <f>'Project-Level Data'!C69</f>
        <v>Watershed and Ecosystem Management</v>
      </c>
      <c r="D101" s="793"/>
      <c r="E101" s="393">
        <f>'Project-Level Data'!I69</f>
        <v>3</v>
      </c>
      <c r="F101" s="393">
        <f>'Project-Level Data'!K69</f>
        <v>2.5</v>
      </c>
      <c r="G101" s="399">
        <f>'Project-Level Data'!L69</f>
        <v>3</v>
      </c>
    </row>
    <row r="102" spans="2:7" hidden="1" x14ac:dyDescent="0.25">
      <c r="B102" s="227" t="str">
        <f>'Project-Level Data'!B70</f>
        <v>Paradise Creek Restoration Phase II</v>
      </c>
      <c r="C102" s="804" t="str">
        <f>'Project-Level Data'!C70</f>
        <v>Watershed and Ecosystem Management</v>
      </c>
      <c r="D102" s="793"/>
      <c r="E102" s="393">
        <f>'Project-Level Data'!I70</f>
        <v>3</v>
      </c>
      <c r="F102" s="393">
        <f>'Project-Level Data'!K70</f>
        <v>1.5</v>
      </c>
      <c r="G102" s="399">
        <f>'Project-Level Data'!L70</f>
        <v>3</v>
      </c>
    </row>
    <row r="103" spans="2:7" ht="25.5" hidden="1" x14ac:dyDescent="0.25">
      <c r="B103" s="227" t="str">
        <f>'Project-Level Data'!B71</f>
        <v>Paradise Valley Creek Water Quality and Community Enhancement</v>
      </c>
      <c r="C103" s="804" t="str">
        <f>'Project-Level Data'!C71</f>
        <v>Stormwater BMPs</v>
      </c>
      <c r="D103" s="793"/>
      <c r="E103" s="393">
        <f>'Project-Level Data'!I71</f>
        <v>3</v>
      </c>
      <c r="F103" s="393">
        <f>'Project-Level Data'!K71</f>
        <v>1.5</v>
      </c>
      <c r="G103" s="399">
        <f>'Project-Level Data'!L71</f>
        <v>3</v>
      </c>
    </row>
    <row r="104" spans="2:7" hidden="1" x14ac:dyDescent="0.25">
      <c r="B104" s="227" t="str">
        <f>'Project-Level Data'!B72</f>
        <v>Pipeline 3/Pipeline 4 Conversion</v>
      </c>
      <c r="C104" s="804" t="str">
        <f>'Project-Level Data'!C72</f>
        <v>Conveyance Improvement</v>
      </c>
      <c r="D104" s="793"/>
      <c r="E104" s="393" t="str">
        <f>'Project-Level Data'!I72</f>
        <v>NOT MAPPED</v>
      </c>
      <c r="F104" s="393" t="str">
        <f>'Project-Level Data'!K72</f>
        <v>NOT MAPPED</v>
      </c>
      <c r="G104" s="399" t="str">
        <f>'Project-Level Data'!L72</f>
        <v>NOT MAPPED</v>
      </c>
    </row>
    <row r="105" spans="2:7" ht="25.5" hidden="1" x14ac:dyDescent="0.25">
      <c r="B105" s="227" t="str">
        <f>'Project-Level Data'!B73</f>
        <v xml:space="preserve">Potable Reuse/Hale Avenue Resource Recovery Facility (HARRF) </v>
      </c>
      <c r="C105" s="804" t="str">
        <f>'Project-Level Data'!C73</f>
        <v>Potable Reuse</v>
      </c>
      <c r="D105" s="793"/>
      <c r="E105" s="393">
        <f>'Project-Level Data'!I73</f>
        <v>1.5</v>
      </c>
      <c r="F105" s="393">
        <f>'Project-Level Data'!K73</f>
        <v>2.5</v>
      </c>
      <c r="G105" s="399">
        <f>'Project-Level Data'!L73</f>
        <v>3</v>
      </c>
    </row>
    <row r="106" spans="2:7" ht="25.5" hidden="1" x14ac:dyDescent="0.25">
      <c r="B106" s="227" t="str">
        <f>'Project-Level Data'!B74</f>
        <v>Pure Water - Los Penasquitos Creek Urban Dry-Weather Water Harvesting</v>
      </c>
      <c r="C106" s="804" t="str">
        <f>'Project-Level Data'!C74</f>
        <v>Stormwater BMPs</v>
      </c>
      <c r="D106" s="793"/>
      <c r="E106" s="393">
        <f>'Project-Level Data'!I74</f>
        <v>1</v>
      </c>
      <c r="F106" s="393">
        <f>'Project-Level Data'!K74</f>
        <v>1.5</v>
      </c>
      <c r="G106" s="399">
        <f>'Project-Level Data'!L74</f>
        <v>3</v>
      </c>
    </row>
    <row r="107" spans="2:7" hidden="1" x14ac:dyDescent="0.25">
      <c r="B107" s="227" t="str">
        <f>'Project-Level Data'!B75</f>
        <v xml:space="preserve">Pure Water San Diego Phase 1 - North City </v>
      </c>
      <c r="C107" s="804" t="str">
        <f>'Project-Level Data'!C75</f>
        <v>Potable Reuse</v>
      </c>
      <c r="D107" s="793"/>
      <c r="E107" s="393">
        <f>'Project-Level Data'!I75</f>
        <v>1.5</v>
      </c>
      <c r="F107" s="393">
        <f>'Project-Level Data'!K75</f>
        <v>2.5</v>
      </c>
      <c r="G107" s="399">
        <f>'Project-Level Data'!L75</f>
        <v>3</v>
      </c>
    </row>
    <row r="108" spans="2:7" hidden="1" x14ac:dyDescent="0.25">
      <c r="B108" s="227" t="str">
        <f>'Project-Level Data'!B76</f>
        <v>Pure Water San Diego Phase 2 - Central</v>
      </c>
      <c r="C108" s="804" t="str">
        <f>'Project-Level Data'!C76</f>
        <v>Potable Reuse</v>
      </c>
      <c r="D108" s="793"/>
      <c r="E108" s="393">
        <f>'Project-Level Data'!I76</f>
        <v>3</v>
      </c>
      <c r="F108" s="393">
        <f>'Project-Level Data'!K76</f>
        <v>3</v>
      </c>
      <c r="G108" s="399">
        <f>'Project-Level Data'!L76</f>
        <v>1</v>
      </c>
    </row>
    <row r="109" spans="2:7" hidden="1" x14ac:dyDescent="0.25">
      <c r="B109" s="227" t="str">
        <f>'Project-Level Data'!B77</f>
        <v>Rainwater harvesting</v>
      </c>
      <c r="C109" s="804" t="str">
        <f>'Project-Level Data'!C77</f>
        <v>Stormwater Capture</v>
      </c>
      <c r="D109" s="793"/>
      <c r="E109" s="393" t="str">
        <f>'Project-Level Data'!I77</f>
        <v>NOT MAPPED</v>
      </c>
      <c r="F109" s="393" t="str">
        <f>'Project-Level Data'!K77</f>
        <v>NOT MAPPED</v>
      </c>
      <c r="G109" s="399" t="str">
        <f>'Project-Level Data'!L77</f>
        <v>NOT MAPPED</v>
      </c>
    </row>
    <row r="110" spans="2:7" hidden="1" x14ac:dyDescent="0.25">
      <c r="B110" s="227" t="str">
        <f>'Project-Level Data'!B78</f>
        <v>Rancho Cielo</v>
      </c>
      <c r="C110" s="804" t="str">
        <f>'Project-Level Data'!C78</f>
        <v>Recycled Water</v>
      </c>
      <c r="D110" s="793"/>
      <c r="E110" s="393">
        <f>'Project-Level Data'!I78</f>
        <v>2</v>
      </c>
      <c r="F110" s="393">
        <f>'Project-Level Data'!K78</f>
        <v>2.5</v>
      </c>
      <c r="G110" s="399">
        <f>'Project-Level Data'!L78</f>
        <v>3</v>
      </c>
    </row>
    <row r="111" spans="2:7" ht="25.5" hidden="1" x14ac:dyDescent="0.25">
      <c r="B111" s="227" t="str">
        <f>'Project-Level Data'!B79</f>
        <v>Rancho del Rey Groundwater Well Development (capacity)</v>
      </c>
      <c r="C111" s="804" t="str">
        <f>'Project-Level Data'!C79</f>
        <v>Groundwater</v>
      </c>
      <c r="D111" s="793"/>
      <c r="E111" s="393">
        <f>'Project-Level Data'!I79</f>
        <v>3</v>
      </c>
      <c r="F111" s="393">
        <f>'Project-Level Data'!K79</f>
        <v>2.5</v>
      </c>
      <c r="G111" s="399">
        <f>'Project-Level Data'!L79</f>
        <v>3</v>
      </c>
    </row>
    <row r="112" spans="2:7" hidden="1" x14ac:dyDescent="0.25">
      <c r="B112" s="227" t="str">
        <f>'Project-Level Data'!B80</f>
        <v>Ray Stoyer WRF - Landscape, Irrigation, Dust Control</v>
      </c>
      <c r="C112" s="804" t="str">
        <f>'Project-Level Data'!C80</f>
        <v>Recycled Water</v>
      </c>
      <c r="D112" s="793"/>
      <c r="E112" s="393">
        <f>'Project-Level Data'!I80</f>
        <v>1</v>
      </c>
      <c r="F112" s="393">
        <f>'Project-Level Data'!K80</f>
        <v>2.5</v>
      </c>
      <c r="G112" s="399">
        <f>'Project-Level Data'!L80</f>
        <v>3</v>
      </c>
    </row>
    <row r="113" spans="2:7" hidden="1" x14ac:dyDescent="0.25">
      <c r="B113" s="227" t="str">
        <f>'Project-Level Data'!B81</f>
        <v>Regional Demand Management Program Expansion</v>
      </c>
      <c r="C113" s="804" t="str">
        <f>'Project-Level Data'!C81</f>
        <v>Urban and Agricultural Water Use Efficiency</v>
      </c>
      <c r="D113" s="793"/>
      <c r="E113" s="393">
        <f>'Project-Level Data'!I81</f>
        <v>1</v>
      </c>
      <c r="F113" s="393">
        <f>'Project-Level Data'!K81</f>
        <v>2.5</v>
      </c>
      <c r="G113" s="399">
        <f>'Project-Level Data'!L81</f>
        <v>3</v>
      </c>
    </row>
    <row r="114" spans="2:7" hidden="1" x14ac:dyDescent="0.25">
      <c r="B114" s="227" t="str">
        <f>'Project-Level Data'!B82</f>
        <v>Regional Drought Resilience Program</v>
      </c>
      <c r="C114" s="804" t="str">
        <f>'Project-Level Data'!C82</f>
        <v>Urban and Agricultural Water Use Efficiency</v>
      </c>
      <c r="D114" s="793"/>
      <c r="E114" s="393">
        <f>'Project-Level Data'!I82</f>
        <v>2</v>
      </c>
      <c r="F114" s="393">
        <f>'Project-Level Data'!K82</f>
        <v>2.5</v>
      </c>
      <c r="G114" s="399">
        <f>'Project-Level Data'!L82</f>
        <v>3</v>
      </c>
    </row>
    <row r="115" spans="2:7" hidden="1" x14ac:dyDescent="0.25">
      <c r="B115" s="227" t="str">
        <f>'Project-Level Data'!B83</f>
        <v>Re-rating of Carlsbad Desalination for higher flow</v>
      </c>
      <c r="C115" s="804" t="str">
        <f>'Project-Level Data'!C83</f>
        <v>Seawater Desalination</v>
      </c>
      <c r="D115" s="793"/>
      <c r="E115" s="393">
        <f>'Project-Level Data'!I83</f>
        <v>3</v>
      </c>
      <c r="F115" s="393">
        <f>'Project-Level Data'!K83</f>
        <v>2.5</v>
      </c>
      <c r="G115" s="399">
        <f>'Project-Level Data'!L83</f>
        <v>3</v>
      </c>
    </row>
    <row r="116" spans="2:7" ht="25.5" hidden="1" x14ac:dyDescent="0.25">
      <c r="B116" s="227" t="str">
        <f>'Project-Level Data'!B84</f>
        <v>Rincon Customer-Driven Demand Management Program</v>
      </c>
      <c r="C116" s="804" t="str">
        <f>'Project-Level Data'!C84</f>
        <v>Urban and Agricultural Water Use Efficiency</v>
      </c>
      <c r="D116" s="793"/>
      <c r="E116" s="393" t="str">
        <f>'Project-Level Data'!I84</f>
        <v>NOT MAPPED</v>
      </c>
      <c r="F116" s="393" t="str">
        <f>'Project-Level Data'!K84</f>
        <v>NOT MAPPED</v>
      </c>
      <c r="G116" s="399" t="str">
        <f>'Project-Level Data'!L84</f>
        <v>NOT MAPPED</v>
      </c>
    </row>
    <row r="117" spans="2:7" hidden="1" x14ac:dyDescent="0.25">
      <c r="B117" s="227" t="str">
        <f>'Project-Level Data'!B85</f>
        <v>Rosarito Beach Desalination</v>
      </c>
      <c r="C117" s="804" t="str">
        <f>'Project-Level Data'!C85</f>
        <v>Seawater Desalination</v>
      </c>
      <c r="D117" s="793"/>
      <c r="E117" s="393" t="str">
        <f>'Project-Level Data'!I85</f>
        <v>NOT MAPPED</v>
      </c>
      <c r="F117" s="393" t="str">
        <f>'Project-Level Data'!K85</f>
        <v>NOT MAPPED</v>
      </c>
      <c r="G117" s="399" t="str">
        <f>'Project-Level Data'!L85</f>
        <v>NOT MAPPED</v>
      </c>
    </row>
    <row r="118" spans="2:7" hidden="1" x14ac:dyDescent="0.25">
      <c r="B118" s="227" t="str">
        <f>'Project-Level Data'!B86</f>
        <v>Safari Drought Response and Outreach</v>
      </c>
      <c r="C118" s="804" t="str">
        <f>'Project-Level Data'!C86</f>
        <v>Recycled Water</v>
      </c>
      <c r="D118" s="793"/>
      <c r="E118" s="393">
        <f>'Project-Level Data'!I86</f>
        <v>2</v>
      </c>
      <c r="F118" s="393">
        <f>'Project-Level Data'!K86</f>
        <v>2.5</v>
      </c>
      <c r="G118" s="399">
        <f>'Project-Level Data'!L86</f>
        <v>3</v>
      </c>
    </row>
    <row r="119" spans="2:7" hidden="1" x14ac:dyDescent="0.25">
      <c r="B119" s="227" t="str">
        <f>'Project-Level Data'!B87</f>
        <v>Safari Park Storm Water Capture and Reuse Project</v>
      </c>
      <c r="C119" s="804" t="str">
        <f>'Project-Level Data'!C87</f>
        <v>Stormwater BMPs</v>
      </c>
      <c r="D119" s="793"/>
      <c r="E119" s="393">
        <f>'Project-Level Data'!I87</f>
        <v>1</v>
      </c>
      <c r="F119" s="393">
        <f>'Project-Level Data'!K87</f>
        <v>2.5</v>
      </c>
      <c r="G119" s="399">
        <f>'Project-Level Data'!L87</f>
        <v>3</v>
      </c>
    </row>
    <row r="120" spans="2:7" ht="25.5" hidden="1" x14ac:dyDescent="0.25">
      <c r="B120" s="227" t="str">
        <f>'Project-Level Data'!B88</f>
        <v>Safari Park Water Reuse Sustainability and Watershed Protection Prgram</v>
      </c>
      <c r="C120" s="804" t="str">
        <f>'Project-Level Data'!C88</f>
        <v>Stormwater BMPs</v>
      </c>
      <c r="D120" s="793"/>
      <c r="E120" s="393">
        <f>'Project-Level Data'!I88</f>
        <v>1.5</v>
      </c>
      <c r="F120" s="393">
        <f>'Project-Level Data'!K88</f>
        <v>2.5</v>
      </c>
      <c r="G120" s="399">
        <f>'Project-Level Data'!L88</f>
        <v>3</v>
      </c>
    </row>
    <row r="121" spans="2:7" hidden="1" x14ac:dyDescent="0.25">
      <c r="B121" s="227" t="str">
        <f>'Project-Level Data'!B89</f>
        <v>San Diego County Reservoir Intertie</v>
      </c>
      <c r="C121" s="804" t="str">
        <f>'Project-Level Data'!C89</f>
        <v>Conveyance Improvement</v>
      </c>
      <c r="D121" s="793"/>
      <c r="E121" s="393">
        <f>'Project-Level Data'!I89</f>
        <v>3</v>
      </c>
      <c r="F121" s="393">
        <f>'Project-Level Data'!K89</f>
        <v>2.5</v>
      </c>
      <c r="G121" s="399">
        <f>'Project-Level Data'!L89</f>
        <v>3</v>
      </c>
    </row>
    <row r="122" spans="2:7" ht="25.5" hidden="1" x14ac:dyDescent="0.25">
      <c r="B122" s="227" t="str">
        <f>'Project-Level Data'!B90</f>
        <v>San Diego Formation - Southeaster San Diego, including Mt Hope</v>
      </c>
      <c r="C122" s="804" t="str">
        <f>'Project-Level Data'!C90</f>
        <v>Groundwater</v>
      </c>
      <c r="D122" s="793"/>
      <c r="E122" s="393">
        <f>'Project-Level Data'!I90</f>
        <v>3</v>
      </c>
      <c r="F122" s="393">
        <f>'Project-Level Data'!K90</f>
        <v>2.5</v>
      </c>
      <c r="G122" s="399">
        <f>'Project-Level Data'!L90</f>
        <v>3</v>
      </c>
    </row>
    <row r="123" spans="2:7" hidden="1" x14ac:dyDescent="0.25">
      <c r="B123" s="227" t="str">
        <f>'Project-Level Data'!B91</f>
        <v>San Diego Healthy Headwaters Restoration</v>
      </c>
      <c r="C123" s="804" t="str">
        <f>'Project-Level Data'!C91</f>
        <v>Watershed and Ecosystem Management</v>
      </c>
      <c r="D123" s="793"/>
      <c r="E123" s="393">
        <f>'Project-Level Data'!I91</f>
        <v>2</v>
      </c>
      <c r="F123" s="393">
        <f>'Project-Level Data'!K91</f>
        <v>2.5</v>
      </c>
      <c r="G123" s="399">
        <f>'Project-Level Data'!L91</f>
        <v>3</v>
      </c>
    </row>
    <row r="124" spans="2:7" hidden="1" x14ac:dyDescent="0.25">
      <c r="B124" s="227" t="str">
        <f>'Project-Level Data'!B92</f>
        <v>San Diego Water Conservation Program</v>
      </c>
      <c r="C124" s="804" t="str">
        <f>'Project-Level Data'!C92</f>
        <v>Urban and Agricultural Water Use Efficiency</v>
      </c>
      <c r="D124" s="793"/>
      <c r="E124" s="393" t="str">
        <f>'Project-Level Data'!I92</f>
        <v>NOT MAPPED</v>
      </c>
      <c r="F124" s="393" t="str">
        <f>'Project-Level Data'!K92</f>
        <v>NOT MAPPED</v>
      </c>
      <c r="G124" s="399" t="str">
        <f>'Project-Level Data'!L92</f>
        <v>NOT MAPPED</v>
      </c>
    </row>
    <row r="125" spans="2:7" hidden="1" x14ac:dyDescent="0.25">
      <c r="B125" s="227" t="str">
        <f>'Project-Level Data'!B93</f>
        <v>San Diego Water Use Reduction Program</v>
      </c>
      <c r="C125" s="804" t="str">
        <f>'Project-Level Data'!C93</f>
        <v>Urban and Agricultural Water Use Efficiency</v>
      </c>
      <c r="D125" s="793"/>
      <c r="E125" s="393" t="str">
        <f>'Project-Level Data'!I93</f>
        <v>NOT MAPPED</v>
      </c>
      <c r="F125" s="393" t="str">
        <f>'Project-Level Data'!K93</f>
        <v>NOT MAPPED</v>
      </c>
      <c r="G125" s="399" t="str">
        <f>'Project-Level Data'!L93</f>
        <v>NOT MAPPED</v>
      </c>
    </row>
    <row r="126" spans="2:7" ht="25.5" hidden="1" x14ac:dyDescent="0.25">
      <c r="B126" s="227" t="str">
        <f>'Project-Level Data'!B94</f>
        <v>San Dieguito River Basin Brackish GW Recovery and Treatment</v>
      </c>
      <c r="C126" s="804" t="str">
        <f>'Project-Level Data'!C94</f>
        <v>Groundwater</v>
      </c>
      <c r="D126" s="793"/>
      <c r="E126" s="393">
        <f>'Project-Level Data'!I94</f>
        <v>2</v>
      </c>
      <c r="F126" s="393">
        <f>'Project-Level Data'!K94</f>
        <v>2.5</v>
      </c>
      <c r="G126" s="399">
        <f>'Project-Level Data'!L94</f>
        <v>3</v>
      </c>
    </row>
    <row r="127" spans="2:7" hidden="1" x14ac:dyDescent="0.25">
      <c r="B127" s="227" t="str">
        <f>'Project-Level Data'!B95</f>
        <v>San Luis Rey Groundwater Study</v>
      </c>
      <c r="C127" s="804" t="str">
        <f>'Project-Level Data'!C95</f>
        <v>Groundwater</v>
      </c>
      <c r="D127" s="793"/>
      <c r="E127" s="393">
        <f>'Project-Level Data'!I95</f>
        <v>3</v>
      </c>
      <c r="F127" s="393">
        <f>'Project-Level Data'!K95</f>
        <v>2.5</v>
      </c>
      <c r="G127" s="399">
        <f>'Project-Level Data'!L95</f>
        <v>3</v>
      </c>
    </row>
    <row r="128" spans="2:7" ht="25.5" hidden="1" x14ac:dyDescent="0.25">
      <c r="B128" s="227" t="str">
        <f>'Project-Level Data'!B96</f>
        <v>San Marino Drive Green Street and Dry Weather Flow Management Sweetwater</v>
      </c>
      <c r="C128" s="804" t="str">
        <f>'Project-Level Data'!C96</f>
        <v>Stormwater BMPs</v>
      </c>
      <c r="D128" s="793"/>
      <c r="E128" s="393">
        <f>'Project-Level Data'!I96</f>
        <v>2</v>
      </c>
      <c r="F128" s="393">
        <f>'Project-Level Data'!K96</f>
        <v>2.5</v>
      </c>
      <c r="G128" s="399">
        <f>'Project-Level Data'!L96</f>
        <v>3</v>
      </c>
    </row>
    <row r="129" spans="2:7" ht="25.5" hidden="1" x14ac:dyDescent="0.25">
      <c r="B129" s="227" t="str">
        <f>'Project-Level Data'!B97</f>
        <v>San Marino Drive Green Street and Dry Weather Flow Management Vallecitos</v>
      </c>
      <c r="C129" s="804" t="str">
        <f>'Project-Level Data'!C97</f>
        <v>Stormwater BMPs</v>
      </c>
      <c r="D129" s="793"/>
      <c r="E129" s="393">
        <f>'Project-Level Data'!I97</f>
        <v>2</v>
      </c>
      <c r="F129" s="393">
        <f>'Project-Level Data'!K97</f>
        <v>2.5</v>
      </c>
      <c r="G129" s="399">
        <f>'Project-Level Data'!L97</f>
        <v>3</v>
      </c>
    </row>
    <row r="130" spans="2:7" hidden="1" x14ac:dyDescent="0.25">
      <c r="B130" s="227" t="str">
        <f>'Project-Level Data'!B98</f>
        <v>San Miguel Green Street</v>
      </c>
      <c r="C130" s="804" t="str">
        <f>'Project-Level Data'!C98</f>
        <v>Stormwater BMPs</v>
      </c>
      <c r="D130" s="793"/>
      <c r="E130" s="393">
        <f>'Project-Level Data'!I98</f>
        <v>3</v>
      </c>
      <c r="F130" s="393">
        <f>'Project-Level Data'!K98</f>
        <v>2.5</v>
      </c>
      <c r="G130" s="399">
        <f>'Project-Level Data'!L98</f>
        <v>3</v>
      </c>
    </row>
    <row r="131" spans="2:7" hidden="1" x14ac:dyDescent="0.25">
      <c r="B131" s="227" t="str">
        <f>'Project-Level Data'!B99</f>
        <v>San Pasqual Brackish Groundwater Recovery Project</v>
      </c>
      <c r="C131" s="804" t="str">
        <f>'Project-Level Data'!C99</f>
        <v>Groundwater</v>
      </c>
      <c r="D131" s="793"/>
      <c r="E131" s="393">
        <f>'Project-Level Data'!I99</f>
        <v>3</v>
      </c>
      <c r="F131" s="393">
        <f>'Project-Level Data'!K99</f>
        <v>1.5</v>
      </c>
      <c r="G131" s="399">
        <f>'Project-Level Data'!L99</f>
        <v>3</v>
      </c>
    </row>
    <row r="132" spans="2:7" hidden="1" x14ac:dyDescent="0.25">
      <c r="B132" s="227" t="str">
        <f>'Project-Level Data'!B100</f>
        <v>San Vicente 3rd Pump Drive and Power</v>
      </c>
      <c r="C132" s="804" t="str">
        <f>'Project-Level Data'!C100</f>
        <v>Conveyance Improvement</v>
      </c>
      <c r="D132" s="793"/>
      <c r="E132" s="393">
        <f>'Project-Level Data'!I100</f>
        <v>1</v>
      </c>
      <c r="F132" s="393">
        <f>'Project-Level Data'!K100</f>
        <v>1.5</v>
      </c>
      <c r="G132" s="399">
        <f>'Project-Level Data'!L100</f>
        <v>3</v>
      </c>
    </row>
    <row r="133" spans="2:7" ht="38.25" hidden="1" x14ac:dyDescent="0.25">
      <c r="B133" s="227" t="str">
        <f>'Project-Level Data'!B101</f>
        <v>Santa Margarita Conjunctive-Use Project - Local surface water recharge and expansion of Camp Pendleton groundwater recovery program</v>
      </c>
      <c r="C133" s="804" t="str">
        <f>'Project-Level Data'!C101</f>
        <v>Groundwater</v>
      </c>
      <c r="D133" s="793"/>
      <c r="E133" s="393">
        <f>'Project-Level Data'!I101</f>
        <v>3</v>
      </c>
      <c r="F133" s="393">
        <f>'Project-Level Data'!K101</f>
        <v>3</v>
      </c>
      <c r="G133" s="399">
        <f>'Project-Level Data'!L101</f>
        <v>1</v>
      </c>
    </row>
    <row r="134" spans="2:7" hidden="1" x14ac:dyDescent="0.25">
      <c r="B134" s="227" t="str">
        <f>'Project-Level Data'!B102</f>
        <v>Santa Maria WRP</v>
      </c>
      <c r="C134" s="804" t="str">
        <f>'Project-Level Data'!C102</f>
        <v>Recycled Water</v>
      </c>
      <c r="D134" s="793"/>
      <c r="E134" s="393">
        <f>'Project-Level Data'!I102</f>
        <v>1.5</v>
      </c>
      <c r="F134" s="393">
        <f>'Project-Level Data'!K102</f>
        <v>2.5</v>
      </c>
      <c r="G134" s="399">
        <f>'Project-Level Data'!L102</f>
        <v>3</v>
      </c>
    </row>
    <row r="135" spans="2:7" hidden="1" x14ac:dyDescent="0.25">
      <c r="B135" s="227" t="str">
        <f>'Project-Level Data'!B103</f>
        <v>Second Crossover Pipeline</v>
      </c>
      <c r="C135" s="804" t="str">
        <f>'Project-Level Data'!C103</f>
        <v>Conveyance Improvement</v>
      </c>
      <c r="D135" s="793"/>
      <c r="E135" s="393">
        <f>'Project-Level Data'!I103</f>
        <v>2</v>
      </c>
      <c r="F135" s="393">
        <f>'Project-Level Data'!K103</f>
        <v>2.5</v>
      </c>
      <c r="G135" s="399">
        <f>'Project-Level Data'!L103</f>
        <v>3</v>
      </c>
    </row>
    <row r="136" spans="2:7" hidden="1" x14ac:dyDescent="0.25">
      <c r="B136" s="227" t="str">
        <f>'Project-Level Data'!B104</f>
        <v>SFID/SDWD/SEJPA Potable Reuse Project</v>
      </c>
      <c r="C136" s="804" t="str">
        <f>'Project-Level Data'!C104</f>
        <v>Potable Reuse</v>
      </c>
      <c r="D136" s="793"/>
      <c r="E136" s="393">
        <f>'Project-Level Data'!I104</f>
        <v>3</v>
      </c>
      <c r="F136" s="393">
        <f>'Project-Level Data'!K104</f>
        <v>2.5</v>
      </c>
      <c r="G136" s="399">
        <f>'Project-Level Data'!L104</f>
        <v>3</v>
      </c>
    </row>
    <row r="137" spans="2:7" hidden="1" x14ac:dyDescent="0.25">
      <c r="B137" s="227" t="str">
        <f>'Project-Level Data'!B105</f>
        <v>Shadowridge WRP</v>
      </c>
      <c r="C137" s="804" t="str">
        <f>'Project-Level Data'!C105</f>
        <v>Recycled Water</v>
      </c>
      <c r="D137" s="793"/>
      <c r="E137" s="393">
        <f>'Project-Level Data'!I105</f>
        <v>1</v>
      </c>
      <c r="F137" s="393">
        <f>'Project-Level Data'!K105</f>
        <v>2.5</v>
      </c>
      <c r="G137" s="399">
        <f>'Project-Level Data'!L105</f>
        <v>3</v>
      </c>
    </row>
    <row r="138" spans="2:7" hidden="1" x14ac:dyDescent="0.25">
      <c r="B138" s="227" t="str">
        <f>'Project-Level Data'!B106</f>
        <v>Skyline Dr and Kempt St Green Streets</v>
      </c>
      <c r="C138" s="804" t="str">
        <f>'Project-Level Data'!C106</f>
        <v>Stormwater BMPs</v>
      </c>
      <c r="D138" s="793"/>
      <c r="E138" s="393">
        <f>'Project-Level Data'!I106</f>
        <v>3</v>
      </c>
      <c r="F138" s="393">
        <f>'Project-Level Data'!K106</f>
        <v>2.5</v>
      </c>
      <c r="G138" s="399">
        <f>'Project-Level Data'!L106</f>
        <v>3</v>
      </c>
    </row>
    <row r="139" spans="2:7" hidden="1" x14ac:dyDescent="0.25">
      <c r="B139" s="227" t="str">
        <f>'Project-Level Data'!B107</f>
        <v>South Santa Fe Green Street Project</v>
      </c>
      <c r="C139" s="804" t="str">
        <f>'Project-Level Data'!C107</f>
        <v>Stormwater BMPs</v>
      </c>
      <c r="D139" s="793"/>
      <c r="E139" s="393">
        <f>'Project-Level Data'!I107</f>
        <v>3</v>
      </c>
      <c r="F139" s="393">
        <f>'Project-Level Data'!K107</f>
        <v>2.5</v>
      </c>
      <c r="G139" s="399">
        <f>'Project-Level Data'!L107</f>
        <v>3</v>
      </c>
    </row>
    <row r="140" spans="2:7" hidden="1" x14ac:dyDescent="0.25">
      <c r="B140" s="227" t="str">
        <f>'Project-Level Data'!B108</f>
        <v>South WWTP - Indirect Potable Recharge</v>
      </c>
      <c r="C140" s="804" t="str">
        <f>'Project-Level Data'!C108</f>
        <v>Potable Reuse</v>
      </c>
      <c r="D140" s="793"/>
      <c r="E140" s="393">
        <f>'Project-Level Data'!I108</f>
        <v>1</v>
      </c>
      <c r="F140" s="393">
        <f>'Project-Level Data'!K108</f>
        <v>2.5</v>
      </c>
      <c r="G140" s="399">
        <f>'Project-Level Data'!L108</f>
        <v>3</v>
      </c>
    </row>
    <row r="141" spans="2:7" hidden="1" x14ac:dyDescent="0.25">
      <c r="B141" s="227" t="str">
        <f>'Project-Level Data'!B109</f>
        <v>South WWTP - Injection to Las Flores Basin</v>
      </c>
      <c r="C141" s="804" t="str">
        <f>'Project-Level Data'!C109</f>
        <v>Potable Reuse</v>
      </c>
      <c r="D141" s="793"/>
      <c r="E141" s="393">
        <f>'Project-Level Data'!I109</f>
        <v>1</v>
      </c>
      <c r="F141" s="393">
        <f>'Project-Level Data'!K109</f>
        <v>2.5</v>
      </c>
      <c r="G141" s="399">
        <f>'Project-Level Data'!L109</f>
        <v>3</v>
      </c>
    </row>
    <row r="142" spans="2:7" hidden="1" x14ac:dyDescent="0.25">
      <c r="B142" s="227" t="str">
        <f>'Project-Level Data'!B110</f>
        <v>South WWTP - Injection to Santa Margarita Basin</v>
      </c>
      <c r="C142" s="804" t="str">
        <f>'Project-Level Data'!C110</f>
        <v>Potable Reuse</v>
      </c>
      <c r="D142" s="793"/>
      <c r="E142" s="393">
        <f>'Project-Level Data'!I110</f>
        <v>1</v>
      </c>
      <c r="F142" s="393">
        <f>'Project-Level Data'!K110</f>
        <v>2.5</v>
      </c>
      <c r="G142" s="399">
        <f>'Project-Level Data'!L110</f>
        <v>3</v>
      </c>
    </row>
    <row r="143" spans="2:7" hidden="1" x14ac:dyDescent="0.25">
      <c r="B143" s="227" t="str">
        <f>'Project-Level Data'!B111</f>
        <v>Spruce Street Channel Improvement Project</v>
      </c>
      <c r="C143" s="804" t="str">
        <f>'Project-Level Data'!C111</f>
        <v>Stormwater BMPs</v>
      </c>
      <c r="D143" s="793"/>
      <c r="E143" s="393">
        <f>'Project-Level Data'!I111</f>
        <v>3</v>
      </c>
      <c r="F143" s="393">
        <f>'Project-Level Data'!K111</f>
        <v>2.5</v>
      </c>
      <c r="G143" s="399">
        <f>'Project-Level Data'!L111</f>
        <v>3</v>
      </c>
    </row>
    <row r="144" spans="2:7" ht="38.25" hidden="1" x14ac:dyDescent="0.25">
      <c r="B144" s="227" t="str">
        <f>'Project-Level Data'!B112</f>
        <v>Storm water Capture off San Diego River along Alvarado Canyon and Fairmont Canyon to Fish and Wildlife site</v>
      </c>
      <c r="C144" s="804" t="str">
        <f>'Project-Level Data'!C112</f>
        <v>Stormwater BMPs</v>
      </c>
      <c r="D144" s="793"/>
      <c r="E144" s="393">
        <f>'Project-Level Data'!I112</f>
        <v>3</v>
      </c>
      <c r="F144" s="393">
        <f>'Project-Level Data'!K112</f>
        <v>1.5</v>
      </c>
      <c r="G144" s="399">
        <f>'Project-Level Data'!L112</f>
        <v>3</v>
      </c>
    </row>
    <row r="145" spans="2:7" ht="25.5" hidden="1" x14ac:dyDescent="0.25">
      <c r="B145" s="227" t="str">
        <f>'Project-Level Data'!B113</f>
        <v>Sustaining Healthy Tributaries to the Upper San Diego River and Protecting Local Water Supplies</v>
      </c>
      <c r="C145" s="804" t="str">
        <f>'Project-Level Data'!C113</f>
        <v>Watershed and Ecosystem Management</v>
      </c>
      <c r="D145" s="793"/>
      <c r="E145" s="393">
        <f>'Project-Level Data'!I113</f>
        <v>1</v>
      </c>
      <c r="F145" s="393">
        <f>'Project-Level Data'!K113</f>
        <v>3</v>
      </c>
      <c r="G145" s="399">
        <f>'Project-Level Data'!L113</f>
        <v>3</v>
      </c>
    </row>
    <row r="146" spans="2:7" hidden="1" x14ac:dyDescent="0.25">
      <c r="B146" s="227" t="str">
        <f>'Project-Level Data'!B114</f>
        <v>Sweetwater Rd Green Street</v>
      </c>
      <c r="C146" s="804" t="str">
        <f>'Project-Level Data'!C114</f>
        <v>Stormwater BMPs</v>
      </c>
      <c r="D146" s="793"/>
      <c r="E146" s="393">
        <f>'Project-Level Data'!I114</f>
        <v>3</v>
      </c>
      <c r="F146" s="393">
        <f>'Project-Level Data'!K114</f>
        <v>2.5</v>
      </c>
      <c r="G146" s="399">
        <f>'Project-Level Data'!L114</f>
        <v>3</v>
      </c>
    </row>
    <row r="147" spans="2:7" hidden="1" x14ac:dyDescent="0.25">
      <c r="B147" s="227" t="str">
        <f>'Project-Level Data'!B115</f>
        <v>Sweetwater Reservoir Wetlands Habitat Recovery</v>
      </c>
      <c r="C147" s="804" t="str">
        <f>'Project-Level Data'!C115</f>
        <v>Watershed and Ecosystem Management</v>
      </c>
      <c r="D147" s="793"/>
      <c r="E147" s="393">
        <f>'Project-Level Data'!I115</f>
        <v>3</v>
      </c>
      <c r="F147" s="393">
        <f>'Project-Level Data'!K115</f>
        <v>2.5</v>
      </c>
      <c r="G147" s="399">
        <f>'Project-Level Data'!L115</f>
        <v>3</v>
      </c>
    </row>
    <row r="148" spans="2:7" hidden="1" x14ac:dyDescent="0.25">
      <c r="B148" s="227" t="str">
        <f>'Project-Level Data'!B116</f>
        <v>Sweetwater River Park Bioretention</v>
      </c>
      <c r="C148" s="804" t="str">
        <f>'Project-Level Data'!C116</f>
        <v>Stormwater BMPs</v>
      </c>
      <c r="D148" s="793"/>
      <c r="E148" s="393">
        <f>'Project-Level Data'!I116</f>
        <v>3</v>
      </c>
      <c r="F148" s="393">
        <f>'Project-Level Data'!K116</f>
        <v>1.5</v>
      </c>
      <c r="G148" s="399">
        <f>'Project-Level Data'!L116</f>
        <v>3</v>
      </c>
    </row>
    <row r="149" spans="2:7" hidden="1" x14ac:dyDescent="0.25">
      <c r="B149" s="227" t="str">
        <f>'Project-Level Data'!B117</f>
        <v>Sycamore Creek Restoration</v>
      </c>
      <c r="C149" s="804" t="str">
        <f>'Project-Level Data'!C117</f>
        <v>Watershed and Ecosystem Management</v>
      </c>
      <c r="D149" s="793"/>
      <c r="E149" s="393">
        <f>'Project-Level Data'!I117</f>
        <v>1.5</v>
      </c>
      <c r="F149" s="393">
        <f>'Project-Level Data'!K117</f>
        <v>2.5</v>
      </c>
      <c r="G149" s="399">
        <f>'Project-Level Data'!L117</f>
        <v>3</v>
      </c>
    </row>
    <row r="150" spans="2:7" ht="25.5" hidden="1" x14ac:dyDescent="0.25">
      <c r="B150" s="227" t="str">
        <f>'Project-Level Data'!B118</f>
        <v>TBD - Evaluation Multiple Options/TBD - Supply/ Source Treatment Plant/Agency for recycled water</v>
      </c>
      <c r="C150" s="804" t="str">
        <f>'Project-Level Data'!C118</f>
        <v>Recycled Water</v>
      </c>
      <c r="D150" s="793"/>
      <c r="E150" s="393">
        <f>'Project-Level Data'!I118</f>
        <v>3</v>
      </c>
      <c r="F150" s="393">
        <f>'Project-Level Data'!K118</f>
        <v>2.5</v>
      </c>
      <c r="G150" s="399">
        <f>'Project-Level Data'!L118</f>
        <v>3</v>
      </c>
    </row>
    <row r="151" spans="2:7" hidden="1" x14ac:dyDescent="0.25">
      <c r="B151" s="227" t="str">
        <f>'Project-Level Data'!B119</f>
        <v>Telegraph Canyon Channel Improvement Project</v>
      </c>
      <c r="C151" s="804" t="str">
        <f>'Project-Level Data'!C119</f>
        <v>Stormwater BMPs</v>
      </c>
      <c r="D151" s="793"/>
      <c r="E151" s="393">
        <f>'Project-Level Data'!I119</f>
        <v>3</v>
      </c>
      <c r="F151" s="393">
        <f>'Project-Level Data'!K119</f>
        <v>1.5</v>
      </c>
      <c r="G151" s="399">
        <f>'Project-Level Data'!L119</f>
        <v>3</v>
      </c>
    </row>
    <row r="152" spans="2:7" hidden="1" x14ac:dyDescent="0.25">
      <c r="B152" s="227" t="str">
        <f>'Project-Level Data'!B120</f>
        <v>Tijuana River Floating Trash Capture System</v>
      </c>
      <c r="C152" s="804" t="str">
        <f>'Project-Level Data'!C120</f>
        <v>Watershed and Ecosystem Management</v>
      </c>
      <c r="D152" s="793"/>
      <c r="E152" s="393">
        <f>'Project-Level Data'!I120</f>
        <v>2</v>
      </c>
      <c r="F152" s="393">
        <f>'Project-Level Data'!K120</f>
        <v>1.5</v>
      </c>
      <c r="G152" s="399">
        <f>'Project-Level Data'!L120</f>
        <v>3</v>
      </c>
    </row>
    <row r="153" spans="2:7" ht="25.5" hidden="1" x14ac:dyDescent="0.25">
      <c r="B153" s="227" t="str">
        <f>'Project-Level Data'!B121</f>
        <v>UC San Diego Water Conservation and Watershed Protection</v>
      </c>
      <c r="C153" s="804" t="str">
        <f>'Project-Level Data'!C121</f>
        <v>Urban and Agricultural Water Use Efficiency</v>
      </c>
      <c r="D153" s="793"/>
      <c r="E153" s="393">
        <f>'Project-Level Data'!I121</f>
        <v>3</v>
      </c>
      <c r="F153" s="393">
        <f>'Project-Level Data'!K121</f>
        <v>2.5</v>
      </c>
      <c r="G153" s="399">
        <f>'Project-Level Data'!L121</f>
        <v>3</v>
      </c>
    </row>
    <row r="154" spans="2:7" hidden="1" x14ac:dyDescent="0.25">
      <c r="B154" s="227" t="str">
        <f>'Project-Level Data'!B122</f>
        <v>Village Park Recycled Water Expansion Project</v>
      </c>
      <c r="C154" s="804" t="str">
        <f>'Project-Level Data'!C122</f>
        <v>Recycled Water</v>
      </c>
      <c r="D154" s="793"/>
      <c r="E154" s="393">
        <f>'Project-Level Data'!I122</f>
        <v>2</v>
      </c>
      <c r="F154" s="393">
        <f>'Project-Level Data'!K122</f>
        <v>2.5</v>
      </c>
      <c r="G154" s="399">
        <f>'Project-Level Data'!L122</f>
        <v>3</v>
      </c>
    </row>
    <row r="155" spans="2:7" hidden="1" x14ac:dyDescent="0.25">
      <c r="B155" s="227" t="str">
        <f>'Project-Level Data'!B123</f>
        <v>W+157:181RP/Recycled Water Distribution System</v>
      </c>
      <c r="C155" s="804" t="str">
        <f>'Project-Level Data'!C123</f>
        <v>Recycled Water</v>
      </c>
      <c r="D155" s="793"/>
      <c r="E155" s="393">
        <f>'Project-Level Data'!I123</f>
        <v>1.5</v>
      </c>
      <c r="F155" s="393">
        <f>'Project-Level Data'!K123</f>
        <v>1.5</v>
      </c>
      <c r="G155" s="399">
        <f>'Project-Level Data'!L123</f>
        <v>3</v>
      </c>
    </row>
    <row r="156" spans="2:7" hidden="1" x14ac:dyDescent="0.25">
      <c r="B156" s="227" t="str">
        <f>'Project-Level Data'!B124</f>
        <v>Welk WRF</v>
      </c>
      <c r="C156" s="804" t="str">
        <f>'Project-Level Data'!C124</f>
        <v>Recycled Water</v>
      </c>
      <c r="D156" s="793"/>
      <c r="E156" s="393">
        <f>'Project-Level Data'!I124</f>
        <v>1</v>
      </c>
      <c r="F156" s="393">
        <f>'Project-Level Data'!K124</f>
        <v>1.5</v>
      </c>
      <c r="G156" s="399">
        <f>'Project-Level Data'!L124</f>
        <v>3</v>
      </c>
    </row>
    <row r="157" spans="2:7" hidden="1" x14ac:dyDescent="0.25">
      <c r="B157" s="227" t="str">
        <f>'Project-Level Data'!B125</f>
        <v>Woods Valley Ranch WRF Phase 3</v>
      </c>
      <c r="C157" s="804" t="str">
        <f>'Project-Level Data'!C125</f>
        <v>Recycled Water</v>
      </c>
      <c r="D157" s="793"/>
      <c r="E157" s="393">
        <f>'Project-Level Data'!I125</f>
        <v>1</v>
      </c>
      <c r="F157" s="393">
        <f>'Project-Level Data'!K125</f>
        <v>2.5</v>
      </c>
      <c r="G157" s="399">
        <f>'Project-Level Data'!L125</f>
        <v>3</v>
      </c>
    </row>
    <row r="158" spans="2:7" ht="15.75" hidden="1" thickBot="1" x14ac:dyDescent="0.3">
      <c r="B158" s="508" t="str">
        <f>'Project-Level Data'!B126</f>
        <v>Woodside Avenue Complete Green Street</v>
      </c>
      <c r="C158" s="802" t="str">
        <f>'Project-Level Data'!C126</f>
        <v>Stormwater BMPs</v>
      </c>
      <c r="D158" s="803"/>
      <c r="E158" s="518">
        <f>'Project-Level Data'!I126</f>
        <v>3</v>
      </c>
      <c r="F158" s="518">
        <f>'Project-Level Data'!K126</f>
        <v>2.5</v>
      </c>
      <c r="G158" s="519">
        <f>'Project-Level Data'!L126</f>
        <v>3</v>
      </c>
    </row>
    <row r="159" spans="2:7" hidden="1" x14ac:dyDescent="0.25">
      <c r="B159" s="370"/>
      <c r="C159" s="515" t="s">
        <v>855</v>
      </c>
      <c r="D159" s="512"/>
      <c r="E159" s="520">
        <f>COUNTIFS(E39:E158, "=MISSING")</f>
        <v>0</v>
      </c>
      <c r="F159" s="520">
        <f t="shared" ref="F159:G159" si="23">COUNTIFS(F39:F158, "=MISSING")</f>
        <v>0</v>
      </c>
      <c r="G159" s="521">
        <f t="shared" si="23"/>
        <v>0</v>
      </c>
    </row>
    <row r="160" spans="2:7" hidden="1" x14ac:dyDescent="0.25">
      <c r="B160" s="227"/>
      <c r="C160" s="516" t="s">
        <v>857</v>
      </c>
      <c r="D160" s="480"/>
      <c r="E160" s="393">
        <f>COUNTIFS(E39:E158, "=Not Mapped")</f>
        <v>9</v>
      </c>
      <c r="F160" s="393">
        <f t="shared" ref="F160:G160" si="24">COUNTIFS(F39:F158, "=Not Mapped")</f>
        <v>9</v>
      </c>
      <c r="G160" s="399">
        <f t="shared" si="24"/>
        <v>9</v>
      </c>
    </row>
    <row r="161" spans="2:7" hidden="1" x14ac:dyDescent="0.25">
      <c r="B161" s="227"/>
      <c r="C161" s="516" t="s">
        <v>858</v>
      </c>
      <c r="D161" s="480"/>
      <c r="E161" s="393">
        <f>COUNTIFS(E39:E158, "=REMOVED")</f>
        <v>0</v>
      </c>
      <c r="F161" s="393">
        <f t="shared" ref="F161:G161" si="25">COUNTIFS(F39:F158, "=REMOVED")</f>
        <v>0</v>
      </c>
      <c r="G161" s="399">
        <f t="shared" si="25"/>
        <v>0</v>
      </c>
    </row>
    <row r="162" spans="2:7" ht="15.75" hidden="1" thickBot="1" x14ac:dyDescent="0.3">
      <c r="B162" s="328"/>
      <c r="C162" s="517" t="s">
        <v>859</v>
      </c>
      <c r="D162" s="478"/>
      <c r="E162" s="394">
        <f>COUNTIFS(E39:E158, "&gt;0")</f>
        <v>111</v>
      </c>
      <c r="F162" s="394">
        <f t="shared" ref="F162:G162" si="26">COUNTIFS(F39:F158, "&gt;0")</f>
        <v>111</v>
      </c>
      <c r="G162" s="400">
        <f t="shared" si="26"/>
        <v>111</v>
      </c>
    </row>
  </sheetData>
  <sheetProtection algorithmName="SHA-512" hashValue="WnGZTUYxstzSBUvea4QU0BfZ/oULz/jCl8nQ2G2CXM2V8CSAH0F1UYfgaEknlOdhckTYeACpy4IAISJV/NYV0g==" saltValue="GJ8LNkVlYwuth+bSegW1uA==" spinCount="100000" sheet="1" objects="1" scenarios="1"/>
  <mergeCells count="121">
    <mergeCell ref="C62:D62"/>
    <mergeCell ref="C39:D39"/>
    <mergeCell ref="C40:D40"/>
    <mergeCell ref="C41:D41"/>
    <mergeCell ref="C42:D42"/>
    <mergeCell ref="C43:D43"/>
    <mergeCell ref="C50:D50"/>
    <mergeCell ref="C51:D51"/>
    <mergeCell ref="C52:D52"/>
    <mergeCell ref="C53:D53"/>
    <mergeCell ref="C56:D56"/>
    <mergeCell ref="C57:D57"/>
    <mergeCell ref="C58:D58"/>
    <mergeCell ref="C59:D59"/>
    <mergeCell ref="C60:D60"/>
    <mergeCell ref="C61:D61"/>
    <mergeCell ref="C54:D54"/>
    <mergeCell ref="C55:D55"/>
    <mergeCell ref="C44:D44"/>
    <mergeCell ref="C45:D45"/>
    <mergeCell ref="C46:D46"/>
    <mergeCell ref="C47:D47"/>
    <mergeCell ref="C48:D48"/>
    <mergeCell ref="C49:D49"/>
    <mergeCell ref="C68:D68"/>
    <mergeCell ref="C69:D69"/>
    <mergeCell ref="C70:D70"/>
    <mergeCell ref="C71:D71"/>
    <mergeCell ref="C72:D72"/>
    <mergeCell ref="C73:D73"/>
    <mergeCell ref="C63:D63"/>
    <mergeCell ref="C64:D64"/>
    <mergeCell ref="C65:D65"/>
    <mergeCell ref="C66:D66"/>
    <mergeCell ref="C67:D67"/>
    <mergeCell ref="C80:D80"/>
    <mergeCell ref="C81:D81"/>
    <mergeCell ref="C82:D82"/>
    <mergeCell ref="C83:D83"/>
    <mergeCell ref="C84:D84"/>
    <mergeCell ref="C85:D85"/>
    <mergeCell ref="C74:D74"/>
    <mergeCell ref="C75:D75"/>
    <mergeCell ref="C76:D76"/>
    <mergeCell ref="C77:D77"/>
    <mergeCell ref="C78:D78"/>
    <mergeCell ref="C79:D79"/>
    <mergeCell ref="C92:D92"/>
    <mergeCell ref="C93:D93"/>
    <mergeCell ref="C94:D94"/>
    <mergeCell ref="C95:D95"/>
    <mergeCell ref="C96:D96"/>
    <mergeCell ref="C97:D97"/>
    <mergeCell ref="C86:D86"/>
    <mergeCell ref="C87:D87"/>
    <mergeCell ref="C88:D88"/>
    <mergeCell ref="C89:D89"/>
    <mergeCell ref="C90:D90"/>
    <mergeCell ref="C91:D91"/>
    <mergeCell ref="C104:D104"/>
    <mergeCell ref="C105:D105"/>
    <mergeCell ref="C106:D106"/>
    <mergeCell ref="C107:D107"/>
    <mergeCell ref="C108:D108"/>
    <mergeCell ref="C109:D109"/>
    <mergeCell ref="C98:D98"/>
    <mergeCell ref="C99:D99"/>
    <mergeCell ref="C100:D100"/>
    <mergeCell ref="C101:D101"/>
    <mergeCell ref="C102:D102"/>
    <mergeCell ref="C103:D103"/>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B37:B38"/>
    <mergeCell ref="C158:D158"/>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s>
  <pageMargins left="0.7" right="0.7" top="0.75" bottom="0.75" header="0.3" footer="0.3"/>
  <pageSetup paperSize="3" scale="44" orientation="landscape" r:id="rId1"/>
  <headerFooter>
    <oddHeade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8"/>
    <pageSetUpPr fitToPage="1"/>
  </sheetPr>
  <dimension ref="A1:L436"/>
  <sheetViews>
    <sheetView showGridLines="0" topLeftCell="A27" zoomScale="80" zoomScaleNormal="80" workbookViewId="0">
      <selection activeCell="F25" sqref="F1:P1048576"/>
    </sheetView>
  </sheetViews>
  <sheetFormatPr defaultRowHeight="15" x14ac:dyDescent="0.25"/>
  <cols>
    <col min="1" max="1" width="5.7109375" customWidth="1"/>
    <col min="2" max="2" width="45.7109375" customWidth="1"/>
    <col min="3" max="7" width="20.7109375" customWidth="1"/>
    <col min="8" max="8" width="20.7109375" hidden="1" customWidth="1"/>
    <col min="9" max="9" width="20.7109375" customWidth="1"/>
    <col min="11" max="11" width="2.5703125" style="49" customWidth="1"/>
    <col min="12" max="12" width="5.5703125" customWidth="1"/>
  </cols>
  <sheetData>
    <row r="1" spans="1:12" s="96" customFormat="1" ht="15.75" x14ac:dyDescent="0.25">
      <c r="A1" s="56" t="s">
        <v>243</v>
      </c>
    </row>
    <row r="2" spans="1:12" s="96" customFormat="1" ht="26.25" x14ac:dyDescent="0.4">
      <c r="A2" s="112" t="s">
        <v>109</v>
      </c>
    </row>
    <row r="3" spans="1:12" s="49" customFormat="1" ht="14.25" customHeight="1" x14ac:dyDescent="0.5">
      <c r="B3" s="797"/>
      <c r="C3" s="797"/>
      <c r="D3" s="797"/>
      <c r="E3" s="797"/>
      <c r="F3" s="797"/>
      <c r="G3" s="797"/>
      <c r="H3" s="797"/>
      <c r="I3" s="797"/>
      <c r="J3" s="797"/>
    </row>
    <row r="4" spans="1:12" s="10" customFormat="1" ht="18" customHeight="1" x14ac:dyDescent="0.3">
      <c r="A4" s="47" t="s">
        <v>961</v>
      </c>
      <c r="C4" s="4"/>
      <c r="D4" s="46"/>
      <c r="E4" s="46"/>
      <c r="F4" s="46"/>
      <c r="G4" s="46"/>
      <c r="H4" s="46"/>
      <c r="I4" s="46"/>
      <c r="J4" s="46"/>
      <c r="K4" s="50"/>
      <c r="L4" s="45" t="s">
        <v>120</v>
      </c>
    </row>
    <row r="5" spans="1:12" s="10" customFormat="1" x14ac:dyDescent="0.25">
      <c r="B5" s="46"/>
      <c r="C5" s="46"/>
      <c r="D5" s="46"/>
      <c r="E5" s="46"/>
      <c r="F5" s="46"/>
      <c r="G5" s="46"/>
      <c r="H5" s="46"/>
      <c r="I5" s="46"/>
      <c r="J5" s="46"/>
      <c r="K5" s="50"/>
    </row>
    <row r="6" spans="1:12" s="10" customFormat="1" ht="15.75" thickBot="1" x14ac:dyDescent="0.3">
      <c r="B6" s="46" t="s">
        <v>967</v>
      </c>
      <c r="C6" s="46"/>
      <c r="D6" s="46"/>
      <c r="E6" s="46"/>
      <c r="F6" s="46"/>
      <c r="G6" s="46"/>
      <c r="H6" s="46"/>
      <c r="I6" s="46"/>
      <c r="J6" s="46"/>
      <c r="K6" s="50"/>
    </row>
    <row r="7" spans="1:12" s="10" customFormat="1" ht="60" x14ac:dyDescent="0.25">
      <c r="B7" s="27" t="s">
        <v>6</v>
      </c>
      <c r="C7" s="412" t="s">
        <v>149</v>
      </c>
      <c r="D7" s="412" t="s">
        <v>150</v>
      </c>
      <c r="E7" s="412" t="s">
        <v>811</v>
      </c>
      <c r="F7" s="412" t="s">
        <v>182</v>
      </c>
      <c r="G7" s="412" t="s">
        <v>183</v>
      </c>
      <c r="H7" s="412" t="s">
        <v>128</v>
      </c>
      <c r="I7" s="297" t="s">
        <v>151</v>
      </c>
      <c r="J7" s="14"/>
      <c r="K7" s="50"/>
    </row>
    <row r="8" spans="1:12" s="10" customFormat="1" x14ac:dyDescent="0.25">
      <c r="B8" s="19" t="s">
        <v>7</v>
      </c>
      <c r="C8" s="63">
        <f t="shared" ref="C8:C19" si="0">IFERROR(AVERAGEIFS($E$82:$E$201,$C$82:$C$201,"="&amp;B8), "NA")</f>
        <v>2.3333333333333335</v>
      </c>
      <c r="D8" s="63">
        <f t="shared" ref="D8:D19" si="1">IFERROR(AVERAGEIFS($E$209:$E$432,$C$209:$C$432,"="&amp;B8), "NA")</f>
        <v>1.625</v>
      </c>
      <c r="E8" s="38">
        <f>IFERROR(ABS(D8-C8), "NA")</f>
        <v>0.70833333333333348</v>
      </c>
      <c r="F8" s="35">
        <f t="shared" ref="F8:F19" si="2">COUNTIFS($C$82:$C$205, "="&amp;B8,$E$82:$E$205,"&gt;=0")</f>
        <v>6</v>
      </c>
      <c r="G8" s="35">
        <f t="shared" ref="G8:G19" si="3">COUNTIFS($E$209:$E$432, "&gt;=0", $C$209:$C$432, "="&amp;B8)</f>
        <v>16</v>
      </c>
      <c r="H8" s="116" t="s">
        <v>126</v>
      </c>
      <c r="I8" s="39">
        <f t="shared" ref="I8:I19" si="4">IF(AND(ISNUMBER(C8),ISNUMBER(D8)),IF(H8="Average All",((F8*C8)+(G8*D8))/(F8+G8),AVERAGE(C8:D8)), IF(AND(C8="NA", ISNUMBER(D8)), D8, "NA"))</f>
        <v>1.9791666666666667</v>
      </c>
      <c r="J8"/>
      <c r="K8" s="50"/>
      <c r="L8" s="9"/>
    </row>
    <row r="9" spans="1:12" s="10" customFormat="1" ht="18" customHeight="1" x14ac:dyDescent="0.25">
      <c r="B9" s="19" t="s">
        <v>34</v>
      </c>
      <c r="C9" s="63" t="str">
        <f t="shared" si="0"/>
        <v>NA</v>
      </c>
      <c r="D9" s="63" t="str">
        <f t="shared" si="1"/>
        <v>NA</v>
      </c>
      <c r="E9" s="38" t="str">
        <f t="shared" ref="E9:E19" si="5">IFERROR(ABS(D9-C9), "NA")</f>
        <v>NA</v>
      </c>
      <c r="F9" s="35">
        <f t="shared" si="2"/>
        <v>0</v>
      </c>
      <c r="G9" s="35">
        <f t="shared" si="3"/>
        <v>0</v>
      </c>
      <c r="H9" s="116" t="s">
        <v>125</v>
      </c>
      <c r="I9" s="39" t="str">
        <f t="shared" si="4"/>
        <v>NA</v>
      </c>
      <c r="J9"/>
      <c r="K9" s="50"/>
    </row>
    <row r="10" spans="1:12" s="10" customFormat="1" x14ac:dyDescent="0.25">
      <c r="B10" s="19" t="s">
        <v>8</v>
      </c>
      <c r="C10" s="63">
        <f t="shared" si="0"/>
        <v>5</v>
      </c>
      <c r="D10" s="63">
        <f t="shared" si="1"/>
        <v>3.75</v>
      </c>
      <c r="E10" s="38">
        <f t="shared" si="5"/>
        <v>1.25</v>
      </c>
      <c r="F10" s="35">
        <f t="shared" si="2"/>
        <v>1</v>
      </c>
      <c r="G10" s="35">
        <f t="shared" si="3"/>
        <v>16</v>
      </c>
      <c r="H10" s="116" t="s">
        <v>125</v>
      </c>
      <c r="I10" s="39">
        <f t="shared" si="4"/>
        <v>3.8235294117647061</v>
      </c>
      <c r="J10"/>
      <c r="K10" s="50"/>
    </row>
    <row r="11" spans="1:12" s="10" customFormat="1" x14ac:dyDescent="0.25">
      <c r="B11" s="19" t="s">
        <v>9</v>
      </c>
      <c r="C11" s="63">
        <f t="shared" si="0"/>
        <v>1.5</v>
      </c>
      <c r="D11" s="63">
        <f t="shared" si="1"/>
        <v>2</v>
      </c>
      <c r="E11" s="38">
        <f t="shared" si="5"/>
        <v>0.5</v>
      </c>
      <c r="F11" s="35">
        <f t="shared" si="2"/>
        <v>8</v>
      </c>
      <c r="G11" s="35">
        <f t="shared" si="3"/>
        <v>16</v>
      </c>
      <c r="H11" s="116" t="s">
        <v>126</v>
      </c>
      <c r="I11" s="39">
        <f t="shared" si="4"/>
        <v>1.75</v>
      </c>
      <c r="J11"/>
      <c r="K11" s="50"/>
    </row>
    <row r="12" spans="1:12" s="14" customFormat="1" x14ac:dyDescent="0.25">
      <c r="A12"/>
      <c r="B12" s="19" t="s">
        <v>10</v>
      </c>
      <c r="C12" s="63">
        <f t="shared" si="0"/>
        <v>3</v>
      </c>
      <c r="D12" s="63">
        <f t="shared" si="1"/>
        <v>3</v>
      </c>
      <c r="E12" s="38">
        <f t="shared" si="5"/>
        <v>0</v>
      </c>
      <c r="F12" s="35">
        <f t="shared" si="2"/>
        <v>1</v>
      </c>
      <c r="G12" s="35">
        <f t="shared" si="3"/>
        <v>16</v>
      </c>
      <c r="H12" s="116" t="s">
        <v>125</v>
      </c>
      <c r="I12" s="39">
        <f t="shared" si="4"/>
        <v>3</v>
      </c>
      <c r="J12"/>
      <c r="K12" s="50"/>
    </row>
    <row r="13" spans="1:12" x14ac:dyDescent="0.25">
      <c r="A13" s="16"/>
      <c r="B13" s="19" t="s">
        <v>11</v>
      </c>
      <c r="C13" s="63">
        <f t="shared" si="0"/>
        <v>1</v>
      </c>
      <c r="D13" s="63">
        <f t="shared" si="1"/>
        <v>1.375</v>
      </c>
      <c r="E13" s="38">
        <f t="shared" si="5"/>
        <v>0.375</v>
      </c>
      <c r="F13" s="35">
        <f t="shared" si="2"/>
        <v>10</v>
      </c>
      <c r="G13" s="35">
        <f t="shared" si="3"/>
        <v>16</v>
      </c>
      <c r="H13" s="116" t="s">
        <v>126</v>
      </c>
      <c r="I13" s="39">
        <f t="shared" si="4"/>
        <v>1.1875</v>
      </c>
      <c r="K13" s="50"/>
    </row>
    <row r="14" spans="1:12" x14ac:dyDescent="0.25">
      <c r="B14" s="19" t="s">
        <v>12</v>
      </c>
      <c r="C14" s="63">
        <f t="shared" si="0"/>
        <v>2.375</v>
      </c>
      <c r="D14" s="63">
        <f t="shared" si="1"/>
        <v>1.875</v>
      </c>
      <c r="E14" s="38">
        <f t="shared" si="5"/>
        <v>0.5</v>
      </c>
      <c r="F14" s="35">
        <f t="shared" si="2"/>
        <v>16</v>
      </c>
      <c r="G14" s="35">
        <f t="shared" si="3"/>
        <v>16</v>
      </c>
      <c r="H14" s="116" t="s">
        <v>126</v>
      </c>
      <c r="I14" s="39">
        <f t="shared" si="4"/>
        <v>2.125</v>
      </c>
      <c r="K14" s="51"/>
    </row>
    <row r="15" spans="1:12" x14ac:dyDescent="0.25">
      <c r="B15" s="19" t="s">
        <v>13</v>
      </c>
      <c r="C15" s="63">
        <f t="shared" si="0"/>
        <v>2</v>
      </c>
      <c r="D15" s="63">
        <f t="shared" si="1"/>
        <v>1.25</v>
      </c>
      <c r="E15" s="38">
        <f t="shared" si="5"/>
        <v>0.75</v>
      </c>
      <c r="F15" s="35">
        <f t="shared" si="2"/>
        <v>2</v>
      </c>
      <c r="G15" s="35">
        <f t="shared" si="3"/>
        <v>16</v>
      </c>
      <c r="H15" s="116" t="s">
        <v>125</v>
      </c>
      <c r="I15" s="39">
        <f t="shared" si="4"/>
        <v>1.3333333333333333</v>
      </c>
    </row>
    <row r="16" spans="1:12" x14ac:dyDescent="0.25">
      <c r="B16" s="19" t="s">
        <v>14</v>
      </c>
      <c r="C16" s="63">
        <f t="shared" si="0"/>
        <v>2.2000000000000002</v>
      </c>
      <c r="D16" s="63">
        <f t="shared" si="1"/>
        <v>3.375</v>
      </c>
      <c r="E16" s="38">
        <f t="shared" si="5"/>
        <v>1.1749999999999998</v>
      </c>
      <c r="F16" s="35">
        <f t="shared" si="2"/>
        <v>20</v>
      </c>
      <c r="G16" s="35">
        <f t="shared" si="3"/>
        <v>16</v>
      </c>
      <c r="H16" s="116" t="s">
        <v>126</v>
      </c>
      <c r="I16" s="39">
        <f t="shared" si="4"/>
        <v>2.7875000000000001</v>
      </c>
      <c r="K16" s="52"/>
    </row>
    <row r="17" spans="1:11" x14ac:dyDescent="0.25">
      <c r="B17" s="19" t="s">
        <v>15</v>
      </c>
      <c r="C17" s="63">
        <f t="shared" si="0"/>
        <v>4</v>
      </c>
      <c r="D17" s="63">
        <f t="shared" si="1"/>
        <v>2</v>
      </c>
      <c r="E17" s="38">
        <f t="shared" si="5"/>
        <v>2</v>
      </c>
      <c r="F17" s="35">
        <f t="shared" si="2"/>
        <v>2</v>
      </c>
      <c r="G17" s="35">
        <f t="shared" si="3"/>
        <v>16</v>
      </c>
      <c r="H17" s="116" t="s">
        <v>125</v>
      </c>
      <c r="I17" s="39">
        <f t="shared" si="4"/>
        <v>2.2222222222222223</v>
      </c>
    </row>
    <row r="18" spans="1:11" x14ac:dyDescent="0.25">
      <c r="B18" s="19" t="s">
        <v>16</v>
      </c>
      <c r="C18" s="63">
        <f t="shared" si="0"/>
        <v>4.2</v>
      </c>
      <c r="D18" s="63">
        <f t="shared" si="1"/>
        <v>4.125</v>
      </c>
      <c r="E18" s="38">
        <f t="shared" si="5"/>
        <v>7.5000000000000178E-2</v>
      </c>
      <c r="F18" s="35">
        <f t="shared" si="2"/>
        <v>5</v>
      </c>
      <c r="G18" s="35">
        <f t="shared" si="3"/>
        <v>16</v>
      </c>
      <c r="H18" s="116" t="s">
        <v>126</v>
      </c>
      <c r="I18" s="39">
        <f t="shared" si="4"/>
        <v>4.1624999999999996</v>
      </c>
      <c r="K18" s="52"/>
    </row>
    <row r="19" spans="1:11" ht="15.75" thickBot="1" x14ac:dyDescent="0.3">
      <c r="B19" s="20" t="s">
        <v>17</v>
      </c>
      <c r="C19" s="64">
        <f t="shared" si="0"/>
        <v>2.2857142857142856</v>
      </c>
      <c r="D19" s="64">
        <f t="shared" si="1"/>
        <v>3.375</v>
      </c>
      <c r="E19" s="41">
        <f t="shared" si="5"/>
        <v>1.0892857142857144</v>
      </c>
      <c r="F19" s="36">
        <f t="shared" si="2"/>
        <v>14</v>
      </c>
      <c r="G19" s="36">
        <f t="shared" si="3"/>
        <v>16</v>
      </c>
      <c r="H19" s="117" t="s">
        <v>126</v>
      </c>
      <c r="I19" s="42">
        <f t="shared" si="4"/>
        <v>2.8303571428571428</v>
      </c>
    </row>
    <row r="20" spans="1:11" x14ac:dyDescent="0.25">
      <c r="B20" s="26"/>
      <c r="C20" s="74"/>
      <c r="D20" s="74"/>
      <c r="F20" s="26"/>
    </row>
    <row r="21" spans="1:11" ht="15.75" thickBot="1" x14ac:dyDescent="0.3">
      <c r="B21" s="110" t="s">
        <v>968</v>
      </c>
      <c r="C21" s="74"/>
      <c r="D21" s="74"/>
      <c r="F21" s="26"/>
      <c r="K21" s="52"/>
    </row>
    <row r="22" spans="1:11" ht="60" x14ac:dyDescent="0.25">
      <c r="B22" s="27" t="s">
        <v>6</v>
      </c>
      <c r="C22" s="33" t="s">
        <v>146</v>
      </c>
      <c r="D22" s="33" t="s">
        <v>147</v>
      </c>
      <c r="E22" s="412" t="s">
        <v>811</v>
      </c>
      <c r="F22" s="33" t="s">
        <v>182</v>
      </c>
      <c r="G22" s="33" t="s">
        <v>183</v>
      </c>
      <c r="H22" s="33" t="s">
        <v>128</v>
      </c>
      <c r="I22" s="34" t="s">
        <v>148</v>
      </c>
      <c r="J22" s="14"/>
      <c r="K22" s="52"/>
    </row>
    <row r="23" spans="1:11" x14ac:dyDescent="0.25">
      <c r="B23" s="19" t="s">
        <v>7</v>
      </c>
      <c r="C23" s="63">
        <f>IFERROR(AVERAGEIFS($F$82:$F$201,$C$82:$C$201,"="&amp;B23), "NA")</f>
        <v>3.8</v>
      </c>
      <c r="D23" s="63">
        <f t="shared" ref="D23:D34" si="6">IFERROR(AVERAGEIFS($F$209:$F$432,$C$209:$C$432,"="&amp;B23), "NA")</f>
        <v>2.8666666666666667</v>
      </c>
      <c r="E23" s="38">
        <f>IFERROR(ABS(D23-C23), "NA")</f>
        <v>0.93333333333333313</v>
      </c>
      <c r="F23" s="35">
        <f t="shared" ref="F23:F34" si="7">COUNTIFS($C$82:$C$205, "="&amp;B23,$F$82:$F$205,"&gt;=0")</f>
        <v>5</v>
      </c>
      <c r="G23" s="35">
        <f t="shared" ref="G23:G34" si="8">COUNTIFS($F$209:$F$432, "&gt;=0", $C$209:$C$432, "="&amp;B23)</f>
        <v>15</v>
      </c>
      <c r="H23" s="116" t="s">
        <v>126</v>
      </c>
      <c r="I23" s="39">
        <f t="shared" ref="I23:I34" si="9">IF(AND(ISNUMBER(C23),ISNUMBER(D23)),IF(H23="Average All",((F23*C23)+(G23*D23))/(F23+G23),AVERAGE(C23:D23)), IF(AND(C23="NA", ISNUMBER(D23)), D23, "NA"))</f>
        <v>3.333333333333333</v>
      </c>
    </row>
    <row r="24" spans="1:11" x14ac:dyDescent="0.25">
      <c r="B24" s="19" t="s">
        <v>34</v>
      </c>
      <c r="C24" s="63" t="str">
        <f t="shared" ref="C24:C34" si="10">IFERROR(AVERAGEIFS($F$82:$F$201,$C$82:$C$201,"="&amp;B24), "NA")</f>
        <v>NA</v>
      </c>
      <c r="D24" s="63" t="str">
        <f t="shared" si="6"/>
        <v>NA</v>
      </c>
      <c r="E24" s="38" t="str">
        <f t="shared" ref="E24:E34" si="11">IFERROR(ABS(D24-C24), "NA")</f>
        <v>NA</v>
      </c>
      <c r="F24" s="35">
        <f t="shared" si="7"/>
        <v>0</v>
      </c>
      <c r="G24" s="35">
        <f t="shared" si="8"/>
        <v>0</v>
      </c>
      <c r="H24" s="116" t="s">
        <v>125</v>
      </c>
      <c r="I24" s="39" t="str">
        <f t="shared" si="9"/>
        <v>NA</v>
      </c>
    </row>
    <row r="25" spans="1:11" x14ac:dyDescent="0.25">
      <c r="B25" s="19" t="s">
        <v>8</v>
      </c>
      <c r="C25" s="63">
        <f t="shared" si="10"/>
        <v>5</v>
      </c>
      <c r="D25" s="63">
        <f t="shared" si="6"/>
        <v>4.125</v>
      </c>
      <c r="E25" s="38">
        <f t="shared" si="11"/>
        <v>0.875</v>
      </c>
      <c r="F25" s="35">
        <f t="shared" si="7"/>
        <v>1</v>
      </c>
      <c r="G25" s="35">
        <f t="shared" si="8"/>
        <v>16</v>
      </c>
      <c r="H25" s="116" t="s">
        <v>125</v>
      </c>
      <c r="I25" s="39">
        <f t="shared" si="9"/>
        <v>4.1764705882352944</v>
      </c>
    </row>
    <row r="26" spans="1:11" x14ac:dyDescent="0.25">
      <c r="B26" s="19" t="s">
        <v>9</v>
      </c>
      <c r="C26" s="63">
        <f t="shared" si="10"/>
        <v>1.8571428571428572</v>
      </c>
      <c r="D26" s="63">
        <f t="shared" si="6"/>
        <v>2</v>
      </c>
      <c r="E26" s="38">
        <f t="shared" si="11"/>
        <v>0.14285714285714279</v>
      </c>
      <c r="F26" s="35">
        <f t="shared" si="7"/>
        <v>7</v>
      </c>
      <c r="G26" s="35">
        <f t="shared" si="8"/>
        <v>16</v>
      </c>
      <c r="H26" s="116" t="s">
        <v>126</v>
      </c>
      <c r="I26" s="39">
        <f t="shared" si="9"/>
        <v>1.9285714285714286</v>
      </c>
    </row>
    <row r="27" spans="1:11" s="14" customFormat="1" x14ac:dyDescent="0.25">
      <c r="A27"/>
      <c r="B27" s="19" t="s">
        <v>10</v>
      </c>
      <c r="C27" s="63">
        <f t="shared" si="10"/>
        <v>3</v>
      </c>
      <c r="D27" s="63">
        <f t="shared" si="6"/>
        <v>3.25</v>
      </c>
      <c r="E27" s="38">
        <f t="shared" si="11"/>
        <v>0.25</v>
      </c>
      <c r="F27" s="35">
        <f t="shared" si="7"/>
        <v>1</v>
      </c>
      <c r="G27" s="35">
        <f t="shared" si="8"/>
        <v>16</v>
      </c>
      <c r="H27" s="116" t="s">
        <v>125</v>
      </c>
      <c r="I27" s="39">
        <f t="shared" si="9"/>
        <v>3.2352941176470589</v>
      </c>
      <c r="J27"/>
      <c r="K27" s="49"/>
    </row>
    <row r="28" spans="1:11" x14ac:dyDescent="0.25">
      <c r="B28" s="19" t="s">
        <v>11</v>
      </c>
      <c r="C28" s="63">
        <f t="shared" si="10"/>
        <v>2.4</v>
      </c>
      <c r="D28" s="63">
        <f t="shared" si="6"/>
        <v>1.875</v>
      </c>
      <c r="E28" s="38">
        <f t="shared" si="11"/>
        <v>0.52499999999999991</v>
      </c>
      <c r="F28" s="35">
        <f t="shared" si="7"/>
        <v>10</v>
      </c>
      <c r="G28" s="35">
        <f t="shared" si="8"/>
        <v>16</v>
      </c>
      <c r="H28" s="116" t="s">
        <v>126</v>
      </c>
      <c r="I28" s="39">
        <f t="shared" si="9"/>
        <v>2.1375000000000002</v>
      </c>
    </row>
    <row r="29" spans="1:11" x14ac:dyDescent="0.25">
      <c r="B29" s="19" t="s">
        <v>12</v>
      </c>
      <c r="C29" s="63">
        <f t="shared" si="10"/>
        <v>3.75</v>
      </c>
      <c r="D29" s="63">
        <f t="shared" si="6"/>
        <v>2.25</v>
      </c>
      <c r="E29" s="38">
        <f t="shared" si="11"/>
        <v>1.5</v>
      </c>
      <c r="F29" s="35">
        <f t="shared" si="7"/>
        <v>16</v>
      </c>
      <c r="G29" s="35">
        <f t="shared" si="8"/>
        <v>16</v>
      </c>
      <c r="H29" s="116" t="s">
        <v>126</v>
      </c>
      <c r="I29" s="39">
        <f t="shared" si="9"/>
        <v>3</v>
      </c>
    </row>
    <row r="30" spans="1:11" x14ac:dyDescent="0.25">
      <c r="B30" s="19" t="s">
        <v>13</v>
      </c>
      <c r="C30" s="63">
        <f t="shared" si="10"/>
        <v>3</v>
      </c>
      <c r="D30" s="63">
        <f t="shared" si="6"/>
        <v>1.375</v>
      </c>
      <c r="E30" s="38">
        <f t="shared" si="11"/>
        <v>1.625</v>
      </c>
      <c r="F30" s="35">
        <f t="shared" si="7"/>
        <v>2</v>
      </c>
      <c r="G30" s="35">
        <f t="shared" si="8"/>
        <v>16</v>
      </c>
      <c r="H30" s="116" t="s">
        <v>125</v>
      </c>
      <c r="I30" s="39">
        <f t="shared" si="9"/>
        <v>1.5555555555555556</v>
      </c>
    </row>
    <row r="31" spans="1:11" x14ac:dyDescent="0.25">
      <c r="B31" s="19" t="s">
        <v>14</v>
      </c>
      <c r="C31" s="63">
        <f t="shared" si="10"/>
        <v>2.4</v>
      </c>
      <c r="D31" s="63">
        <f t="shared" si="6"/>
        <v>3.875</v>
      </c>
      <c r="E31" s="38">
        <f t="shared" si="11"/>
        <v>1.4750000000000001</v>
      </c>
      <c r="F31" s="35">
        <f t="shared" si="7"/>
        <v>20</v>
      </c>
      <c r="G31" s="35">
        <f t="shared" si="8"/>
        <v>16</v>
      </c>
      <c r="H31" s="116" t="s">
        <v>126</v>
      </c>
      <c r="I31" s="39">
        <f t="shared" si="9"/>
        <v>3.1375000000000002</v>
      </c>
    </row>
    <row r="32" spans="1:11" x14ac:dyDescent="0.25">
      <c r="B32" s="19" t="s">
        <v>15</v>
      </c>
      <c r="C32" s="63">
        <f t="shared" si="10"/>
        <v>5</v>
      </c>
      <c r="D32" s="63">
        <f t="shared" si="6"/>
        <v>2.5</v>
      </c>
      <c r="E32" s="38">
        <f t="shared" si="11"/>
        <v>2.5</v>
      </c>
      <c r="F32" s="35">
        <f t="shared" si="7"/>
        <v>2</v>
      </c>
      <c r="G32" s="35">
        <f t="shared" si="8"/>
        <v>16</v>
      </c>
      <c r="H32" s="116" t="s">
        <v>125</v>
      </c>
      <c r="I32" s="39">
        <f t="shared" si="9"/>
        <v>2.7777777777777777</v>
      </c>
    </row>
    <row r="33" spans="2:9" x14ac:dyDescent="0.25">
      <c r="B33" s="19" t="s">
        <v>16</v>
      </c>
      <c r="C33" s="63">
        <f t="shared" si="10"/>
        <v>4.2</v>
      </c>
      <c r="D33" s="63">
        <f t="shared" si="6"/>
        <v>4.5</v>
      </c>
      <c r="E33" s="38">
        <f t="shared" si="11"/>
        <v>0.29999999999999982</v>
      </c>
      <c r="F33" s="35">
        <f t="shared" si="7"/>
        <v>5</v>
      </c>
      <c r="G33" s="35">
        <f t="shared" si="8"/>
        <v>16</v>
      </c>
      <c r="H33" s="116" t="s">
        <v>126</v>
      </c>
      <c r="I33" s="39">
        <f t="shared" si="9"/>
        <v>4.3499999999999996</v>
      </c>
    </row>
    <row r="34" spans="2:9" ht="15.75" thickBot="1" x14ac:dyDescent="0.3">
      <c r="B34" s="20" t="s">
        <v>17</v>
      </c>
      <c r="C34" s="64">
        <f t="shared" si="10"/>
        <v>1.7142857142857142</v>
      </c>
      <c r="D34" s="64">
        <f t="shared" si="6"/>
        <v>3.875</v>
      </c>
      <c r="E34" s="41">
        <f t="shared" si="11"/>
        <v>2.1607142857142856</v>
      </c>
      <c r="F34" s="36">
        <f t="shared" si="7"/>
        <v>14</v>
      </c>
      <c r="G34" s="36">
        <f t="shared" si="8"/>
        <v>16</v>
      </c>
      <c r="H34" s="117" t="s">
        <v>126</v>
      </c>
      <c r="I34" s="42">
        <f t="shared" si="9"/>
        <v>2.7946428571428572</v>
      </c>
    </row>
    <row r="36" spans="2:9" ht="15.75" thickBot="1" x14ac:dyDescent="0.3">
      <c r="B36" s="46" t="s">
        <v>969</v>
      </c>
    </row>
    <row r="37" spans="2:9" ht="45" x14ac:dyDescent="0.25">
      <c r="B37" s="27" t="s">
        <v>6</v>
      </c>
      <c r="C37" s="413" t="s">
        <v>153</v>
      </c>
      <c r="D37" s="297" t="s">
        <v>152</v>
      </c>
      <c r="E37" s="611"/>
      <c r="F37" s="612"/>
      <c r="G37" s="612"/>
      <c r="H37" s="612"/>
      <c r="I37" s="613"/>
    </row>
    <row r="38" spans="2:9" x14ac:dyDescent="0.25">
      <c r="B38" s="19" t="s">
        <v>7</v>
      </c>
      <c r="C38" s="63">
        <f>IFERROR(AVERAGEIFS($G$82:$G$201,$C$82:$C$201,"="&amp;B38), "NA")</f>
        <v>1.3333333333333333</v>
      </c>
      <c r="D38" s="43">
        <f>IF(C38="NA","NA",C38)</f>
        <v>1.3333333333333333</v>
      </c>
      <c r="E38" s="614"/>
      <c r="F38" s="615"/>
      <c r="G38" s="615"/>
      <c r="H38" s="625"/>
      <c r="I38" s="616"/>
    </row>
    <row r="39" spans="2:9" x14ac:dyDescent="0.25">
      <c r="B39" s="19" t="s">
        <v>34</v>
      </c>
      <c r="C39" s="63" t="str">
        <f t="shared" ref="C39:C49" si="12">IFERROR(AVERAGEIFS($G$82:$G$201,$C$82:$C$201,"="&amp;B39), "NA")</f>
        <v>NA</v>
      </c>
      <c r="D39" s="43" t="str">
        <f t="shared" ref="D39:D49" si="13">IF(C39="NA","NA",C39)</f>
        <v>NA</v>
      </c>
      <c r="E39" s="614"/>
      <c r="F39" s="615"/>
      <c r="G39" s="615"/>
      <c r="H39" s="625"/>
      <c r="I39" s="616"/>
    </row>
    <row r="40" spans="2:9" x14ac:dyDescent="0.25">
      <c r="B40" s="19" t="s">
        <v>8</v>
      </c>
      <c r="C40" s="63">
        <f t="shared" si="12"/>
        <v>3</v>
      </c>
      <c r="D40" s="43">
        <f t="shared" si="13"/>
        <v>3</v>
      </c>
      <c r="E40" s="614"/>
      <c r="F40" s="615"/>
      <c r="G40" s="615"/>
      <c r="H40" s="625"/>
      <c r="I40" s="616"/>
    </row>
    <row r="41" spans="2:9" x14ac:dyDescent="0.25">
      <c r="B41" s="19" t="s">
        <v>9</v>
      </c>
      <c r="C41" s="63">
        <f t="shared" si="12"/>
        <v>2.75</v>
      </c>
      <c r="D41" s="43">
        <f t="shared" si="13"/>
        <v>2.75</v>
      </c>
      <c r="E41" s="614"/>
      <c r="F41" s="615"/>
      <c r="G41" s="615"/>
      <c r="H41" s="625"/>
      <c r="I41" s="616"/>
    </row>
    <row r="42" spans="2:9" x14ac:dyDescent="0.25">
      <c r="B42" s="19" t="s">
        <v>10</v>
      </c>
      <c r="C42" s="63">
        <f t="shared" si="12"/>
        <v>3</v>
      </c>
      <c r="D42" s="43">
        <f t="shared" si="13"/>
        <v>3</v>
      </c>
      <c r="E42" s="614"/>
      <c r="F42" s="615"/>
      <c r="G42" s="615"/>
      <c r="H42" s="625"/>
      <c r="I42" s="616"/>
    </row>
    <row r="43" spans="2:9" x14ac:dyDescent="0.25">
      <c r="B43" s="19" t="s">
        <v>11</v>
      </c>
      <c r="C43" s="63">
        <f t="shared" si="12"/>
        <v>2.4</v>
      </c>
      <c r="D43" s="43">
        <f t="shared" si="13"/>
        <v>2.4</v>
      </c>
      <c r="E43" s="614"/>
      <c r="F43" s="615"/>
      <c r="G43" s="615"/>
      <c r="H43" s="625"/>
      <c r="I43" s="616"/>
    </row>
    <row r="44" spans="2:9" x14ac:dyDescent="0.25">
      <c r="B44" s="19" t="s">
        <v>12</v>
      </c>
      <c r="C44" s="63">
        <f t="shared" si="12"/>
        <v>2.375</v>
      </c>
      <c r="D44" s="43">
        <f t="shared" si="13"/>
        <v>2.375</v>
      </c>
      <c r="E44" s="614"/>
      <c r="F44" s="615"/>
      <c r="G44" s="615"/>
      <c r="H44" s="625"/>
      <c r="I44" s="616"/>
    </row>
    <row r="45" spans="2:9" x14ac:dyDescent="0.25">
      <c r="B45" s="19" t="s">
        <v>13</v>
      </c>
      <c r="C45" s="63">
        <f t="shared" si="12"/>
        <v>2</v>
      </c>
      <c r="D45" s="43">
        <f t="shared" si="13"/>
        <v>2</v>
      </c>
      <c r="E45" s="614"/>
      <c r="F45" s="615"/>
      <c r="G45" s="615"/>
      <c r="H45" s="625"/>
      <c r="I45" s="616"/>
    </row>
    <row r="46" spans="2:9" x14ac:dyDescent="0.25">
      <c r="B46" s="19" t="s">
        <v>14</v>
      </c>
      <c r="C46" s="63">
        <f t="shared" si="12"/>
        <v>2.6842105263157894</v>
      </c>
      <c r="D46" s="43">
        <f t="shared" si="13"/>
        <v>2.6842105263157894</v>
      </c>
      <c r="E46" s="614"/>
      <c r="F46" s="615"/>
      <c r="G46" s="615"/>
      <c r="H46" s="625"/>
      <c r="I46" s="616"/>
    </row>
    <row r="47" spans="2:9" x14ac:dyDescent="0.25">
      <c r="B47" s="19" t="s">
        <v>15</v>
      </c>
      <c r="C47" s="63">
        <f t="shared" si="12"/>
        <v>3</v>
      </c>
      <c r="D47" s="43">
        <f t="shared" si="13"/>
        <v>3</v>
      </c>
      <c r="E47" s="614"/>
      <c r="F47" s="615"/>
      <c r="G47" s="615"/>
      <c r="H47" s="625"/>
      <c r="I47" s="616"/>
    </row>
    <row r="48" spans="2:9" x14ac:dyDescent="0.25">
      <c r="B48" s="19" t="s">
        <v>16</v>
      </c>
      <c r="C48" s="63">
        <f t="shared" si="12"/>
        <v>3.8</v>
      </c>
      <c r="D48" s="43">
        <f t="shared" si="13"/>
        <v>3.8</v>
      </c>
      <c r="E48" s="614"/>
      <c r="F48" s="615"/>
      <c r="G48" s="615"/>
      <c r="H48" s="625"/>
      <c r="I48" s="616"/>
    </row>
    <row r="49" spans="1:11" ht="15.75" thickBot="1" x14ac:dyDescent="0.3">
      <c r="B49" s="20" t="s">
        <v>17</v>
      </c>
      <c r="C49" s="64">
        <f t="shared" si="12"/>
        <v>3.1428571428571428</v>
      </c>
      <c r="D49" s="44">
        <f t="shared" si="13"/>
        <v>3.1428571428571428</v>
      </c>
      <c r="E49" s="617"/>
      <c r="F49" s="618"/>
      <c r="G49" s="618"/>
      <c r="H49" s="626"/>
      <c r="I49" s="619"/>
    </row>
    <row r="51" spans="1:11" ht="15.75" thickBot="1" x14ac:dyDescent="0.3">
      <c r="B51" s="46" t="s">
        <v>970</v>
      </c>
      <c r="C51" s="26"/>
      <c r="D51" s="6"/>
      <c r="E51" s="5"/>
      <c r="F51" s="5"/>
    </row>
    <row r="52" spans="1:11" ht="60" x14ac:dyDescent="0.25">
      <c r="B52" s="27" t="s">
        <v>6</v>
      </c>
      <c r="C52" s="33" t="s">
        <v>240</v>
      </c>
      <c r="D52" s="33" t="s">
        <v>148</v>
      </c>
      <c r="E52" s="33" t="s">
        <v>152</v>
      </c>
      <c r="F52" s="34" t="s">
        <v>154</v>
      </c>
      <c r="G52" s="611"/>
      <c r="H52" s="612"/>
      <c r="I52" s="613"/>
      <c r="J52" s="16"/>
    </row>
    <row r="53" spans="1:11" x14ac:dyDescent="0.25">
      <c r="B53" s="19" t="s">
        <v>7</v>
      </c>
      <c r="C53" s="38">
        <f t="shared" ref="C53:C64" si="14">I8</f>
        <v>1.9791666666666667</v>
      </c>
      <c r="D53" s="38">
        <f t="shared" ref="D53:D64" si="15">I23</f>
        <v>3.333333333333333</v>
      </c>
      <c r="E53" s="38">
        <f>D38</f>
        <v>1.3333333333333333</v>
      </c>
      <c r="F53" s="39">
        <f>IF(AND(AND(C53="NA",D53="NA"),E53="NA"),"NA",AVERAGE(C53:E53))</f>
        <v>2.2152777777777777</v>
      </c>
      <c r="G53" s="614"/>
      <c r="H53" s="615"/>
      <c r="I53" s="616"/>
      <c r="J53" s="6"/>
    </row>
    <row r="54" spans="1:11" x14ac:dyDescent="0.25">
      <c r="B54" s="19" t="s">
        <v>34</v>
      </c>
      <c r="C54" s="38" t="str">
        <f t="shared" si="14"/>
        <v>NA</v>
      </c>
      <c r="D54" s="38" t="str">
        <f t="shared" si="15"/>
        <v>NA</v>
      </c>
      <c r="E54" s="38" t="str">
        <f t="shared" ref="E54:E64" si="16">D39</f>
        <v>NA</v>
      </c>
      <c r="F54" s="39" t="str">
        <f t="shared" ref="F54:F64" si="17">IF(AND(AND(C54="NA",D54="NA"),E54="NA"),"NA",AVERAGE(C54:E54))</f>
        <v>NA</v>
      </c>
      <c r="G54" s="614"/>
      <c r="H54" s="615"/>
      <c r="I54" s="616"/>
      <c r="J54" s="6"/>
    </row>
    <row r="55" spans="1:11" x14ac:dyDescent="0.25">
      <c r="B55" s="19" t="s">
        <v>8</v>
      </c>
      <c r="C55" s="38">
        <f t="shared" si="14"/>
        <v>3.8235294117647061</v>
      </c>
      <c r="D55" s="38">
        <f t="shared" si="15"/>
        <v>4.1764705882352944</v>
      </c>
      <c r="E55" s="38">
        <f t="shared" si="16"/>
        <v>3</v>
      </c>
      <c r="F55" s="39">
        <f t="shared" si="17"/>
        <v>3.6666666666666665</v>
      </c>
      <c r="G55" s="614"/>
      <c r="H55" s="615"/>
      <c r="I55" s="616"/>
      <c r="J55" s="6"/>
    </row>
    <row r="56" spans="1:11" x14ac:dyDescent="0.25">
      <c r="B56" s="19" t="s">
        <v>9</v>
      </c>
      <c r="C56" s="38">
        <f t="shared" si="14"/>
        <v>1.75</v>
      </c>
      <c r="D56" s="38">
        <f t="shared" si="15"/>
        <v>1.9285714285714286</v>
      </c>
      <c r="E56" s="38">
        <f t="shared" si="16"/>
        <v>2.75</v>
      </c>
      <c r="F56" s="39">
        <f t="shared" si="17"/>
        <v>2.1428571428571428</v>
      </c>
      <c r="G56" s="614"/>
      <c r="H56" s="615"/>
      <c r="I56" s="616"/>
      <c r="J56" s="6"/>
    </row>
    <row r="57" spans="1:11" s="16" customFormat="1" x14ac:dyDescent="0.25">
      <c r="A57"/>
      <c r="B57" s="19" t="s">
        <v>10</v>
      </c>
      <c r="C57" s="38">
        <f t="shared" si="14"/>
        <v>3</v>
      </c>
      <c r="D57" s="38">
        <f t="shared" si="15"/>
        <v>3.2352941176470589</v>
      </c>
      <c r="E57" s="38">
        <f t="shared" si="16"/>
        <v>3</v>
      </c>
      <c r="F57" s="39">
        <f t="shared" si="17"/>
        <v>3.0784313725490193</v>
      </c>
      <c r="G57" s="620"/>
      <c r="H57" s="627"/>
      <c r="I57" s="621"/>
      <c r="J57" s="6"/>
      <c r="K57" s="49"/>
    </row>
    <row r="58" spans="1:11" x14ac:dyDescent="0.25">
      <c r="B58" s="19" t="s">
        <v>11</v>
      </c>
      <c r="C58" s="38">
        <f t="shared" si="14"/>
        <v>1.1875</v>
      </c>
      <c r="D58" s="38">
        <f t="shared" si="15"/>
        <v>2.1375000000000002</v>
      </c>
      <c r="E58" s="38">
        <f t="shared" si="16"/>
        <v>2.4</v>
      </c>
      <c r="F58" s="39">
        <f t="shared" si="17"/>
        <v>1.9083333333333332</v>
      </c>
      <c r="G58" s="614"/>
      <c r="H58" s="615"/>
      <c r="I58" s="616"/>
      <c r="J58" s="6"/>
    </row>
    <row r="59" spans="1:11" x14ac:dyDescent="0.25">
      <c r="B59" s="19" t="s">
        <v>12</v>
      </c>
      <c r="C59" s="38">
        <f t="shared" si="14"/>
        <v>2.125</v>
      </c>
      <c r="D59" s="38">
        <f t="shared" si="15"/>
        <v>3</v>
      </c>
      <c r="E59" s="38">
        <f t="shared" si="16"/>
        <v>2.375</v>
      </c>
      <c r="F59" s="39">
        <f t="shared" si="17"/>
        <v>2.5</v>
      </c>
      <c r="G59" s="614"/>
      <c r="H59" s="615"/>
      <c r="I59" s="616"/>
      <c r="J59" s="6"/>
    </row>
    <row r="60" spans="1:11" x14ac:dyDescent="0.25">
      <c r="B60" s="19" t="s">
        <v>13</v>
      </c>
      <c r="C60" s="38">
        <f t="shared" si="14"/>
        <v>1.3333333333333333</v>
      </c>
      <c r="D60" s="38">
        <f t="shared" si="15"/>
        <v>1.5555555555555556</v>
      </c>
      <c r="E60" s="38">
        <f t="shared" si="16"/>
        <v>2</v>
      </c>
      <c r="F60" s="39">
        <f t="shared" si="17"/>
        <v>1.6296296296296298</v>
      </c>
      <c r="G60" s="614"/>
      <c r="H60" s="615"/>
      <c r="I60" s="616"/>
      <c r="J60" s="6"/>
    </row>
    <row r="61" spans="1:11" x14ac:dyDescent="0.25">
      <c r="B61" s="19" t="s">
        <v>14</v>
      </c>
      <c r="C61" s="38">
        <f t="shared" si="14"/>
        <v>2.7875000000000001</v>
      </c>
      <c r="D61" s="38">
        <f t="shared" si="15"/>
        <v>3.1375000000000002</v>
      </c>
      <c r="E61" s="38">
        <f t="shared" si="16"/>
        <v>2.6842105263157894</v>
      </c>
      <c r="F61" s="39">
        <f t="shared" si="17"/>
        <v>2.8697368421052634</v>
      </c>
      <c r="G61" s="614"/>
      <c r="H61" s="615"/>
      <c r="I61" s="616"/>
      <c r="J61" s="6"/>
    </row>
    <row r="62" spans="1:11" x14ac:dyDescent="0.25">
      <c r="B62" s="19" t="s">
        <v>15</v>
      </c>
      <c r="C62" s="38">
        <f t="shared" si="14"/>
        <v>2.2222222222222223</v>
      </c>
      <c r="D62" s="38">
        <f t="shared" si="15"/>
        <v>2.7777777777777777</v>
      </c>
      <c r="E62" s="38">
        <f t="shared" si="16"/>
        <v>3</v>
      </c>
      <c r="F62" s="39">
        <f t="shared" si="17"/>
        <v>2.6666666666666665</v>
      </c>
      <c r="G62" s="614"/>
      <c r="H62" s="615"/>
      <c r="I62" s="616"/>
      <c r="J62" s="6"/>
    </row>
    <row r="63" spans="1:11" x14ac:dyDescent="0.25">
      <c r="B63" s="19" t="s">
        <v>16</v>
      </c>
      <c r="C63" s="38">
        <f t="shared" si="14"/>
        <v>4.1624999999999996</v>
      </c>
      <c r="D63" s="38">
        <f t="shared" si="15"/>
        <v>4.3499999999999996</v>
      </c>
      <c r="E63" s="38">
        <f t="shared" si="16"/>
        <v>3.8</v>
      </c>
      <c r="F63" s="39">
        <f t="shared" si="17"/>
        <v>4.104166666666667</v>
      </c>
      <c r="G63" s="614"/>
      <c r="H63" s="615"/>
      <c r="I63" s="616"/>
      <c r="J63" s="6"/>
    </row>
    <row r="64" spans="1:11" ht="15.75" thickBot="1" x14ac:dyDescent="0.3">
      <c r="B64" s="20" t="s">
        <v>17</v>
      </c>
      <c r="C64" s="41">
        <f t="shared" si="14"/>
        <v>2.8303571428571428</v>
      </c>
      <c r="D64" s="41">
        <f t="shared" si="15"/>
        <v>2.7946428571428572</v>
      </c>
      <c r="E64" s="41">
        <f t="shared" si="16"/>
        <v>3.1428571428571428</v>
      </c>
      <c r="F64" s="42">
        <f t="shared" si="17"/>
        <v>2.9226190476190474</v>
      </c>
      <c r="G64" s="617"/>
      <c r="H64" s="618"/>
      <c r="I64" s="619"/>
      <c r="J64" s="6"/>
    </row>
    <row r="66" spans="2:10" ht="15.75" hidden="1" thickBot="1" x14ac:dyDescent="0.3">
      <c r="B66" s="1" t="s">
        <v>846</v>
      </c>
    </row>
    <row r="67" spans="2:10" ht="60" hidden="1" x14ac:dyDescent="0.25">
      <c r="B67" s="25" t="s">
        <v>851</v>
      </c>
      <c r="C67" s="413" t="str">
        <f>C52</f>
        <v>Capital Costs Performance Measure Scores</v>
      </c>
      <c r="D67" s="413" t="str">
        <f>D52</f>
        <v>O&amp;M Costs
Performance Measure Scores</v>
      </c>
      <c r="E67" s="413" t="str">
        <f>E52</f>
        <v>External Funding
Performance Measure Scores</v>
      </c>
      <c r="F67" s="297" t="str">
        <f t="shared" ref="F67" si="18">F52</f>
        <v>Cost Effectiveness Evaluation Objective Unweighted
Scores</v>
      </c>
      <c r="G67" s="231"/>
      <c r="H67" s="231"/>
      <c r="I67" s="231"/>
    </row>
    <row r="68" spans="2:10" hidden="1" x14ac:dyDescent="0.25">
      <c r="B68" s="463" t="s">
        <v>848</v>
      </c>
      <c r="C68" s="241">
        <f>MAX(C53:C64)</f>
        <v>4.1624999999999996</v>
      </c>
      <c r="D68" s="241">
        <f t="shared" ref="D68:F68" si="19">MAX(D53:D64)</f>
        <v>4.3499999999999996</v>
      </c>
      <c r="E68" s="241">
        <f t="shared" si="19"/>
        <v>3.8</v>
      </c>
      <c r="F68" s="464">
        <f t="shared" si="19"/>
        <v>4.104166666666667</v>
      </c>
      <c r="G68" s="231"/>
      <c r="H68" s="231"/>
      <c r="I68" s="231"/>
    </row>
    <row r="69" spans="2:10" ht="45" hidden="1" x14ac:dyDescent="0.25">
      <c r="B69" s="463" t="s">
        <v>849</v>
      </c>
      <c r="C69" s="461" t="str">
        <f>INDEX($B53:$B64,MATCH(C68,C53:C64,0))</f>
        <v>Urban and Agricultural Water Use Efficiency</v>
      </c>
      <c r="D69" s="461" t="str">
        <f t="shared" ref="D69:F69" si="20">INDEX($B53:$B64,MATCH(D68,D53:D64,0))</f>
        <v>Urban and Agricultural Water Use Efficiency</v>
      </c>
      <c r="E69" s="461" t="str">
        <f t="shared" si="20"/>
        <v>Urban and Agricultural Water Use Efficiency</v>
      </c>
      <c r="F69" s="462" t="str">
        <f t="shared" si="20"/>
        <v>Urban and Agricultural Water Use Efficiency</v>
      </c>
      <c r="G69" s="231"/>
      <c r="H69" s="231"/>
      <c r="I69" s="231"/>
    </row>
    <row r="70" spans="2:10" hidden="1" x14ac:dyDescent="0.25">
      <c r="B70" s="504" t="s">
        <v>861</v>
      </c>
      <c r="C70" s="497">
        <f>LARGE(C53:C64,2)</f>
        <v>3.8235294117647061</v>
      </c>
      <c r="D70" s="497">
        <f t="shared" ref="D70:F70" si="21">LARGE(D53:D64,2)</f>
        <v>4.1764705882352944</v>
      </c>
      <c r="E70" s="497">
        <f t="shared" si="21"/>
        <v>3.1428571428571428</v>
      </c>
      <c r="F70" s="498">
        <f t="shared" si="21"/>
        <v>3.6666666666666665</v>
      </c>
      <c r="G70" s="231"/>
      <c r="H70" s="231"/>
      <c r="I70" s="231"/>
    </row>
    <row r="71" spans="2:10" ht="45" hidden="1" x14ac:dyDescent="0.25">
      <c r="B71" s="505" t="s">
        <v>862</v>
      </c>
      <c r="C71" s="499" t="str">
        <f>INDEX($B53:$B64,MATCH(C70,C53:C64,0))</f>
        <v>Gray Water Use</v>
      </c>
      <c r="D71" s="499" t="str">
        <f t="shared" ref="D71:F71" si="22">INDEX($B53:$B64,MATCH(D70,D53:D64,0))</f>
        <v>Gray Water Use</v>
      </c>
      <c r="E71" s="499" t="str">
        <f t="shared" si="22"/>
        <v>Watershed and Ecosystem Management</v>
      </c>
      <c r="F71" s="500" t="str">
        <f t="shared" si="22"/>
        <v>Gray Water Use</v>
      </c>
      <c r="G71" s="231"/>
      <c r="H71" s="231"/>
      <c r="I71" s="231"/>
    </row>
    <row r="72" spans="2:10" hidden="1" x14ac:dyDescent="0.25">
      <c r="B72" s="463" t="s">
        <v>847</v>
      </c>
      <c r="C72" s="241">
        <f>MIN(C53:C64)</f>
        <v>1.1875</v>
      </c>
      <c r="D72" s="241">
        <f t="shared" ref="D72:F72" si="23">MIN(D53:D64)</f>
        <v>1.5555555555555556</v>
      </c>
      <c r="E72" s="241">
        <f t="shared" si="23"/>
        <v>1.3333333333333333</v>
      </c>
      <c r="F72" s="464">
        <f t="shared" si="23"/>
        <v>1.6296296296296298</v>
      </c>
      <c r="G72" s="231"/>
      <c r="H72" s="231"/>
      <c r="I72" s="231"/>
    </row>
    <row r="73" spans="2:10" ht="30" hidden="1" x14ac:dyDescent="0.25">
      <c r="B73" s="505" t="s">
        <v>850</v>
      </c>
      <c r="C73" s="499" t="str">
        <f>INDEX($B53:$B64,MATCH(C72,C53:C64,0))</f>
        <v>Potable Reuse</v>
      </c>
      <c r="D73" s="499" t="str">
        <f t="shared" ref="D73:F73" si="24">INDEX($B53:$B64,MATCH(D72,D53:D64,0))</f>
        <v>Seawater Desalination</v>
      </c>
      <c r="E73" s="499" t="str">
        <f t="shared" si="24"/>
        <v>Conveyance Improvement</v>
      </c>
      <c r="F73" s="500" t="str">
        <f t="shared" si="24"/>
        <v>Seawater Desalination</v>
      </c>
      <c r="G73" s="38"/>
      <c r="H73" s="38"/>
      <c r="I73" s="38"/>
    </row>
    <row r="74" spans="2:10" hidden="1" x14ac:dyDescent="0.25">
      <c r="B74" s="504" t="s">
        <v>864</v>
      </c>
      <c r="C74" s="497">
        <f>SMALL(C53:C64,2)</f>
        <v>1.3333333333333333</v>
      </c>
      <c r="D74" s="497">
        <f t="shared" ref="D74:F74" si="25">SMALL(D53:D64,2)</f>
        <v>1.9285714285714286</v>
      </c>
      <c r="E74" s="497">
        <f t="shared" si="25"/>
        <v>2</v>
      </c>
      <c r="F74" s="498">
        <f t="shared" si="25"/>
        <v>1.9083333333333332</v>
      </c>
      <c r="G74" s="38"/>
      <c r="H74" s="38"/>
      <c r="I74" s="38"/>
    </row>
    <row r="75" spans="2:10" ht="30" hidden="1" x14ac:dyDescent="0.25">
      <c r="B75" s="505" t="s">
        <v>863</v>
      </c>
      <c r="C75" s="499" t="str">
        <f>INDEX($B53:$B64,MATCH(C74,C53:C64,0))</f>
        <v>Seawater Desalination</v>
      </c>
      <c r="D75" s="499" t="str">
        <f t="shared" ref="D75:F75" si="26">INDEX($B53:$B64,MATCH(D74,D53:D64,0))</f>
        <v>Groundwater</v>
      </c>
      <c r="E75" s="499" t="str">
        <f t="shared" si="26"/>
        <v>Seawater Desalination</v>
      </c>
      <c r="F75" s="500" t="str">
        <f t="shared" si="26"/>
        <v>Potable Reuse</v>
      </c>
      <c r="G75" s="38"/>
      <c r="H75" s="38"/>
      <c r="I75" s="38"/>
    </row>
    <row r="76" spans="2:10" hidden="1" x14ac:dyDescent="0.25">
      <c r="B76" s="506" t="s">
        <v>844</v>
      </c>
      <c r="C76" s="502">
        <f>C68-C72</f>
        <v>2.9749999999999996</v>
      </c>
      <c r="D76" s="502">
        <f t="shared" ref="D76:F76" si="27">D68-D72</f>
        <v>2.7944444444444443</v>
      </c>
      <c r="E76" s="502">
        <f t="shared" si="27"/>
        <v>2.4666666666666668</v>
      </c>
      <c r="F76" s="503">
        <f t="shared" si="27"/>
        <v>2.4745370370370372</v>
      </c>
      <c r="G76" s="460"/>
      <c r="H76" s="460"/>
      <c r="I76" s="460"/>
    </row>
    <row r="77" spans="2:10" ht="15.75" hidden="1" thickBot="1" x14ac:dyDescent="0.3">
      <c r="B77" s="507" t="s">
        <v>865</v>
      </c>
      <c r="C77" s="41">
        <f>AVERAGE(C53:C64)</f>
        <v>2.4728280706221883</v>
      </c>
      <c r="D77" s="41">
        <f t="shared" ref="D77:F77" si="28">AVERAGE(D53:D64)</f>
        <v>2.9478768780239366</v>
      </c>
      <c r="E77" s="41">
        <f t="shared" si="28"/>
        <v>2.6804910002278421</v>
      </c>
      <c r="F77" s="44">
        <f t="shared" si="28"/>
        <v>2.7003986496246561</v>
      </c>
      <c r="G77" s="460"/>
      <c r="H77" s="460"/>
      <c r="I77" s="460"/>
    </row>
    <row r="78" spans="2:10" hidden="1" x14ac:dyDescent="0.25">
      <c r="B78" s="11"/>
      <c r="C78" s="459"/>
      <c r="D78" s="459"/>
      <c r="E78" s="459"/>
    </row>
    <row r="79" spans="2:10" ht="15.75" hidden="1" thickBot="1" x14ac:dyDescent="0.3">
      <c r="B79" s="1" t="s">
        <v>752</v>
      </c>
      <c r="J79" s="6"/>
    </row>
    <row r="80" spans="2:10" ht="45" hidden="1" x14ac:dyDescent="0.25">
      <c r="B80" s="800"/>
      <c r="C80" s="337"/>
      <c r="D80" s="337"/>
      <c r="E80" s="339" t="s">
        <v>777</v>
      </c>
      <c r="F80" s="416" t="s">
        <v>778</v>
      </c>
      <c r="G80" s="340" t="s">
        <v>779</v>
      </c>
      <c r="J80" s="6"/>
    </row>
    <row r="81" spans="2:10" ht="60.75" hidden="1" thickBot="1" x14ac:dyDescent="0.3">
      <c r="B81" s="801" t="s">
        <v>37</v>
      </c>
      <c r="C81" s="341" t="s">
        <v>6</v>
      </c>
      <c r="D81" s="354"/>
      <c r="E81" s="343" t="s">
        <v>149</v>
      </c>
      <c r="F81" s="344" t="s">
        <v>146</v>
      </c>
      <c r="G81" s="345" t="s">
        <v>153</v>
      </c>
      <c r="H81" s="4"/>
      <c r="I81" s="4"/>
      <c r="J81" s="6"/>
    </row>
    <row r="82" spans="2:10" ht="15" hidden="1" customHeight="1" x14ac:dyDescent="0.25">
      <c r="B82" s="370" t="str">
        <f>'Project-Level Data'!B22</f>
        <v>Dulzura Conduit Refurbishment</v>
      </c>
      <c r="C82" s="483" t="str">
        <f>'Project-Level Data'!C22</f>
        <v>Conveyance Improvement</v>
      </c>
      <c r="D82" s="484"/>
      <c r="E82" s="485">
        <f>'Project-Level Data'!AA22</f>
        <v>1</v>
      </c>
      <c r="F82" s="486">
        <f>'Project-Level Data'!AC22</f>
        <v>5</v>
      </c>
      <c r="G82" s="389">
        <f>'Project-Level Data'!AE22</f>
        <v>1</v>
      </c>
    </row>
    <row r="83" spans="2:10" hidden="1" x14ac:dyDescent="0.25">
      <c r="B83" s="227" t="str">
        <f>'Project-Level Data'!B53</f>
        <v>Mission Trails Projects Alternative 1</v>
      </c>
      <c r="C83" s="473" t="str">
        <f>'Project-Level Data'!C53</f>
        <v>Conveyance Improvement</v>
      </c>
      <c r="D83" s="475"/>
      <c r="E83" s="378">
        <f>'Project-Level Data'!AA53</f>
        <v>3</v>
      </c>
      <c r="F83" s="379">
        <f>'Project-Level Data'!AC53</f>
        <v>5</v>
      </c>
      <c r="G83" s="380">
        <f>'Project-Level Data'!AE53</f>
        <v>1</v>
      </c>
    </row>
    <row r="84" spans="2:10" hidden="1" x14ac:dyDescent="0.25">
      <c r="B84" s="227" t="str">
        <f>'Project-Level Data'!B72</f>
        <v>Pipeline 3/Pipeline 4 Conversion</v>
      </c>
      <c r="C84" s="473" t="str">
        <f>'Project-Level Data'!C72</f>
        <v>Conveyance Improvement</v>
      </c>
      <c r="D84" s="475"/>
      <c r="E84" s="378">
        <f>'Project-Level Data'!AA72</f>
        <v>3</v>
      </c>
      <c r="F84" s="379">
        <f>'Project-Level Data'!AC72</f>
        <v>3</v>
      </c>
      <c r="G84" s="380">
        <f>'Project-Level Data'!AE72</f>
        <v>1</v>
      </c>
    </row>
    <row r="85" spans="2:10" hidden="1" x14ac:dyDescent="0.25">
      <c r="B85" s="227" t="str">
        <f>'Project-Level Data'!B89</f>
        <v>San Diego County Reservoir Intertie</v>
      </c>
      <c r="C85" s="473" t="str">
        <f>'Project-Level Data'!C89</f>
        <v>Conveyance Improvement</v>
      </c>
      <c r="D85" s="475"/>
      <c r="E85" s="378">
        <f>'Project-Level Data'!AA89</f>
        <v>1</v>
      </c>
      <c r="F85" s="379">
        <f>'Project-Level Data'!AC89</f>
        <v>3</v>
      </c>
      <c r="G85" s="380">
        <f>'Project-Level Data'!AE89</f>
        <v>3</v>
      </c>
    </row>
    <row r="86" spans="2:10" hidden="1" x14ac:dyDescent="0.25">
      <c r="B86" s="227" t="str">
        <f>'Project-Level Data'!B100</f>
        <v>San Vicente 3rd Pump Drive and Power</v>
      </c>
      <c r="C86" s="473" t="str">
        <f>'Project-Level Data'!C100</f>
        <v>Conveyance Improvement</v>
      </c>
      <c r="D86" s="475"/>
      <c r="E86" s="378">
        <f>'Project-Level Data'!AA100</f>
        <v>3</v>
      </c>
      <c r="F86" s="379">
        <f>'Project-Level Data'!AC100</f>
        <v>3</v>
      </c>
      <c r="G86" s="380">
        <f>'Project-Level Data'!AE100</f>
        <v>1</v>
      </c>
    </row>
    <row r="87" spans="2:10" hidden="1" x14ac:dyDescent="0.25">
      <c r="B87" s="227" t="str">
        <f>'Project-Level Data'!B103</f>
        <v>Second Crossover Pipeline</v>
      </c>
      <c r="C87" s="473" t="str">
        <f>'Project-Level Data'!C103</f>
        <v>Conveyance Improvement</v>
      </c>
      <c r="D87" s="475"/>
      <c r="E87" s="378">
        <f>'Project-Level Data'!AA103</f>
        <v>3</v>
      </c>
      <c r="F87" s="379" t="str">
        <f>'Project-Level Data'!AC103</f>
        <v>MISSING</v>
      </c>
      <c r="G87" s="380">
        <f>'Project-Level Data'!AE103</f>
        <v>1</v>
      </c>
    </row>
    <row r="88" spans="2:10" ht="15" hidden="1" customHeight="1" x14ac:dyDescent="0.25">
      <c r="B88" s="227" t="str">
        <f>'Project-Level Data'!B27</f>
        <v xml:space="preserve">Enhanced Conservation </v>
      </c>
      <c r="C88" s="473" t="str">
        <f>'Project-Level Data'!C27</f>
        <v>Enhanced Conservation</v>
      </c>
      <c r="D88" s="475"/>
      <c r="E88" s="378" t="str">
        <f>'Project-Level Data'!AA27</f>
        <v>REMOVED</v>
      </c>
      <c r="F88" s="379" t="str">
        <f>'Project-Level Data'!AC27</f>
        <v>REMOVED</v>
      </c>
      <c r="G88" s="380" t="str">
        <f>'Project-Level Data'!AE27</f>
        <v>REMOVED</v>
      </c>
    </row>
    <row r="89" spans="2:10" ht="15" hidden="1" customHeight="1" x14ac:dyDescent="0.25">
      <c r="B89" s="227" t="str">
        <f>'Project-Level Data'!B21</f>
        <v>Conservation Home Makeover in the Chollas Creek Watershed</v>
      </c>
      <c r="C89" s="473" t="str">
        <f>'Project-Level Data'!C21</f>
        <v>Gray Water Use</v>
      </c>
      <c r="D89" s="475"/>
      <c r="E89" s="378" t="str">
        <f>'Project-Level Data'!AA21</f>
        <v>No Response</v>
      </c>
      <c r="F89" s="379" t="str">
        <f>'Project-Level Data'!AC21</f>
        <v>No Response</v>
      </c>
      <c r="G89" s="380" t="str">
        <f>'Project-Level Data'!AE21</f>
        <v>No Response</v>
      </c>
    </row>
    <row r="90" spans="2:10" hidden="1" x14ac:dyDescent="0.25">
      <c r="B90" s="227" t="str">
        <f>'Project-Level Data'!B33</f>
        <v>Graywater pilot project</v>
      </c>
      <c r="C90" s="473" t="str">
        <f>'Project-Level Data'!C33</f>
        <v>Gray Water Use</v>
      </c>
      <c r="D90" s="475"/>
      <c r="E90" s="378">
        <f>'Project-Level Data'!AA33</f>
        <v>5</v>
      </c>
      <c r="F90" s="379">
        <f>'Project-Level Data'!AC33</f>
        <v>5</v>
      </c>
      <c r="G90" s="380">
        <f>'Project-Level Data'!AE33</f>
        <v>3</v>
      </c>
    </row>
    <row r="91" spans="2:10" ht="15" hidden="1" customHeight="1" x14ac:dyDescent="0.25">
      <c r="B91" s="227" t="str">
        <f>'Project-Level Data'!B34</f>
        <v>Groundwater Extraction Santee/El Monte</v>
      </c>
      <c r="C91" s="473" t="str">
        <f>'Project-Level Data'!C34</f>
        <v>Groundwater</v>
      </c>
      <c r="D91" s="475"/>
      <c r="E91" s="378">
        <f>'Project-Level Data'!AA34</f>
        <v>1</v>
      </c>
      <c r="F91" s="379">
        <f>'Project-Level Data'!AC34</f>
        <v>3</v>
      </c>
      <c r="G91" s="380">
        <f>'Project-Level Data'!AE34</f>
        <v>3</v>
      </c>
    </row>
    <row r="92" spans="2:10" ht="25.5" hidden="1" x14ac:dyDescent="0.25">
      <c r="B92" s="227" t="str">
        <f>'Project-Level Data'!B52</f>
        <v>Middle Sweetwater River Basin Groundwater Well System</v>
      </c>
      <c r="C92" s="473" t="str">
        <f>'Project-Level Data'!C52</f>
        <v>Groundwater</v>
      </c>
      <c r="D92" s="475"/>
      <c r="E92" s="378">
        <f>'Project-Level Data'!AA52</f>
        <v>3</v>
      </c>
      <c r="F92" s="379">
        <f>'Project-Level Data'!AC52</f>
        <v>3</v>
      </c>
      <c r="G92" s="380">
        <f>'Project-Level Data'!AE52</f>
        <v>3</v>
      </c>
    </row>
    <row r="93" spans="2:10" hidden="1" x14ac:dyDescent="0.25">
      <c r="B93" s="227" t="str">
        <f>'Project-Level Data'!B54</f>
        <v>Mission Valley Brackish Groundwater Recovery Project</v>
      </c>
      <c r="C93" s="473" t="str">
        <f>'Project-Level Data'!C54</f>
        <v>Groundwater</v>
      </c>
      <c r="D93" s="475"/>
      <c r="E93" s="378">
        <f>'Project-Level Data'!AA54</f>
        <v>1</v>
      </c>
      <c r="F93" s="379">
        <f>'Project-Level Data'!AC54</f>
        <v>1</v>
      </c>
      <c r="G93" s="380" t="str">
        <f>'Project-Level Data'!AE54</f>
        <v>MISSING</v>
      </c>
    </row>
    <row r="94" spans="2:10" ht="15" hidden="1" customHeight="1" x14ac:dyDescent="0.25">
      <c r="B94" s="227" t="str">
        <f>'Project-Level Data'!B67</f>
        <v>Otay Mesa Lot 7 Groundwater Well System (capacity)</v>
      </c>
      <c r="C94" s="473" t="str">
        <f>'Project-Level Data'!C67</f>
        <v>Groundwater</v>
      </c>
      <c r="D94" s="475"/>
      <c r="E94" s="378">
        <f>'Project-Level Data'!AA67</f>
        <v>1</v>
      </c>
      <c r="F94" s="379">
        <f>'Project-Level Data'!AC67</f>
        <v>1</v>
      </c>
      <c r="G94" s="380">
        <f>'Project-Level Data'!AE67</f>
        <v>3</v>
      </c>
    </row>
    <row r="95" spans="2:10" ht="25.5" hidden="1" x14ac:dyDescent="0.25">
      <c r="B95" s="227" t="str">
        <f>'Project-Level Data'!B68</f>
        <v>Otay River Valley GW Aquifer Studies &amp; Field Investigations</v>
      </c>
      <c r="C95" s="473" t="str">
        <f>'Project-Level Data'!C68</f>
        <v>Groundwater</v>
      </c>
      <c r="D95" s="475"/>
      <c r="E95" s="378" t="str">
        <f>'Project-Level Data'!AA68</f>
        <v>MISSING</v>
      </c>
      <c r="F95" s="379" t="str">
        <f>'Project-Level Data'!AC68</f>
        <v>MISSING</v>
      </c>
      <c r="G95" s="380">
        <f>'Project-Level Data'!AE68</f>
        <v>3</v>
      </c>
    </row>
    <row r="96" spans="2:10" ht="25.5" hidden="1" x14ac:dyDescent="0.25">
      <c r="B96" s="227" t="str">
        <f>'Project-Level Data'!B79</f>
        <v>Rancho del Rey Groundwater Well Development (capacity)</v>
      </c>
      <c r="C96" s="473" t="str">
        <f>'Project-Level Data'!C79</f>
        <v>Groundwater</v>
      </c>
      <c r="D96" s="475"/>
      <c r="E96" s="378">
        <f>'Project-Level Data'!AA79</f>
        <v>1</v>
      </c>
      <c r="F96" s="379">
        <f>'Project-Level Data'!AC79</f>
        <v>1</v>
      </c>
      <c r="G96" s="380">
        <f>'Project-Level Data'!AE79</f>
        <v>3</v>
      </c>
    </row>
    <row r="97" spans="1:7" ht="15" hidden="1" customHeight="1" x14ac:dyDescent="0.25">
      <c r="B97" s="227" t="str">
        <f>'Project-Level Data'!B90</f>
        <v>San Diego Formation - Southeaster San Diego, including Mt Hope</v>
      </c>
      <c r="C97" s="473" t="str">
        <f>'Project-Level Data'!C90</f>
        <v>Groundwater</v>
      </c>
      <c r="D97" s="475"/>
      <c r="E97" s="378">
        <f>'Project-Level Data'!AA90</f>
        <v>3</v>
      </c>
      <c r="F97" s="379" t="str">
        <f>'Project-Level Data'!AC90</f>
        <v>MISSING</v>
      </c>
      <c r="G97" s="380">
        <f>'Project-Level Data'!AE90</f>
        <v>3</v>
      </c>
    </row>
    <row r="98" spans="1:7" ht="25.5" hidden="1" x14ac:dyDescent="0.25">
      <c r="B98" s="227" t="str">
        <f>'Project-Level Data'!B94</f>
        <v>San Dieguito River Basin Brackish GW Recovery and Treatment</v>
      </c>
      <c r="C98" s="473" t="str">
        <f>'Project-Level Data'!C94</f>
        <v>Groundwater</v>
      </c>
      <c r="D98" s="475"/>
      <c r="E98" s="378">
        <f>'Project-Level Data'!AA94</f>
        <v>1</v>
      </c>
      <c r="F98" s="379">
        <f>'Project-Level Data'!AC94</f>
        <v>1</v>
      </c>
      <c r="G98" s="380">
        <f>'Project-Level Data'!AE94</f>
        <v>3</v>
      </c>
    </row>
    <row r="99" spans="1:7" hidden="1" x14ac:dyDescent="0.25">
      <c r="B99" s="227" t="str">
        <f>'Project-Level Data'!B95</f>
        <v>San Luis Rey Groundwater Study</v>
      </c>
      <c r="C99" s="473" t="str">
        <f>'Project-Level Data'!C95</f>
        <v>Groundwater</v>
      </c>
      <c r="D99" s="475"/>
      <c r="E99" s="378" t="str">
        <f>'Project-Level Data'!AA95</f>
        <v>No Response</v>
      </c>
      <c r="F99" s="379" t="str">
        <f>'Project-Level Data'!AC95</f>
        <v>No Response</v>
      </c>
      <c r="G99" s="380" t="str">
        <f>'Project-Level Data'!AE95</f>
        <v>No Response</v>
      </c>
    </row>
    <row r="100" spans="1:7" hidden="1" x14ac:dyDescent="0.25">
      <c r="B100" s="227" t="str">
        <f>'Project-Level Data'!B99</f>
        <v>San Pasqual Brackish Groundwater Recovery Project</v>
      </c>
      <c r="C100" s="473" t="str">
        <f>'Project-Level Data'!C99</f>
        <v>Groundwater</v>
      </c>
      <c r="D100" s="475"/>
      <c r="E100" s="378">
        <f>'Project-Level Data'!AA99</f>
        <v>1</v>
      </c>
      <c r="F100" s="379">
        <f>'Project-Level Data'!AC99</f>
        <v>3</v>
      </c>
      <c r="G100" s="380">
        <f>'Project-Level Data'!AE99</f>
        <v>1</v>
      </c>
    </row>
    <row r="101" spans="1:7" ht="38.25" hidden="1" x14ac:dyDescent="0.25">
      <c r="B101" s="227" t="str">
        <f>'Project-Level Data'!B101</f>
        <v>Santa Margarita Conjunctive-Use Project - Local surface water recharge and expansion of Camp Pendleton groundwater recovery program</v>
      </c>
      <c r="C101" s="473" t="str">
        <f>'Project-Level Data'!C101</f>
        <v>Groundwater</v>
      </c>
      <c r="D101" s="475"/>
      <c r="E101" s="378" t="str">
        <f>'Project-Level Data'!AA101</f>
        <v>No Response</v>
      </c>
      <c r="F101" s="379" t="str">
        <f>'Project-Level Data'!AC101</f>
        <v>No Response</v>
      </c>
      <c r="G101" s="380" t="str">
        <f>'Project-Level Data'!AE101</f>
        <v>No Response</v>
      </c>
    </row>
    <row r="102" spans="1:7" hidden="1" x14ac:dyDescent="0.25">
      <c r="A102" s="16"/>
      <c r="B102" s="227" t="str">
        <f>'Project-Level Data'!B14</f>
        <v>Cadiz additional imported supplies</v>
      </c>
      <c r="C102" s="473" t="str">
        <f>'Project-Level Data'!C14</f>
        <v>Imported Water Purchases</v>
      </c>
      <c r="D102" s="475"/>
      <c r="E102" s="378">
        <f>'Project-Level Data'!AA14</f>
        <v>3</v>
      </c>
      <c r="F102" s="379">
        <f>'Project-Level Data'!AC14</f>
        <v>3</v>
      </c>
      <c r="G102" s="380">
        <f>'Project-Level Data'!AE14</f>
        <v>3</v>
      </c>
    </row>
    <row r="103" spans="1:7" ht="25.5" hidden="1" x14ac:dyDescent="0.25">
      <c r="B103" s="227" t="str">
        <f>'Project-Level Data'!B23</f>
        <v>East County Advanced Water Purification Program Phase 1</v>
      </c>
      <c r="C103" s="473" t="str">
        <f>'Project-Level Data'!C23</f>
        <v>Potable Reuse</v>
      </c>
      <c r="D103" s="475"/>
      <c r="E103" s="378">
        <f>'Project-Level Data'!AA23</f>
        <v>1</v>
      </c>
      <c r="F103" s="379">
        <f>'Project-Level Data'!AC23</f>
        <v>3</v>
      </c>
      <c r="G103" s="380">
        <f>'Project-Level Data'!AE23</f>
        <v>3</v>
      </c>
    </row>
    <row r="104" spans="1:7" ht="25.5" hidden="1" x14ac:dyDescent="0.25">
      <c r="B104" s="227" t="str">
        <f>'Project-Level Data'!B24</f>
        <v>East County Advanced Water Purification Program Phase 2</v>
      </c>
      <c r="C104" s="473" t="str">
        <f>'Project-Level Data'!C24</f>
        <v>Potable Reuse</v>
      </c>
      <c r="D104" s="475"/>
      <c r="E104" s="378">
        <f>'Project-Level Data'!AA24</f>
        <v>1</v>
      </c>
      <c r="F104" s="379">
        <f>'Project-Level Data'!AC24</f>
        <v>3</v>
      </c>
      <c r="G104" s="380">
        <f>'Project-Level Data'!AE24</f>
        <v>3</v>
      </c>
    </row>
    <row r="105" spans="1:7" ht="15" hidden="1" customHeight="1" x14ac:dyDescent="0.25">
      <c r="B105" s="227" t="str">
        <f>'Project-Level Data'!B25</f>
        <v>East County Advanced Water Purification Program Phase 3</v>
      </c>
      <c r="C105" s="473" t="str">
        <f>'Project-Level Data'!C25</f>
        <v>Potable Reuse</v>
      </c>
      <c r="D105" s="475"/>
      <c r="E105" s="378">
        <f>'Project-Level Data'!AA25</f>
        <v>1</v>
      </c>
      <c r="F105" s="379">
        <f>'Project-Level Data'!AC25</f>
        <v>3</v>
      </c>
      <c r="G105" s="380">
        <f>'Project-Level Data'!AE25</f>
        <v>3</v>
      </c>
    </row>
    <row r="106" spans="1:7" ht="15" hidden="1" customHeight="1" x14ac:dyDescent="0.25">
      <c r="B106" s="227" t="str">
        <f>'Project-Level Data'!B26</f>
        <v>Encina Wastewater Water Reuse Project</v>
      </c>
      <c r="C106" s="473" t="str">
        <f>'Project-Level Data'!C26</f>
        <v>Potable Reuse</v>
      </c>
      <c r="D106" s="475"/>
      <c r="E106" s="378">
        <f>'Project-Level Data'!AA26</f>
        <v>1</v>
      </c>
      <c r="F106" s="379">
        <f>'Project-Level Data'!AC26</f>
        <v>3</v>
      </c>
      <c r="G106" s="380">
        <f>'Project-Level Data'!AE26</f>
        <v>3</v>
      </c>
    </row>
    <row r="107" spans="1:7" ht="25.5" hidden="1" x14ac:dyDescent="0.25">
      <c r="B107" s="227" t="str">
        <f>'Project-Level Data'!B59</f>
        <v>New Local Supply Rincon del Diablo - Hale Avenue RRF/ City of Escondido/WRFs</v>
      </c>
      <c r="C107" s="473" t="str">
        <f>'Project-Level Data'!C59</f>
        <v>Potable Reuse</v>
      </c>
      <c r="D107" s="475"/>
      <c r="E107" s="378" t="str">
        <f>'Project-Level Data'!AA59</f>
        <v>No Response</v>
      </c>
      <c r="F107" s="379" t="str">
        <f>'Project-Level Data'!AC59</f>
        <v>No Response</v>
      </c>
      <c r="G107" s="380" t="str">
        <f>'Project-Level Data'!AE59</f>
        <v>No Response</v>
      </c>
    </row>
    <row r="108" spans="1:7" ht="25.5" hidden="1" x14ac:dyDescent="0.25">
      <c r="B108" s="227" t="str">
        <f>'Project-Level Data'!B73</f>
        <v xml:space="preserve">Potable Reuse/Hale Avenue Resource Recovery Facility (HARRF) </v>
      </c>
      <c r="C108" s="473" t="str">
        <f>'Project-Level Data'!C73</f>
        <v>Potable Reuse</v>
      </c>
      <c r="D108" s="475"/>
      <c r="E108" s="378" t="str">
        <f>'Project-Level Data'!AA73</f>
        <v>No Response</v>
      </c>
      <c r="F108" s="379" t="str">
        <f>'Project-Level Data'!AC73</f>
        <v>No Response</v>
      </c>
      <c r="G108" s="380" t="str">
        <f>'Project-Level Data'!AE73</f>
        <v>No Response</v>
      </c>
    </row>
    <row r="109" spans="1:7" hidden="1" x14ac:dyDescent="0.25">
      <c r="B109" s="227" t="str">
        <f>'Project-Level Data'!B75</f>
        <v xml:space="preserve">Pure Water San Diego Phase 1 - North City </v>
      </c>
      <c r="C109" s="473" t="str">
        <f>'Project-Level Data'!C75</f>
        <v>Potable Reuse</v>
      </c>
      <c r="D109" s="475"/>
      <c r="E109" s="378">
        <f>'Project-Level Data'!AA75</f>
        <v>1</v>
      </c>
      <c r="F109" s="379">
        <f>'Project-Level Data'!AC75</f>
        <v>1</v>
      </c>
      <c r="G109" s="380">
        <f>'Project-Level Data'!AE75</f>
        <v>3</v>
      </c>
    </row>
    <row r="110" spans="1:7" hidden="1" x14ac:dyDescent="0.25">
      <c r="B110" s="227" t="str">
        <f>'Project-Level Data'!B76</f>
        <v>Pure Water San Diego Phase 2 - Central</v>
      </c>
      <c r="C110" s="473" t="str">
        <f>'Project-Level Data'!C76</f>
        <v>Potable Reuse</v>
      </c>
      <c r="D110" s="475"/>
      <c r="E110" s="378">
        <f>'Project-Level Data'!AA76</f>
        <v>1</v>
      </c>
      <c r="F110" s="379">
        <f>'Project-Level Data'!AC76</f>
        <v>1</v>
      </c>
      <c r="G110" s="380">
        <f>'Project-Level Data'!AE76</f>
        <v>3</v>
      </c>
    </row>
    <row r="111" spans="1:7" hidden="1" x14ac:dyDescent="0.25">
      <c r="B111" s="227" t="str">
        <f>'Project-Level Data'!B104</f>
        <v>SFID/SDWD/SEJPA Potable Reuse Project</v>
      </c>
      <c r="C111" s="473" t="str">
        <f>'Project-Level Data'!C104</f>
        <v>Potable Reuse</v>
      </c>
      <c r="D111" s="475"/>
      <c r="E111" s="378">
        <f>'Project-Level Data'!AA104</f>
        <v>1</v>
      </c>
      <c r="F111" s="379">
        <f>'Project-Level Data'!AC104</f>
        <v>3</v>
      </c>
      <c r="G111" s="380">
        <f>'Project-Level Data'!AE104</f>
        <v>3</v>
      </c>
    </row>
    <row r="112" spans="1:7" hidden="1" x14ac:dyDescent="0.25">
      <c r="B112" s="227" t="str">
        <f>'Project-Level Data'!B108</f>
        <v>South WWTP - Indirect Potable Recharge</v>
      </c>
      <c r="C112" s="473" t="str">
        <f>'Project-Level Data'!C108</f>
        <v>Potable Reuse</v>
      </c>
      <c r="D112" s="475"/>
      <c r="E112" s="378">
        <f>'Project-Level Data'!AA108</f>
        <v>1</v>
      </c>
      <c r="F112" s="379">
        <f>'Project-Level Data'!AC108</f>
        <v>1</v>
      </c>
      <c r="G112" s="380">
        <f>'Project-Level Data'!AE108</f>
        <v>1</v>
      </c>
    </row>
    <row r="113" spans="2:7" hidden="1" x14ac:dyDescent="0.25">
      <c r="B113" s="227" t="str">
        <f>'Project-Level Data'!B109</f>
        <v>South WWTP - Injection to Las Flores Basin</v>
      </c>
      <c r="C113" s="473" t="str">
        <f>'Project-Level Data'!C109</f>
        <v>Potable Reuse</v>
      </c>
      <c r="D113" s="475"/>
      <c r="E113" s="378">
        <f>'Project-Level Data'!AA109</f>
        <v>1</v>
      </c>
      <c r="F113" s="379">
        <f>'Project-Level Data'!AC109</f>
        <v>3</v>
      </c>
      <c r="G113" s="380">
        <f>'Project-Level Data'!AE109</f>
        <v>1</v>
      </c>
    </row>
    <row r="114" spans="2:7" hidden="1" x14ac:dyDescent="0.25">
      <c r="B114" s="227" t="str">
        <f>'Project-Level Data'!B110</f>
        <v>South WWTP - Injection to Santa Margarita Basin</v>
      </c>
      <c r="C114" s="473" t="str">
        <f>'Project-Level Data'!C110</f>
        <v>Potable Reuse</v>
      </c>
      <c r="D114" s="475"/>
      <c r="E114" s="378">
        <f>'Project-Level Data'!AA110</f>
        <v>1</v>
      </c>
      <c r="F114" s="379">
        <f>'Project-Level Data'!AC110</f>
        <v>3</v>
      </c>
      <c r="G114" s="380">
        <f>'Project-Level Data'!AE110</f>
        <v>1</v>
      </c>
    </row>
    <row r="115" spans="2:7" hidden="1" x14ac:dyDescent="0.25">
      <c r="B115" s="227" t="str">
        <f>'Project-Level Data'!B17</f>
        <v>Carlsbad WRF - Landscape, Agriculture 2025</v>
      </c>
      <c r="C115" s="473" t="str">
        <f>'Project-Level Data'!C17</f>
        <v>Recycled Water</v>
      </c>
      <c r="D115" s="475"/>
      <c r="E115" s="378">
        <f>'Project-Level Data'!AA17</f>
        <v>3</v>
      </c>
      <c r="F115" s="379">
        <f>'Project-Level Data'!AC17</f>
        <v>3</v>
      </c>
      <c r="G115" s="380">
        <f>'Project-Level Data'!AE17</f>
        <v>1</v>
      </c>
    </row>
    <row r="116" spans="2:7" hidden="1" x14ac:dyDescent="0.25">
      <c r="B116" s="227" t="str">
        <f>'Project-Level Data'!B18</f>
        <v>Carlsbad WRF - Landscape, Agriculture 2050</v>
      </c>
      <c r="C116" s="473" t="str">
        <f>'Project-Level Data'!C18</f>
        <v>Recycled Water</v>
      </c>
      <c r="D116" s="475"/>
      <c r="E116" s="378">
        <f>'Project-Level Data'!AA18</f>
        <v>3</v>
      </c>
      <c r="F116" s="379">
        <f>'Project-Level Data'!AC18</f>
        <v>3</v>
      </c>
      <c r="G116" s="380">
        <f>'Project-Level Data'!AE18</f>
        <v>1</v>
      </c>
    </row>
    <row r="117" spans="2:7" hidden="1" x14ac:dyDescent="0.25">
      <c r="B117" s="227" t="str">
        <f>'Project-Level Data'!B28</f>
        <v>Extension 153 Phase I</v>
      </c>
      <c r="C117" s="473" t="str">
        <f>'Project-Level Data'!C28</f>
        <v>Recycled Water</v>
      </c>
      <c r="D117" s="475"/>
      <c r="E117" s="378">
        <f>'Project-Level Data'!AA28</f>
        <v>3</v>
      </c>
      <c r="F117" s="379">
        <f>'Project-Level Data'!AC28</f>
        <v>5</v>
      </c>
      <c r="G117" s="380">
        <f>'Project-Level Data'!AE28</f>
        <v>1</v>
      </c>
    </row>
    <row r="118" spans="2:7" hidden="1" x14ac:dyDescent="0.25">
      <c r="B118" s="227" t="str">
        <f>'Project-Level Data'!B29</f>
        <v>Extension 153 Phase II</v>
      </c>
      <c r="C118" s="473" t="str">
        <f>'Project-Level Data'!C29</f>
        <v>Recycled Water</v>
      </c>
      <c r="D118" s="475"/>
      <c r="E118" s="378">
        <f>'Project-Level Data'!AA29</f>
        <v>3</v>
      </c>
      <c r="F118" s="379">
        <f>'Project-Level Data'!AC29</f>
        <v>5</v>
      </c>
      <c r="G118" s="380">
        <f>'Project-Level Data'!AE29</f>
        <v>1</v>
      </c>
    </row>
    <row r="119" spans="2:7" ht="25.5" hidden="1" x14ac:dyDescent="0.25">
      <c r="B119" s="227" t="str">
        <f>'Project-Level Data'!B35</f>
        <v>Hale Avenue Resource Recovery Facility (HARRF) - Landscape, Agriculture, Industrial, PR</v>
      </c>
      <c r="C119" s="473" t="str">
        <f>'Project-Level Data'!C35</f>
        <v>Recycled Water</v>
      </c>
      <c r="D119" s="475"/>
      <c r="E119" s="378" t="str">
        <f>'Project-Level Data'!AA35</f>
        <v>No Response</v>
      </c>
      <c r="F119" s="379" t="str">
        <f>'Project-Level Data'!AC35</f>
        <v>No Response</v>
      </c>
      <c r="G119" s="380" t="str">
        <f>'Project-Level Data'!AE35</f>
        <v>No Response</v>
      </c>
    </row>
    <row r="120" spans="2:7" ht="25.5" hidden="1" x14ac:dyDescent="0.25">
      <c r="B120" s="227" t="str">
        <f>'Project-Level Data'!B36</f>
        <v>Integrated Water Resource Solutions for the Carlsbad Watershed</v>
      </c>
      <c r="C120" s="473" t="str">
        <f>'Project-Level Data'!C36</f>
        <v>Recycled Water</v>
      </c>
      <c r="D120" s="475"/>
      <c r="E120" s="378">
        <f>'Project-Level Data'!AA36</f>
        <v>3</v>
      </c>
      <c r="F120" s="379">
        <f>'Project-Level Data'!AC36</f>
        <v>5</v>
      </c>
      <c r="G120" s="380">
        <f>'Project-Level Data'!AE36</f>
        <v>3</v>
      </c>
    </row>
    <row r="121" spans="2:7" ht="25.5" hidden="1" x14ac:dyDescent="0.25">
      <c r="B121" s="227" t="str">
        <f>'Project-Level Data'!B37</f>
        <v>Intergrated Water Resource Solutions for the Carlsbad Watershed</v>
      </c>
      <c r="C121" s="473" t="str">
        <f>'Project-Level Data'!C37</f>
        <v>Recycled Water</v>
      </c>
      <c r="D121" s="475"/>
      <c r="E121" s="378">
        <f>'Project-Level Data'!AA37</f>
        <v>3</v>
      </c>
      <c r="F121" s="379">
        <f>'Project-Level Data'!AC37</f>
        <v>5</v>
      </c>
      <c r="G121" s="380">
        <f>'Project-Level Data'!AE37</f>
        <v>3</v>
      </c>
    </row>
    <row r="122" spans="2:7" hidden="1" x14ac:dyDescent="0.25">
      <c r="B122" s="227" t="str">
        <f>'Project-Level Data'!B38</f>
        <v>Joint RW Transmission Project with SFID and OMWD</v>
      </c>
      <c r="C122" s="473" t="str">
        <f>'Project-Level Data'!C38</f>
        <v>Recycled Water</v>
      </c>
      <c r="D122" s="475"/>
      <c r="E122" s="378">
        <f>'Project-Level Data'!AA38</f>
        <v>1</v>
      </c>
      <c r="F122" s="379">
        <f>'Project-Level Data'!AC38</f>
        <v>1</v>
      </c>
      <c r="G122" s="380">
        <f>'Project-Level Data'!AE38</f>
        <v>3</v>
      </c>
    </row>
    <row r="123" spans="2:7" hidden="1" x14ac:dyDescent="0.25">
      <c r="B123" s="227" t="str">
        <f>'Project-Level Data'!B42</f>
        <v>Lilac Hills Ranch WRF</v>
      </c>
      <c r="C123" s="473" t="str">
        <f>'Project-Level Data'!C42</f>
        <v>Recycled Water</v>
      </c>
      <c r="D123" s="475"/>
      <c r="E123" s="378" t="str">
        <f>'Project-Level Data'!AA42</f>
        <v>No Response</v>
      </c>
      <c r="F123" s="379" t="str">
        <f>'Project-Level Data'!AC42</f>
        <v>No Response</v>
      </c>
      <c r="G123" s="380" t="str">
        <f>'Project-Level Data'!AE42</f>
        <v>No Response</v>
      </c>
    </row>
    <row r="124" spans="2:7" ht="15" hidden="1" customHeight="1" x14ac:dyDescent="0.25">
      <c r="B124" s="227" t="str">
        <f>'Project-Level Data'!B45</f>
        <v>Lower Moosa Canyon WRF</v>
      </c>
      <c r="C124" s="473" t="str">
        <f>'Project-Level Data'!C45</f>
        <v>Recycled Water</v>
      </c>
      <c r="D124" s="475"/>
      <c r="E124" s="378" t="str">
        <f>'Project-Level Data'!AA45</f>
        <v>No Response</v>
      </c>
      <c r="F124" s="379" t="str">
        <f>'Project-Level Data'!AC45</f>
        <v>No Response</v>
      </c>
      <c r="G124" s="380" t="str">
        <f>'Project-Level Data'!AE45</f>
        <v>No Response</v>
      </c>
    </row>
    <row r="125" spans="2:7" hidden="1" x14ac:dyDescent="0.25">
      <c r="B125" s="227" t="str">
        <f>'Project-Level Data'!B50</f>
        <v>Meadowlark WRF</v>
      </c>
      <c r="C125" s="473" t="str">
        <f>'Project-Level Data'!C50</f>
        <v>Recycled Water</v>
      </c>
      <c r="D125" s="475"/>
      <c r="E125" s="378" t="str">
        <f>'Project-Level Data'!AA50</f>
        <v>No Response</v>
      </c>
      <c r="F125" s="379" t="str">
        <f>'Project-Level Data'!AC50</f>
        <v>No Response</v>
      </c>
      <c r="G125" s="380" t="str">
        <f>'Project-Level Data'!AE50</f>
        <v>No Response</v>
      </c>
    </row>
    <row r="126" spans="2:7" hidden="1" x14ac:dyDescent="0.25">
      <c r="B126" s="227" t="str">
        <f>'Project-Level Data'!B51</f>
        <v>Meadowood WRF</v>
      </c>
      <c r="C126" s="473" t="str">
        <f>'Project-Level Data'!C51</f>
        <v>Recycled Water</v>
      </c>
      <c r="D126" s="475"/>
      <c r="E126" s="378" t="str">
        <f>'Project-Level Data'!AA51</f>
        <v>No Response</v>
      </c>
      <c r="F126" s="379" t="str">
        <f>'Project-Level Data'!AC51</f>
        <v>No Response</v>
      </c>
      <c r="G126" s="380" t="str">
        <f>'Project-Level Data'!AE51</f>
        <v>No Response</v>
      </c>
    </row>
    <row r="127" spans="2:7" hidden="1" x14ac:dyDescent="0.25">
      <c r="B127" s="227" t="str">
        <f>'Project-Level Data'!B61</f>
        <v>North City WRP - Project 1</v>
      </c>
      <c r="C127" s="473" t="str">
        <f>'Project-Level Data'!C61</f>
        <v>Recycled Water</v>
      </c>
      <c r="D127" s="475"/>
      <c r="E127" s="378">
        <f>'Project-Level Data'!AA61</f>
        <v>1</v>
      </c>
      <c r="F127" s="379">
        <f>'Project-Level Data'!AC61</f>
        <v>5</v>
      </c>
      <c r="G127" s="380">
        <f>'Project-Level Data'!AE61</f>
        <v>3</v>
      </c>
    </row>
    <row r="128" spans="2:7" ht="15" hidden="1" customHeight="1" x14ac:dyDescent="0.25">
      <c r="B128" s="227" t="str">
        <f>'Project-Level Data'!B62</f>
        <v>North City WRP - Project 2</v>
      </c>
      <c r="C128" s="473" t="str">
        <f>'Project-Level Data'!C62</f>
        <v>Recycled Water</v>
      </c>
      <c r="D128" s="475"/>
      <c r="E128" s="378">
        <f>'Project-Level Data'!AA62</f>
        <v>1</v>
      </c>
      <c r="F128" s="379">
        <f>'Project-Level Data'!AC62</f>
        <v>5</v>
      </c>
      <c r="G128" s="380">
        <f>'Project-Level Data'!AE62</f>
        <v>3</v>
      </c>
    </row>
    <row r="129" spans="1:7" hidden="1" x14ac:dyDescent="0.25">
      <c r="B129" s="227" t="str">
        <f>'Project-Level Data'!B63</f>
        <v>North District Recycled System/RW Chapman WRF</v>
      </c>
      <c r="C129" s="473" t="str">
        <f>'Project-Level Data'!C63</f>
        <v>Recycled Water</v>
      </c>
      <c r="D129" s="475"/>
      <c r="E129" s="378">
        <f>'Project-Level Data'!AA63</f>
        <v>3</v>
      </c>
      <c r="F129" s="379">
        <f>'Project-Level Data'!AC63</f>
        <v>3</v>
      </c>
      <c r="G129" s="380">
        <f>'Project-Level Data'!AE63</f>
        <v>3</v>
      </c>
    </row>
    <row r="130" spans="1:7" ht="15" hidden="1" customHeight="1" x14ac:dyDescent="0.25">
      <c r="B130" s="227" t="str">
        <f>'Project-Level Data'!B64</f>
        <v>North San Diego County Regional Recycled Water Project-Phase ll</v>
      </c>
      <c r="C130" s="473" t="str">
        <f>'Project-Level Data'!C64</f>
        <v>Recycled Water</v>
      </c>
      <c r="D130" s="475"/>
      <c r="E130" s="378">
        <f>'Project-Level Data'!AA64</f>
        <v>1</v>
      </c>
      <c r="F130" s="379">
        <f>'Project-Level Data'!AC64</f>
        <v>3</v>
      </c>
      <c r="G130" s="380">
        <f>'Project-Level Data'!AE64</f>
        <v>3</v>
      </c>
    </row>
    <row r="131" spans="1:7" ht="15" hidden="1" customHeight="1" x14ac:dyDescent="0.25">
      <c r="B131" s="227" t="str">
        <f>'Project-Level Data'!B65</f>
        <v>North Village WRF</v>
      </c>
      <c r="C131" s="473" t="str">
        <f>'Project-Level Data'!C65</f>
        <v>Recycled Water</v>
      </c>
      <c r="D131" s="475"/>
      <c r="E131" s="378" t="str">
        <f>'Project-Level Data'!AA65</f>
        <v>No Response</v>
      </c>
      <c r="F131" s="379" t="str">
        <f>'Project-Level Data'!AC65</f>
        <v>No Response</v>
      </c>
      <c r="G131" s="380" t="str">
        <f>'Project-Level Data'!AE65</f>
        <v>No Response</v>
      </c>
    </row>
    <row r="132" spans="1:7" hidden="1" x14ac:dyDescent="0.25">
      <c r="A132" s="14"/>
      <c r="B132" s="227" t="str">
        <f>'Project-Level Data'!B66</f>
        <v>North WWTP Landscape Application</v>
      </c>
      <c r="C132" s="473" t="str">
        <f>'Project-Level Data'!C66</f>
        <v>Recycled Water</v>
      </c>
      <c r="D132" s="475"/>
      <c r="E132" s="378">
        <f>'Project-Level Data'!AA66</f>
        <v>3</v>
      </c>
      <c r="F132" s="379">
        <f>'Project-Level Data'!AC66</f>
        <v>5</v>
      </c>
      <c r="G132" s="380">
        <f>'Project-Level Data'!AE66</f>
        <v>1</v>
      </c>
    </row>
    <row r="133" spans="1:7" ht="15" hidden="1" customHeight="1" x14ac:dyDescent="0.25">
      <c r="B133" s="227" t="str">
        <f>'Project-Level Data'!B78</f>
        <v>Rancho Cielo</v>
      </c>
      <c r="C133" s="473" t="str">
        <f>'Project-Level Data'!C78</f>
        <v>Recycled Water</v>
      </c>
      <c r="D133" s="475"/>
      <c r="E133" s="378">
        <f>'Project-Level Data'!AA78</f>
        <v>3</v>
      </c>
      <c r="F133" s="379">
        <f>'Project-Level Data'!AC78</f>
        <v>3</v>
      </c>
      <c r="G133" s="380">
        <f>'Project-Level Data'!AE78</f>
        <v>3</v>
      </c>
    </row>
    <row r="134" spans="1:7" hidden="1" x14ac:dyDescent="0.25">
      <c r="B134" s="227" t="str">
        <f>'Project-Level Data'!B80</f>
        <v>Ray Stoyer WRF - Landscape, Irrigation, Dust Control</v>
      </c>
      <c r="C134" s="473" t="str">
        <f>'Project-Level Data'!C80</f>
        <v>Recycled Water</v>
      </c>
      <c r="D134" s="475"/>
      <c r="E134" s="378">
        <f>'Project-Level Data'!AA80</f>
        <v>3</v>
      </c>
      <c r="F134" s="379">
        <f>'Project-Level Data'!AC80</f>
        <v>3</v>
      </c>
      <c r="G134" s="380">
        <f>'Project-Level Data'!AE80</f>
        <v>3</v>
      </c>
    </row>
    <row r="135" spans="1:7" ht="15" hidden="1" customHeight="1" x14ac:dyDescent="0.25">
      <c r="B135" s="227" t="str">
        <f>'Project-Level Data'!B86</f>
        <v>Safari Drought Response and Outreach</v>
      </c>
      <c r="C135" s="473" t="str">
        <f>'Project-Level Data'!C86</f>
        <v>Recycled Water</v>
      </c>
      <c r="D135" s="475"/>
      <c r="E135" s="378" t="str">
        <f>'Project-Level Data'!AA86</f>
        <v>No Response</v>
      </c>
      <c r="F135" s="379" t="str">
        <f>'Project-Level Data'!AC86</f>
        <v>No Response</v>
      </c>
      <c r="G135" s="380" t="str">
        <f>'Project-Level Data'!AE86</f>
        <v>No Response</v>
      </c>
    </row>
    <row r="136" spans="1:7" hidden="1" x14ac:dyDescent="0.25">
      <c r="B136" s="227" t="str">
        <f>'Project-Level Data'!B102</f>
        <v>Santa Maria WRP</v>
      </c>
      <c r="C136" s="473" t="str">
        <f>'Project-Level Data'!C102</f>
        <v>Recycled Water</v>
      </c>
      <c r="D136" s="475"/>
      <c r="E136" s="378" t="str">
        <f>'Project-Level Data'!AA102</f>
        <v>No Response</v>
      </c>
      <c r="F136" s="379" t="str">
        <f>'Project-Level Data'!AC102</f>
        <v>No Response</v>
      </c>
      <c r="G136" s="380" t="str">
        <f>'Project-Level Data'!AE102</f>
        <v>No Response</v>
      </c>
    </row>
    <row r="137" spans="1:7" hidden="1" x14ac:dyDescent="0.25">
      <c r="B137" s="227" t="str">
        <f>'Project-Level Data'!B105</f>
        <v>Shadowridge WRP</v>
      </c>
      <c r="C137" s="473" t="str">
        <f>'Project-Level Data'!C105</f>
        <v>Recycled Water</v>
      </c>
      <c r="D137" s="475"/>
      <c r="E137" s="378" t="str">
        <f>'Project-Level Data'!AA105</f>
        <v>No Response</v>
      </c>
      <c r="F137" s="379" t="str">
        <f>'Project-Level Data'!AC105</f>
        <v>No Response</v>
      </c>
      <c r="G137" s="380" t="str">
        <f>'Project-Level Data'!AE105</f>
        <v>No Response</v>
      </c>
    </row>
    <row r="138" spans="1:7" ht="25.5" hidden="1" x14ac:dyDescent="0.25">
      <c r="B138" s="227" t="str">
        <f>'Project-Level Data'!B118</f>
        <v>TBD - Evaluation Multiple Options/TBD - Supply/ Source Treatment Plant/Agency for recycled water</v>
      </c>
      <c r="C138" s="473" t="str">
        <f>'Project-Level Data'!C118</f>
        <v>Recycled Water</v>
      </c>
      <c r="D138" s="475"/>
      <c r="E138" s="378">
        <f>'Project-Level Data'!AA118</f>
        <v>3</v>
      </c>
      <c r="F138" s="379">
        <f>'Project-Level Data'!AC118</f>
        <v>3</v>
      </c>
      <c r="G138" s="380">
        <f>'Project-Level Data'!AE118</f>
        <v>3</v>
      </c>
    </row>
    <row r="139" spans="1:7" hidden="1" x14ac:dyDescent="0.25">
      <c r="B139" s="227" t="str">
        <f>'Project-Level Data'!B122</f>
        <v>Village Park Recycled Water Expansion Project</v>
      </c>
      <c r="C139" s="473" t="str">
        <f>'Project-Level Data'!C122</f>
        <v>Recycled Water</v>
      </c>
      <c r="D139" s="475"/>
      <c r="E139" s="378">
        <f>'Project-Level Data'!AA122</f>
        <v>1</v>
      </c>
      <c r="F139" s="379">
        <f>'Project-Level Data'!AC122</f>
        <v>3</v>
      </c>
      <c r="G139" s="380">
        <f>'Project-Level Data'!AE122</f>
        <v>3</v>
      </c>
    </row>
    <row r="140" spans="1:7" hidden="1" x14ac:dyDescent="0.25">
      <c r="B140" s="227" t="str">
        <f>'Project-Level Data'!B123</f>
        <v>W+157:181RP/Recycled Water Distribution System</v>
      </c>
      <c r="C140" s="473" t="str">
        <f>'Project-Level Data'!C123</f>
        <v>Recycled Water</v>
      </c>
      <c r="D140" s="475"/>
      <c r="E140" s="378" t="str">
        <f>'Project-Level Data'!AA123</f>
        <v>No Response</v>
      </c>
      <c r="F140" s="379" t="str">
        <f>'Project-Level Data'!AC123</f>
        <v>No Response</v>
      </c>
      <c r="G140" s="380" t="str">
        <f>'Project-Level Data'!AE123</f>
        <v>No Response</v>
      </c>
    </row>
    <row r="141" spans="1:7" hidden="1" x14ac:dyDescent="0.25">
      <c r="B141" s="227" t="str">
        <f>'Project-Level Data'!B124</f>
        <v>Welk WRF</v>
      </c>
      <c r="C141" s="473" t="str">
        <f>'Project-Level Data'!C124</f>
        <v>Recycled Water</v>
      </c>
      <c r="D141" s="475"/>
      <c r="E141" s="378" t="str">
        <f>'Project-Level Data'!AA124</f>
        <v>No Response</v>
      </c>
      <c r="F141" s="379" t="str">
        <f>'Project-Level Data'!AC124</f>
        <v>No Response</v>
      </c>
      <c r="G141" s="380" t="str">
        <f>'Project-Level Data'!AE124</f>
        <v>No Response</v>
      </c>
    </row>
    <row r="142" spans="1:7" hidden="1" x14ac:dyDescent="0.25">
      <c r="B142" s="227" t="str">
        <f>'Project-Level Data'!B125</f>
        <v>Woods Valley Ranch WRF Phase 3</v>
      </c>
      <c r="C142" s="473" t="str">
        <f>'Project-Level Data'!C125</f>
        <v>Recycled Water</v>
      </c>
      <c r="D142" s="475"/>
      <c r="E142" s="378" t="str">
        <f>'Project-Level Data'!AA125</f>
        <v>No Response</v>
      </c>
      <c r="F142" s="379" t="str">
        <f>'Project-Level Data'!AC125</f>
        <v>No Response</v>
      </c>
      <c r="G142" s="380" t="str">
        <f>'Project-Level Data'!AE125</f>
        <v>No Response</v>
      </c>
    </row>
    <row r="143" spans="1:7" hidden="1" x14ac:dyDescent="0.25">
      <c r="B143" s="227" t="str">
        <f>'Project-Level Data'!B15</f>
        <v>Camp Pendleton Desalination Facility</v>
      </c>
      <c r="C143" s="473" t="str">
        <f>'Project-Level Data'!C15</f>
        <v>Seawater Desalination</v>
      </c>
      <c r="D143" s="475"/>
      <c r="E143" s="378">
        <f>'Project-Level Data'!AA15</f>
        <v>1</v>
      </c>
      <c r="F143" s="379">
        <f>'Project-Level Data'!AC15</f>
        <v>3</v>
      </c>
      <c r="G143" s="380">
        <f>'Project-Level Data'!AE15</f>
        <v>1</v>
      </c>
    </row>
    <row r="144" spans="1:7" ht="15" hidden="1" customHeight="1" x14ac:dyDescent="0.25">
      <c r="B144" s="227" t="str">
        <f>'Project-Level Data'!B83</f>
        <v>Re-rating of Carlsbad Desalination for higher flow</v>
      </c>
      <c r="C144" s="473" t="str">
        <f>'Project-Level Data'!C83</f>
        <v>Seawater Desalination</v>
      </c>
      <c r="D144" s="475"/>
      <c r="E144" s="378" t="str">
        <f>'Project-Level Data'!AA83</f>
        <v>No Response</v>
      </c>
      <c r="F144" s="379" t="str">
        <f>'Project-Level Data'!AC83</f>
        <v>No Response</v>
      </c>
      <c r="G144" s="380" t="str">
        <f>'Project-Level Data'!AE83</f>
        <v>No Response</v>
      </c>
    </row>
    <row r="145" spans="2:7" ht="15" hidden="1" customHeight="1" x14ac:dyDescent="0.25">
      <c r="B145" s="227" t="str">
        <f>'Project-Level Data'!B85</f>
        <v>Rosarito Beach Desalination</v>
      </c>
      <c r="C145" s="473" t="str">
        <f>'Project-Level Data'!C85</f>
        <v>Seawater Desalination</v>
      </c>
      <c r="D145" s="475"/>
      <c r="E145" s="378">
        <f>'Project-Level Data'!AA85</f>
        <v>3</v>
      </c>
      <c r="F145" s="379">
        <f>'Project-Level Data'!AC85</f>
        <v>3</v>
      </c>
      <c r="G145" s="380">
        <f>'Project-Level Data'!AE85</f>
        <v>3</v>
      </c>
    </row>
    <row r="146" spans="2:7" ht="38.25" hidden="1" x14ac:dyDescent="0.25">
      <c r="B146" s="227" t="str">
        <f>'Project-Level Data'!B9</f>
        <v>Alternative Compliance Retrofit Project El Norte Parkway and Rincon
Villa Drive, Escondido</v>
      </c>
      <c r="C146" s="473" t="str">
        <f>'Project-Level Data'!C9</f>
        <v>Stormwater BMPs</v>
      </c>
      <c r="D146" s="475"/>
      <c r="E146" s="378" t="str">
        <f>'Project-Level Data'!AA9</f>
        <v>No Response</v>
      </c>
      <c r="F146" s="379" t="str">
        <f>'Project-Level Data'!AC9</f>
        <v>No Response</v>
      </c>
      <c r="G146" s="380" t="str">
        <f>'Project-Level Data'!AE9</f>
        <v>No Response</v>
      </c>
    </row>
    <row r="147" spans="2:7" ht="15" hidden="1" customHeight="1" x14ac:dyDescent="0.25">
      <c r="B147" s="227" t="str">
        <f>'Project-Level Data'!B10</f>
        <v>Alternative Compliance Retrofit Project Mountain View Park, Escondido</v>
      </c>
      <c r="C147" s="473" t="str">
        <f>'Project-Level Data'!C10</f>
        <v>Stormwater BMPs</v>
      </c>
      <c r="D147" s="475"/>
      <c r="E147" s="378" t="str">
        <f>'Project-Level Data'!AA10</f>
        <v>No Response</v>
      </c>
      <c r="F147" s="379" t="str">
        <f>'Project-Level Data'!AC10</f>
        <v>No Response</v>
      </c>
      <c r="G147" s="380" t="str">
        <f>'Project-Level Data'!AE10</f>
        <v>No Response</v>
      </c>
    </row>
    <row r="148" spans="2:7" hidden="1" x14ac:dyDescent="0.25">
      <c r="B148" s="227" t="str">
        <f>'Project-Level Data'!B11</f>
        <v>Bakersfield Street and San Altos Channel Restoration</v>
      </c>
      <c r="C148" s="473" t="str">
        <f>'Project-Level Data'!C11</f>
        <v>Stormwater BMPs</v>
      </c>
      <c r="D148" s="475"/>
      <c r="E148" s="378">
        <f>'Project-Level Data'!AA11</f>
        <v>1</v>
      </c>
      <c r="F148" s="379">
        <f>'Project-Level Data'!AC11</f>
        <v>1</v>
      </c>
      <c r="G148" s="380">
        <f>'Project-Level Data'!AE11</f>
        <v>3</v>
      </c>
    </row>
    <row r="149" spans="2:7" ht="38.25" hidden="1" x14ac:dyDescent="0.25">
      <c r="B149" s="227" t="str">
        <f>'Project-Level Data'!B12</f>
        <v>Broadway Channel Flood Risk Reduction and Water Quality
Improvements</v>
      </c>
      <c r="C149" s="473" t="str">
        <f>'Project-Level Data'!C12</f>
        <v>Stormwater BMPs</v>
      </c>
      <c r="D149" s="475"/>
      <c r="E149" s="378">
        <f>'Project-Level Data'!AA12</f>
        <v>1</v>
      </c>
      <c r="F149" s="379">
        <f>'Project-Level Data'!AC12</f>
        <v>3</v>
      </c>
      <c r="G149" s="380" t="str">
        <f>'Project-Level Data'!AE12</f>
        <v>MISSING</v>
      </c>
    </row>
    <row r="150" spans="2:7" hidden="1" x14ac:dyDescent="0.25">
      <c r="B150" s="227" t="str">
        <f>'Project-Level Data'!B20</f>
        <v>City of Oceanside Loma Alta Slough Restoration Project</v>
      </c>
      <c r="C150" s="473" t="str">
        <f>'Project-Level Data'!C20</f>
        <v>Stormwater BMPs</v>
      </c>
      <c r="D150" s="475"/>
      <c r="E150" s="378" t="str">
        <f>'Project-Level Data'!AA20</f>
        <v>No Response</v>
      </c>
      <c r="F150" s="379" t="str">
        <f>'Project-Level Data'!AC20</f>
        <v>No Response</v>
      </c>
      <c r="G150" s="380" t="str">
        <f>'Project-Level Data'!AE20</f>
        <v>No Response</v>
      </c>
    </row>
    <row r="151" spans="2:7" hidden="1" x14ac:dyDescent="0.25">
      <c r="B151" s="227" t="str">
        <f>'Project-Level Data'!B32</f>
        <v>Golden Ave Green Street</v>
      </c>
      <c r="C151" s="473" t="str">
        <f>'Project-Level Data'!C32</f>
        <v>Stormwater BMPs</v>
      </c>
      <c r="D151" s="475"/>
      <c r="E151" s="378">
        <f>'Project-Level Data'!AA32</f>
        <v>1</v>
      </c>
      <c r="F151" s="379">
        <f>'Project-Level Data'!AC32</f>
        <v>1</v>
      </c>
      <c r="G151" s="380">
        <f>'Project-Level Data'!AE32</f>
        <v>3</v>
      </c>
    </row>
    <row r="152" spans="2:7" hidden="1" x14ac:dyDescent="0.25">
      <c r="B152" s="227" t="str">
        <f>'Project-Level Data'!B39</f>
        <v>Las Colinas Channel Improvments</v>
      </c>
      <c r="C152" s="473" t="str">
        <f>'Project-Level Data'!C39</f>
        <v>Stormwater BMPs</v>
      </c>
      <c r="D152" s="475"/>
      <c r="E152" s="378">
        <f>'Project-Level Data'!AA39</f>
        <v>3</v>
      </c>
      <c r="F152" s="379">
        <f>'Project-Level Data'!AC39</f>
        <v>3</v>
      </c>
      <c r="G152" s="380">
        <f>'Project-Level Data'!AE39</f>
        <v>3</v>
      </c>
    </row>
    <row r="153" spans="2:7" hidden="1" x14ac:dyDescent="0.25">
      <c r="B153" s="227" t="str">
        <f>'Project-Level Data'!B40</f>
        <v>Lemon Grove Avenue Green Streets</v>
      </c>
      <c r="C153" s="473" t="str">
        <f>'Project-Level Data'!C40</f>
        <v>Stormwater BMPs</v>
      </c>
      <c r="D153" s="475"/>
      <c r="E153" s="378">
        <f>'Project-Level Data'!AA40</f>
        <v>3</v>
      </c>
      <c r="F153" s="379">
        <f>'Project-Level Data'!AC40</f>
        <v>1</v>
      </c>
      <c r="G153" s="380">
        <f>'Project-Level Data'!AE40</f>
        <v>3</v>
      </c>
    </row>
    <row r="154" spans="2:7" ht="25.5" hidden="1" x14ac:dyDescent="0.25">
      <c r="B154" s="227" t="str">
        <f>'Project-Level Data'!B41</f>
        <v>Leucadia Roadside Park Stormwater Capture/Reuse Project</v>
      </c>
      <c r="C154" s="473" t="str">
        <f>'Project-Level Data'!C41</f>
        <v>Stormwater BMPs</v>
      </c>
      <c r="D154" s="475"/>
      <c r="E154" s="378">
        <f>'Project-Level Data'!AA41</f>
        <v>3</v>
      </c>
      <c r="F154" s="379">
        <f>'Project-Level Data'!AC41</f>
        <v>3</v>
      </c>
      <c r="G154" s="380">
        <f>'Project-Level Data'!AE41</f>
        <v>3</v>
      </c>
    </row>
    <row r="155" spans="2:7" hidden="1" x14ac:dyDescent="0.25">
      <c r="B155" s="227" t="str">
        <f>'Project-Level Data'!B43</f>
        <v>Lincoln St Green Street</v>
      </c>
      <c r="C155" s="473" t="str">
        <f>'Project-Level Data'!C43</f>
        <v>Stormwater BMPs</v>
      </c>
      <c r="D155" s="475"/>
      <c r="E155" s="378">
        <f>'Project-Level Data'!AA43</f>
        <v>3</v>
      </c>
      <c r="F155" s="379">
        <f>'Project-Level Data'!AC43</f>
        <v>1</v>
      </c>
      <c r="G155" s="380">
        <f>'Project-Level Data'!AE43</f>
        <v>3</v>
      </c>
    </row>
    <row r="156" spans="2:7" ht="15" hidden="1" customHeight="1" x14ac:dyDescent="0.25">
      <c r="B156" s="227" t="str">
        <f>'Project-Level Data'!B44</f>
        <v xml:space="preserve">Low Impact Development Urban Runoff Control Projects for the Tijuana Estuary </v>
      </c>
      <c r="C156" s="473" t="str">
        <f>'Project-Level Data'!C44</f>
        <v>Stormwater BMPs</v>
      </c>
      <c r="D156" s="475"/>
      <c r="E156" s="378">
        <f>'Project-Level Data'!AA44</f>
        <v>3</v>
      </c>
      <c r="F156" s="379">
        <f>'Project-Level Data'!AC44</f>
        <v>5</v>
      </c>
      <c r="G156" s="380">
        <f>'Project-Level Data'!AE44</f>
        <v>3</v>
      </c>
    </row>
    <row r="157" spans="2:7" ht="15" hidden="1" customHeight="1" x14ac:dyDescent="0.25">
      <c r="B157" s="227" t="str">
        <f>'Project-Level Data'!B46</f>
        <v>Madera St Green Street</v>
      </c>
      <c r="C157" s="473" t="str">
        <f>'Project-Level Data'!C46</f>
        <v>Stormwater BMPs</v>
      </c>
      <c r="D157" s="475"/>
      <c r="E157" s="378">
        <f>'Project-Level Data'!AA46</f>
        <v>3</v>
      </c>
      <c r="F157" s="379">
        <f>'Project-Level Data'!AC46</f>
        <v>1</v>
      </c>
      <c r="G157" s="380">
        <f>'Project-Level Data'!AE46</f>
        <v>3</v>
      </c>
    </row>
    <row r="158" spans="2:7" hidden="1" x14ac:dyDescent="0.25">
      <c r="B158" s="227" t="str">
        <f>'Project-Level Data'!B47</f>
        <v>Main Street Promenade Extension</v>
      </c>
      <c r="C158" s="473" t="str">
        <f>'Project-Level Data'!C47</f>
        <v>Stormwater BMPs</v>
      </c>
      <c r="D158" s="475"/>
      <c r="E158" s="378">
        <f>'Project-Level Data'!AA47</f>
        <v>1</v>
      </c>
      <c r="F158" s="379">
        <f>'Project-Level Data'!AC47</f>
        <v>1</v>
      </c>
      <c r="G158" s="380">
        <f>'Project-Level Data'!AE47</f>
        <v>3</v>
      </c>
    </row>
    <row r="159" spans="2:7" ht="25.5" hidden="1" x14ac:dyDescent="0.25">
      <c r="B159" s="227" t="str">
        <f>'Project-Level Data'!B48</f>
        <v>Mapleview Street ‐ Green Infrastructure and Stormwater QualityImprovement Project</v>
      </c>
      <c r="C159" s="473" t="str">
        <f>'Project-Level Data'!C48</f>
        <v>Stormwater BMPs</v>
      </c>
      <c r="D159" s="475"/>
      <c r="E159" s="378">
        <f>'Project-Level Data'!AA48</f>
        <v>1</v>
      </c>
      <c r="F159" s="379">
        <f>'Project-Level Data'!AC48</f>
        <v>3</v>
      </c>
      <c r="G159" s="380">
        <f>'Project-Level Data'!AE48</f>
        <v>1</v>
      </c>
    </row>
    <row r="160" spans="2:7" ht="25.5" hidden="1" x14ac:dyDescent="0.25">
      <c r="B160" s="227" t="str">
        <f>'Project-Level Data'!B71</f>
        <v>Paradise Valley Creek Water Quality and Community Enhancement</v>
      </c>
      <c r="C160" s="473" t="str">
        <f>'Project-Level Data'!C71</f>
        <v>Stormwater BMPs</v>
      </c>
      <c r="D160" s="475"/>
      <c r="E160" s="378">
        <f>'Project-Level Data'!AA71</f>
        <v>3</v>
      </c>
      <c r="F160" s="379">
        <f>'Project-Level Data'!AC71</f>
        <v>3</v>
      </c>
      <c r="G160" s="380">
        <f>'Project-Level Data'!AE71</f>
        <v>3</v>
      </c>
    </row>
    <row r="161" spans="2:7" ht="25.5" hidden="1" x14ac:dyDescent="0.25">
      <c r="B161" s="227" t="str">
        <f>'Project-Level Data'!B74</f>
        <v>Pure Water - Los Penasquitos Creek Urban Dry-Weather Water Harvesting</v>
      </c>
      <c r="C161" s="473" t="str">
        <f>'Project-Level Data'!C74</f>
        <v>Stormwater BMPs</v>
      </c>
      <c r="D161" s="475"/>
      <c r="E161" s="378">
        <f>'Project-Level Data'!AA74</f>
        <v>3</v>
      </c>
      <c r="F161" s="379">
        <f>'Project-Level Data'!AC74</f>
        <v>3</v>
      </c>
      <c r="G161" s="380">
        <f>'Project-Level Data'!AE74</f>
        <v>3</v>
      </c>
    </row>
    <row r="162" spans="2:7" hidden="1" x14ac:dyDescent="0.25">
      <c r="B162" s="227" t="str">
        <f>'Project-Level Data'!B87</f>
        <v>Safari Park Storm Water Capture and Reuse Project</v>
      </c>
      <c r="C162" s="473" t="str">
        <f>'Project-Level Data'!C87</f>
        <v>Stormwater BMPs</v>
      </c>
      <c r="D162" s="475"/>
      <c r="E162" s="378" t="str">
        <f>'Project-Level Data'!AA87</f>
        <v>No Response</v>
      </c>
      <c r="F162" s="379" t="str">
        <f>'Project-Level Data'!AC87</f>
        <v>No Response</v>
      </c>
      <c r="G162" s="380" t="str">
        <f>'Project-Level Data'!AE87</f>
        <v>No Response</v>
      </c>
    </row>
    <row r="163" spans="2:7" ht="25.5" hidden="1" x14ac:dyDescent="0.25">
      <c r="B163" s="227" t="str">
        <f>'Project-Level Data'!B88</f>
        <v>Safari Park Water Reuse Sustainability and Watershed Protection Prgram</v>
      </c>
      <c r="C163" s="473" t="str">
        <f>'Project-Level Data'!C88</f>
        <v>Stormwater BMPs</v>
      </c>
      <c r="D163" s="475"/>
      <c r="E163" s="378" t="str">
        <f>'Project-Level Data'!AA88</f>
        <v>No Response</v>
      </c>
      <c r="F163" s="379" t="str">
        <f>'Project-Level Data'!AC88</f>
        <v>No Response</v>
      </c>
      <c r="G163" s="380" t="str">
        <f>'Project-Level Data'!AE88</f>
        <v>No Response</v>
      </c>
    </row>
    <row r="164" spans="2:7" ht="15" hidden="1" customHeight="1" x14ac:dyDescent="0.25">
      <c r="B164" s="227" t="str">
        <f>'Project-Level Data'!B96</f>
        <v>San Marino Drive Green Street and Dry Weather Flow Management Sweetwater</v>
      </c>
      <c r="C164" s="473" t="str">
        <f>'Project-Level Data'!C96</f>
        <v>Stormwater BMPs</v>
      </c>
      <c r="D164" s="475"/>
      <c r="E164" s="378">
        <f>'Project-Level Data'!AA96</f>
        <v>3</v>
      </c>
      <c r="F164" s="379">
        <f>'Project-Level Data'!AC96</f>
        <v>3</v>
      </c>
      <c r="G164" s="380">
        <f>'Project-Level Data'!AE96</f>
        <v>1</v>
      </c>
    </row>
    <row r="165" spans="2:7" ht="25.5" hidden="1" x14ac:dyDescent="0.25">
      <c r="B165" s="227" t="str">
        <f>'Project-Level Data'!B97</f>
        <v>San Marino Drive Green Street and Dry Weather Flow Management Vallecitos</v>
      </c>
      <c r="C165" s="473" t="str">
        <f>'Project-Level Data'!C97</f>
        <v>Stormwater BMPs</v>
      </c>
      <c r="D165" s="475"/>
      <c r="E165" s="378">
        <f>'Project-Level Data'!AA97</f>
        <v>3</v>
      </c>
      <c r="F165" s="379">
        <f>'Project-Level Data'!AC97</f>
        <v>3</v>
      </c>
      <c r="G165" s="380">
        <f>'Project-Level Data'!AE97</f>
        <v>1</v>
      </c>
    </row>
    <row r="166" spans="2:7" ht="15" hidden="1" customHeight="1" x14ac:dyDescent="0.25">
      <c r="B166" s="227" t="str">
        <f>'Project-Level Data'!B98</f>
        <v>San Miguel Green Street</v>
      </c>
      <c r="C166" s="473" t="str">
        <f>'Project-Level Data'!C98</f>
        <v>Stormwater BMPs</v>
      </c>
      <c r="D166" s="475"/>
      <c r="E166" s="378" t="str">
        <f>'Project-Level Data'!AA98</f>
        <v>No Response</v>
      </c>
      <c r="F166" s="379" t="str">
        <f>'Project-Level Data'!AC98</f>
        <v>No Response</v>
      </c>
      <c r="G166" s="380" t="str">
        <f>'Project-Level Data'!AE98</f>
        <v>No Response</v>
      </c>
    </row>
    <row r="167" spans="2:7" ht="15" hidden="1" customHeight="1" x14ac:dyDescent="0.25">
      <c r="B167" s="227" t="str">
        <f>'Project-Level Data'!B106</f>
        <v>Skyline Dr and Kempt St Green Streets</v>
      </c>
      <c r="C167" s="473" t="str">
        <f>'Project-Level Data'!C106</f>
        <v>Stormwater BMPs</v>
      </c>
      <c r="D167" s="475"/>
      <c r="E167" s="378">
        <f>'Project-Level Data'!AA106</f>
        <v>3</v>
      </c>
      <c r="F167" s="379">
        <f>'Project-Level Data'!AC106</f>
        <v>1</v>
      </c>
      <c r="G167" s="380">
        <f>'Project-Level Data'!AE106</f>
        <v>3</v>
      </c>
    </row>
    <row r="168" spans="2:7" ht="15" hidden="1" customHeight="1" x14ac:dyDescent="0.25">
      <c r="B168" s="227" t="str">
        <f>'Project-Level Data'!B107</f>
        <v>South Santa Fe Green Street Project</v>
      </c>
      <c r="C168" s="473" t="str">
        <f>'Project-Level Data'!C107</f>
        <v>Stormwater BMPs</v>
      </c>
      <c r="D168" s="475"/>
      <c r="E168" s="378">
        <f>'Project-Level Data'!AA107</f>
        <v>1</v>
      </c>
      <c r="F168" s="379">
        <f>'Project-Level Data'!AC107</f>
        <v>5</v>
      </c>
      <c r="G168" s="380">
        <f>'Project-Level Data'!AE107</f>
        <v>3</v>
      </c>
    </row>
    <row r="169" spans="2:7" hidden="1" x14ac:dyDescent="0.25">
      <c r="B169" s="227" t="str">
        <f>'Project-Level Data'!B111</f>
        <v>Spruce Street Channel Improvement Project</v>
      </c>
      <c r="C169" s="473" t="str">
        <f>'Project-Level Data'!C111</f>
        <v>Stormwater BMPs</v>
      </c>
      <c r="D169" s="475"/>
      <c r="E169" s="378" t="str">
        <f>'Project-Level Data'!AA111</f>
        <v>No Response</v>
      </c>
      <c r="F169" s="379" t="str">
        <f>'Project-Level Data'!AC111</f>
        <v>No Response</v>
      </c>
      <c r="G169" s="380" t="str">
        <f>'Project-Level Data'!AE111</f>
        <v>No Response</v>
      </c>
    </row>
    <row r="170" spans="2:7" ht="25.5" hidden="1" x14ac:dyDescent="0.25">
      <c r="B170" s="227" t="str">
        <f>'Project-Level Data'!B112</f>
        <v>Storm water Capture off San Diego River along Alvarado Canyon and Fairmont Canyon to Fish and Wildlife site</v>
      </c>
      <c r="C170" s="473" t="str">
        <f>'Project-Level Data'!C112</f>
        <v>Stormwater BMPs</v>
      </c>
      <c r="D170" s="475"/>
      <c r="E170" s="378">
        <f>'Project-Level Data'!AA112</f>
        <v>1</v>
      </c>
      <c r="F170" s="379">
        <f>'Project-Level Data'!AC112</f>
        <v>3</v>
      </c>
      <c r="G170" s="380">
        <f>'Project-Level Data'!AE112</f>
        <v>3</v>
      </c>
    </row>
    <row r="171" spans="2:7" hidden="1" x14ac:dyDescent="0.25">
      <c r="B171" s="227" t="str">
        <f>'Project-Level Data'!B114</f>
        <v>Sweetwater Rd Green Street</v>
      </c>
      <c r="C171" s="473" t="str">
        <f>'Project-Level Data'!C114</f>
        <v>Stormwater BMPs</v>
      </c>
      <c r="D171" s="475"/>
      <c r="E171" s="378">
        <f>'Project-Level Data'!AA114</f>
        <v>3</v>
      </c>
      <c r="F171" s="379">
        <f>'Project-Level Data'!AC114</f>
        <v>1</v>
      </c>
      <c r="G171" s="380">
        <f>'Project-Level Data'!AE114</f>
        <v>3</v>
      </c>
    </row>
    <row r="172" spans="2:7" hidden="1" x14ac:dyDescent="0.25">
      <c r="B172" s="227" t="str">
        <f>'Project-Level Data'!B116</f>
        <v>Sweetwater River Park Bioretention</v>
      </c>
      <c r="C172" s="473" t="str">
        <f>'Project-Level Data'!C116</f>
        <v>Stormwater BMPs</v>
      </c>
      <c r="D172" s="475"/>
      <c r="E172" s="378" t="str">
        <f>'Project-Level Data'!AA116</f>
        <v>No Response</v>
      </c>
      <c r="F172" s="379" t="str">
        <f>'Project-Level Data'!AC116</f>
        <v>No Response</v>
      </c>
      <c r="G172" s="380" t="str">
        <f>'Project-Level Data'!AE116</f>
        <v>No Response</v>
      </c>
    </row>
    <row r="173" spans="2:7" hidden="1" x14ac:dyDescent="0.25">
      <c r="B173" s="227" t="str">
        <f>'Project-Level Data'!B119</f>
        <v>Telegraph Canyon Channel Improvement Project</v>
      </c>
      <c r="C173" s="473" t="str">
        <f>'Project-Level Data'!C119</f>
        <v>Stormwater BMPs</v>
      </c>
      <c r="D173" s="475"/>
      <c r="E173" s="378" t="str">
        <f>'Project-Level Data'!AA119</f>
        <v>No Response</v>
      </c>
      <c r="F173" s="379" t="str">
        <f>'Project-Level Data'!AC119</f>
        <v>No Response</v>
      </c>
      <c r="G173" s="380" t="str">
        <f>'Project-Level Data'!AE119</f>
        <v>No Response</v>
      </c>
    </row>
    <row r="174" spans="2:7" hidden="1" x14ac:dyDescent="0.25">
      <c r="B174" s="227" t="str">
        <f>'Project-Level Data'!B126</f>
        <v>Woodside Avenue Complete Green Street</v>
      </c>
      <c r="C174" s="473" t="str">
        <f>'Project-Level Data'!C126</f>
        <v>Stormwater BMPs</v>
      </c>
      <c r="D174" s="475"/>
      <c r="E174" s="378">
        <f>'Project-Level Data'!AA126</f>
        <v>1</v>
      </c>
      <c r="F174" s="379">
        <f>'Project-Level Data'!AC126</f>
        <v>3</v>
      </c>
      <c r="G174" s="380">
        <f>'Project-Level Data'!AE126</f>
        <v>3</v>
      </c>
    </row>
    <row r="175" spans="2:7" ht="15" hidden="1" customHeight="1" x14ac:dyDescent="0.25">
      <c r="B175" s="227" t="str">
        <f>'Project-Level Data'!B57</f>
        <v>Murray Urban Runoff Diversion System Capture</v>
      </c>
      <c r="C175" s="473" t="str">
        <f>'Project-Level Data'!C57</f>
        <v>Stormwater Capture</v>
      </c>
      <c r="D175" s="475"/>
      <c r="E175" s="378">
        <f>'Project-Level Data'!AA57</f>
        <v>3</v>
      </c>
      <c r="F175" s="379">
        <f>'Project-Level Data'!AC57</f>
        <v>5</v>
      </c>
      <c r="G175" s="380">
        <f>'Project-Level Data'!AE57</f>
        <v>3</v>
      </c>
    </row>
    <row r="176" spans="2:7" hidden="1" x14ac:dyDescent="0.25">
      <c r="B176" s="227" t="str">
        <f>'Project-Level Data'!B77</f>
        <v>Rainwater harvesting</v>
      </c>
      <c r="C176" s="473" t="str">
        <f>'Project-Level Data'!C77</f>
        <v>Stormwater Capture</v>
      </c>
      <c r="D176" s="475"/>
      <c r="E176" s="378">
        <f>'Project-Level Data'!AA77</f>
        <v>5</v>
      </c>
      <c r="F176" s="379">
        <f>'Project-Level Data'!AC77</f>
        <v>5</v>
      </c>
      <c r="G176" s="380">
        <f>'Project-Level Data'!AE77</f>
        <v>3</v>
      </c>
    </row>
    <row r="177" spans="2:7" hidden="1" x14ac:dyDescent="0.25">
      <c r="B177" s="227" t="str">
        <f>'Project-Level Data'!B55</f>
        <v xml:space="preserve">Ms. Smarty-Plants Grows Water-Wise Schools </v>
      </c>
      <c r="C177" s="473" t="str">
        <f>'Project-Level Data'!C55</f>
        <v>Urban and Agricultural Water Use Efficiency</v>
      </c>
      <c r="D177" s="475"/>
      <c r="E177" s="378" t="str">
        <f>'Project-Level Data'!AA55</f>
        <v>No Response</v>
      </c>
      <c r="F177" s="379" t="str">
        <f>'Project-Level Data'!AC55</f>
        <v>No Response</v>
      </c>
      <c r="G177" s="380" t="str">
        <f>'Project-Level Data'!AE55</f>
        <v>No Response</v>
      </c>
    </row>
    <row r="178" spans="2:7" ht="15" hidden="1" customHeight="1" x14ac:dyDescent="0.25">
      <c r="B178" s="227" t="str">
        <f>'Project-Level Data'!B81</f>
        <v>Regional Demand Management Program Expansion</v>
      </c>
      <c r="C178" s="473" t="str">
        <f>'Project-Level Data'!C81</f>
        <v>Urban and Agricultural Water Use Efficiency</v>
      </c>
      <c r="D178" s="475"/>
      <c r="E178" s="378">
        <f>'Project-Level Data'!AA81</f>
        <v>5</v>
      </c>
      <c r="F178" s="379">
        <f>'Project-Level Data'!AC81</f>
        <v>3</v>
      </c>
      <c r="G178" s="380">
        <f>'Project-Level Data'!AE81</f>
        <v>3</v>
      </c>
    </row>
    <row r="179" spans="2:7" hidden="1" x14ac:dyDescent="0.25">
      <c r="B179" s="227" t="str">
        <f>'Project-Level Data'!B82</f>
        <v>Regional Drought Resilience Program</v>
      </c>
      <c r="C179" s="473" t="str">
        <f>'Project-Level Data'!C82</f>
        <v>Urban and Agricultural Water Use Efficiency</v>
      </c>
      <c r="D179" s="475"/>
      <c r="E179" s="378">
        <f>'Project-Level Data'!AA82</f>
        <v>5</v>
      </c>
      <c r="F179" s="379">
        <f>'Project-Level Data'!AC82</f>
        <v>3</v>
      </c>
      <c r="G179" s="380">
        <f>'Project-Level Data'!AE82</f>
        <v>3</v>
      </c>
    </row>
    <row r="180" spans="2:7" hidden="1" x14ac:dyDescent="0.25">
      <c r="B180" s="227" t="str">
        <f>'Project-Level Data'!B84</f>
        <v>Rincon Customer-Driven Demand Management Program</v>
      </c>
      <c r="C180" s="473" t="str">
        <f>'Project-Level Data'!C84</f>
        <v>Urban and Agricultural Water Use Efficiency</v>
      </c>
      <c r="D180" s="475"/>
      <c r="E180" s="378" t="str">
        <f>'Project-Level Data'!AA84</f>
        <v>No Response</v>
      </c>
      <c r="F180" s="379" t="str">
        <f>'Project-Level Data'!AC84</f>
        <v>No Response</v>
      </c>
      <c r="G180" s="380" t="str">
        <f>'Project-Level Data'!AE84</f>
        <v>No Response</v>
      </c>
    </row>
    <row r="181" spans="2:7" hidden="1" x14ac:dyDescent="0.25">
      <c r="B181" s="227" t="str">
        <f>'Project-Level Data'!B92</f>
        <v>San Diego Water Conservation Program</v>
      </c>
      <c r="C181" s="473" t="str">
        <f>'Project-Level Data'!C92</f>
        <v>Urban and Agricultural Water Use Efficiency</v>
      </c>
      <c r="D181" s="475"/>
      <c r="E181" s="378">
        <f>'Project-Level Data'!AA92</f>
        <v>5</v>
      </c>
      <c r="F181" s="379">
        <f>'Project-Level Data'!AC92</f>
        <v>5</v>
      </c>
      <c r="G181" s="380">
        <f>'Project-Level Data'!AE92</f>
        <v>5</v>
      </c>
    </row>
    <row r="182" spans="2:7" hidden="1" x14ac:dyDescent="0.25">
      <c r="B182" s="227" t="str">
        <f>'Project-Level Data'!B93</f>
        <v>San Diego Water Use Reduction Program</v>
      </c>
      <c r="C182" s="473" t="str">
        <f>'Project-Level Data'!C93</f>
        <v>Urban and Agricultural Water Use Efficiency</v>
      </c>
      <c r="D182" s="475"/>
      <c r="E182" s="378">
        <f>'Project-Level Data'!AA93</f>
        <v>5</v>
      </c>
      <c r="F182" s="379">
        <f>'Project-Level Data'!AC93</f>
        <v>5</v>
      </c>
      <c r="G182" s="380">
        <f>'Project-Level Data'!AE93</f>
        <v>5</v>
      </c>
    </row>
    <row r="183" spans="2:7" ht="25.5" hidden="1" x14ac:dyDescent="0.25">
      <c r="B183" s="227" t="str">
        <f>'Project-Level Data'!B121</f>
        <v>UC San Diego Water Conservation and Watershed Protection</v>
      </c>
      <c r="C183" s="473" t="str">
        <f>'Project-Level Data'!C121</f>
        <v>Urban and Agricultural Water Use Efficiency</v>
      </c>
      <c r="D183" s="475"/>
      <c r="E183" s="378">
        <f>'Project-Level Data'!AA121</f>
        <v>1</v>
      </c>
      <c r="F183" s="379">
        <f>'Project-Level Data'!AC121</f>
        <v>5</v>
      </c>
      <c r="G183" s="380">
        <f>'Project-Level Data'!AE121</f>
        <v>3</v>
      </c>
    </row>
    <row r="184" spans="2:7" hidden="1" x14ac:dyDescent="0.25">
      <c r="B184" s="227" t="str">
        <f>'Project-Level Data'!B7</f>
        <v>69th St Green Street</v>
      </c>
      <c r="C184" s="473" t="str">
        <f>'Project-Level Data'!C7</f>
        <v>Watershed and Ecosystem Management</v>
      </c>
      <c r="D184" s="475"/>
      <c r="E184" s="378">
        <f>'Project-Level Data'!AA7</f>
        <v>3</v>
      </c>
      <c r="F184" s="379">
        <f>'Project-Level Data'!AC7</f>
        <v>1</v>
      </c>
      <c r="G184" s="380">
        <f>'Project-Level Data'!AE7</f>
        <v>3</v>
      </c>
    </row>
    <row r="185" spans="2:7" ht="38.25" hidden="1" x14ac:dyDescent="0.25">
      <c r="B185" s="227" t="str">
        <f>'Project-Level Data'!B8</f>
        <v>Alternative Compliance Retrofit Project Avenida Del Diablo Park,
Escondido</v>
      </c>
      <c r="C185" s="473" t="str">
        <f>'Project-Level Data'!C8</f>
        <v>Watershed and Ecosystem Management</v>
      </c>
      <c r="D185" s="475"/>
      <c r="E185" s="378" t="str">
        <f>'Project-Level Data'!AA8</f>
        <v>No Response</v>
      </c>
      <c r="F185" s="379" t="str">
        <f>'Project-Level Data'!AC8</f>
        <v>No Response</v>
      </c>
      <c r="G185" s="380" t="str">
        <f>'Project-Level Data'!AE8</f>
        <v>No Response</v>
      </c>
    </row>
    <row r="186" spans="2:7" hidden="1" x14ac:dyDescent="0.25">
      <c r="B186" s="227" t="str">
        <f>'Project-Level Data'!B13</f>
        <v>Broadway/Federal Blvd Green Street</v>
      </c>
      <c r="C186" s="473" t="str">
        <f>'Project-Level Data'!C13</f>
        <v>Watershed and Ecosystem Management</v>
      </c>
      <c r="D186" s="475"/>
      <c r="E186" s="378">
        <f>'Project-Level Data'!AA13</f>
        <v>1</v>
      </c>
      <c r="F186" s="379">
        <f>'Project-Level Data'!AC13</f>
        <v>1</v>
      </c>
      <c r="G186" s="380">
        <f>'Project-Level Data'!AE13</f>
        <v>3</v>
      </c>
    </row>
    <row r="187" spans="2:7" hidden="1" x14ac:dyDescent="0.25">
      <c r="B187" s="227" t="str">
        <f>'Project-Level Data'!B16</f>
        <v>Canton Dr Green Street</v>
      </c>
      <c r="C187" s="473" t="str">
        <f>'Project-Level Data'!C16</f>
        <v>Watershed and Ecosystem Management</v>
      </c>
      <c r="D187" s="475"/>
      <c r="E187" s="378">
        <f>'Project-Level Data'!AA16</f>
        <v>1</v>
      </c>
      <c r="F187" s="379">
        <f>'Project-Level Data'!AC16</f>
        <v>1</v>
      </c>
      <c r="G187" s="380">
        <f>'Project-Level Data'!AE16</f>
        <v>3</v>
      </c>
    </row>
    <row r="188" spans="2:7" hidden="1" x14ac:dyDescent="0.25">
      <c r="B188" s="227" t="str">
        <f>'Project-Level Data'!B19</f>
        <v>Central Avenue Green Street</v>
      </c>
      <c r="C188" s="473" t="str">
        <f>'Project-Level Data'!C19</f>
        <v>Watershed and Ecosystem Management</v>
      </c>
      <c r="D188" s="475"/>
      <c r="E188" s="378">
        <f>'Project-Level Data'!AA19</f>
        <v>3</v>
      </c>
      <c r="F188" s="379">
        <f>'Project-Level Data'!AC19</f>
        <v>1</v>
      </c>
      <c r="G188" s="380">
        <f>'Project-Level Data'!AE19</f>
        <v>3</v>
      </c>
    </row>
    <row r="189" spans="2:7" hidden="1" x14ac:dyDescent="0.25">
      <c r="B189" s="227" t="str">
        <f>'Project-Level Data'!B30</f>
        <v>Federal Blvd Channel</v>
      </c>
      <c r="C189" s="473" t="str">
        <f>'Project-Level Data'!C30</f>
        <v>Watershed and Ecosystem Management</v>
      </c>
      <c r="D189" s="475"/>
      <c r="E189" s="378">
        <f>'Project-Level Data'!AA30</f>
        <v>3</v>
      </c>
      <c r="F189" s="379">
        <f>'Project-Level Data'!AC30</f>
        <v>1</v>
      </c>
      <c r="G189" s="380">
        <f>'Project-Level Data'!AE30</f>
        <v>3</v>
      </c>
    </row>
    <row r="190" spans="2:7" ht="15" hidden="1" customHeight="1" x14ac:dyDescent="0.25">
      <c r="B190" s="227" t="str">
        <f>'Project-Level Data'!B31</f>
        <v>Hodges Water Quality Improvement Program</v>
      </c>
      <c r="C190" s="473" t="str">
        <f>'Project-Level Data'!C31</f>
        <v>Watershed and Ecosystem Management</v>
      </c>
      <c r="D190" s="475"/>
      <c r="E190" s="378">
        <f>'Project-Level Data'!AA31</f>
        <v>1</v>
      </c>
      <c r="F190" s="379">
        <f>'Project-Level Data'!AC31</f>
        <v>1</v>
      </c>
      <c r="G190" s="380">
        <f>'Project-Level Data'!AE31</f>
        <v>3</v>
      </c>
    </row>
    <row r="191" spans="2:7" hidden="1" x14ac:dyDescent="0.25">
      <c r="B191" s="227" t="str">
        <f>'Project-Level Data'!B49</f>
        <v>Massachusetts Blvd Green Street</v>
      </c>
      <c r="C191" s="473" t="str">
        <f>'Project-Level Data'!C49</f>
        <v>Watershed and Ecosystem Management</v>
      </c>
      <c r="D191" s="475"/>
      <c r="E191" s="378">
        <f>'Project-Level Data'!AA49</f>
        <v>1</v>
      </c>
      <c r="F191" s="379">
        <f>'Project-Level Data'!AC49</f>
        <v>1</v>
      </c>
      <c r="G191" s="380">
        <f>'Project-Level Data'!AE49</f>
        <v>3</v>
      </c>
    </row>
    <row r="192" spans="2:7" ht="15" hidden="1" customHeight="1" x14ac:dyDescent="0.25">
      <c r="B192" s="227" t="str">
        <f>'Project-Level Data'!B56</f>
        <v>Mt. Vernon St Green Street</v>
      </c>
      <c r="C192" s="473" t="str">
        <f>'Project-Level Data'!C56</f>
        <v>Watershed and Ecosystem Management</v>
      </c>
      <c r="D192" s="475"/>
      <c r="E192" s="378">
        <f>'Project-Level Data'!AA56</f>
        <v>3</v>
      </c>
      <c r="F192" s="379">
        <f>'Project-Level Data'!AC56</f>
        <v>1</v>
      </c>
      <c r="G192" s="380">
        <f>'Project-Level Data'!AE56</f>
        <v>3</v>
      </c>
    </row>
    <row r="193" spans="2:7" hidden="1" x14ac:dyDescent="0.25">
      <c r="B193" s="227" t="str">
        <f>'Project-Level Data'!B58</f>
        <v>Nestor Creek Channel Restoration</v>
      </c>
      <c r="C193" s="473" t="str">
        <f>'Project-Level Data'!C58</f>
        <v>Watershed and Ecosystem Management</v>
      </c>
      <c r="D193" s="475"/>
      <c r="E193" s="378" t="str">
        <f>'Project-Level Data'!AA58</f>
        <v>No Response</v>
      </c>
      <c r="F193" s="379" t="str">
        <f>'Project-Level Data'!AC58</f>
        <v>No Response</v>
      </c>
      <c r="G193" s="380" t="str">
        <f>'Project-Level Data'!AE58</f>
        <v>No Response</v>
      </c>
    </row>
    <row r="194" spans="2:7" hidden="1" x14ac:dyDescent="0.25">
      <c r="B194" s="227" t="str">
        <f>'Project-Level Data'!B60</f>
        <v>North Ave and Grove Green Street</v>
      </c>
      <c r="C194" s="473" t="str">
        <f>'Project-Level Data'!C60</f>
        <v>Watershed and Ecosystem Management</v>
      </c>
      <c r="D194" s="475"/>
      <c r="E194" s="378">
        <f>'Project-Level Data'!AA60</f>
        <v>1</v>
      </c>
      <c r="F194" s="379">
        <f>'Project-Level Data'!AC60</f>
        <v>1</v>
      </c>
      <c r="G194" s="380">
        <f>'Project-Level Data'!AE60</f>
        <v>3</v>
      </c>
    </row>
    <row r="195" spans="2:7" ht="15" hidden="1" customHeight="1" x14ac:dyDescent="0.25">
      <c r="B195" s="227" t="str">
        <f>'Project-Level Data'!B69</f>
        <v>Palm St Green Street</v>
      </c>
      <c r="C195" s="473" t="str">
        <f>'Project-Level Data'!C69</f>
        <v>Watershed and Ecosystem Management</v>
      </c>
      <c r="D195" s="475"/>
      <c r="E195" s="378">
        <f>'Project-Level Data'!AA69</f>
        <v>3</v>
      </c>
      <c r="F195" s="379">
        <f>'Project-Level Data'!AC69</f>
        <v>1</v>
      </c>
      <c r="G195" s="380">
        <f>'Project-Level Data'!AE69</f>
        <v>3</v>
      </c>
    </row>
    <row r="196" spans="2:7" hidden="1" x14ac:dyDescent="0.25">
      <c r="B196" s="227" t="str">
        <f>'Project-Level Data'!B70</f>
        <v>Paradise Creek Restoration Phase II</v>
      </c>
      <c r="C196" s="473" t="str">
        <f>'Project-Level Data'!C70</f>
        <v>Watershed and Ecosystem Management</v>
      </c>
      <c r="D196" s="475"/>
      <c r="E196" s="378">
        <f>'Project-Level Data'!AA70</f>
        <v>1</v>
      </c>
      <c r="F196" s="379">
        <f>'Project-Level Data'!AC70</f>
        <v>3</v>
      </c>
      <c r="G196" s="380">
        <f>'Project-Level Data'!AE70</f>
        <v>3</v>
      </c>
    </row>
    <row r="197" spans="2:7" hidden="1" x14ac:dyDescent="0.25">
      <c r="B197" s="227" t="str">
        <f>'Project-Level Data'!B91</f>
        <v>San Diego Healthy Headwaters Restoration</v>
      </c>
      <c r="C197" s="473" t="str">
        <f>'Project-Level Data'!C91</f>
        <v>Watershed and Ecosystem Management</v>
      </c>
      <c r="D197" s="475"/>
      <c r="E197" s="378">
        <f>'Project-Level Data'!AA91</f>
        <v>5</v>
      </c>
      <c r="F197" s="379">
        <f>'Project-Level Data'!AC91</f>
        <v>5</v>
      </c>
      <c r="G197" s="380">
        <f>'Project-Level Data'!AE91</f>
        <v>3</v>
      </c>
    </row>
    <row r="198" spans="2:7" ht="25.5" hidden="1" x14ac:dyDescent="0.25">
      <c r="B198" s="227" t="str">
        <f>'Project-Level Data'!B113</f>
        <v>Sustaining Healthy Tributaries to the Upper San Diego River and Protecting Local Water Supplies</v>
      </c>
      <c r="C198" s="473" t="str">
        <f>'Project-Level Data'!C113</f>
        <v>Watershed and Ecosystem Management</v>
      </c>
      <c r="D198" s="475"/>
      <c r="E198" s="378" t="str">
        <f>'Project-Level Data'!AA113</f>
        <v>No Response</v>
      </c>
      <c r="F198" s="379" t="str">
        <f>'Project-Level Data'!AC113</f>
        <v>No Response</v>
      </c>
      <c r="G198" s="380" t="str">
        <f>'Project-Level Data'!AE113</f>
        <v>No Response</v>
      </c>
    </row>
    <row r="199" spans="2:7" hidden="1" x14ac:dyDescent="0.25">
      <c r="B199" s="227" t="str">
        <f>'Project-Level Data'!B115</f>
        <v>Sweetwater Reservoir Wetlands Habitat Recovery</v>
      </c>
      <c r="C199" s="473" t="str">
        <f>'Project-Level Data'!C115</f>
        <v>Watershed and Ecosystem Management</v>
      </c>
      <c r="D199" s="475"/>
      <c r="E199" s="378">
        <f>'Project-Level Data'!AA115</f>
        <v>3</v>
      </c>
      <c r="F199" s="379">
        <f>'Project-Level Data'!AC115</f>
        <v>3</v>
      </c>
      <c r="G199" s="380">
        <f>'Project-Level Data'!AE115</f>
        <v>3</v>
      </c>
    </row>
    <row r="200" spans="2:7" hidden="1" x14ac:dyDescent="0.25">
      <c r="B200" s="227" t="str">
        <f>'Project-Level Data'!B117</f>
        <v>Sycamore Creek Restoration</v>
      </c>
      <c r="C200" s="473" t="str">
        <f>'Project-Level Data'!C117</f>
        <v>Watershed and Ecosystem Management</v>
      </c>
      <c r="D200" s="475"/>
      <c r="E200" s="378">
        <f>'Project-Level Data'!AA117</f>
        <v>3</v>
      </c>
      <c r="F200" s="379">
        <f>'Project-Level Data'!AC117</f>
        <v>3</v>
      </c>
      <c r="G200" s="380">
        <f>'Project-Level Data'!AE117</f>
        <v>5</v>
      </c>
    </row>
    <row r="201" spans="2:7" ht="15.75" hidden="1" thickBot="1" x14ac:dyDescent="0.3">
      <c r="B201" s="508" t="str">
        <f>'Project-Level Data'!B120</f>
        <v>Tijuana River Floating Trash Capture System</v>
      </c>
      <c r="C201" s="522" t="str">
        <f>'Project-Level Data'!C120</f>
        <v>Watershed and Ecosystem Management</v>
      </c>
      <c r="D201" s="509"/>
      <c r="E201" s="523" t="str">
        <f>'Project-Level Data'!AA120</f>
        <v>No Response</v>
      </c>
      <c r="F201" s="524" t="str">
        <f>'Project-Level Data'!AC120</f>
        <v>No Response</v>
      </c>
      <c r="G201" s="511" t="str">
        <f>'Project-Level Data'!AE120</f>
        <v>No Response</v>
      </c>
    </row>
    <row r="202" spans="2:7" hidden="1" x14ac:dyDescent="0.25">
      <c r="B202" s="370"/>
      <c r="C202" s="515" t="s">
        <v>855</v>
      </c>
      <c r="D202" s="512"/>
      <c r="E202" s="525">
        <f>COUNTIFS(E82:E201, "=MISSING")</f>
        <v>1</v>
      </c>
      <c r="F202" s="486">
        <f t="shared" ref="F202:G202" si="29">COUNTIFS(F82:F201, "=MISSING")</f>
        <v>3</v>
      </c>
      <c r="G202" s="389">
        <f t="shared" si="29"/>
        <v>2</v>
      </c>
    </row>
    <row r="203" spans="2:7" hidden="1" x14ac:dyDescent="0.25">
      <c r="B203" s="227"/>
      <c r="C203" s="516" t="s">
        <v>856</v>
      </c>
      <c r="D203" s="480"/>
      <c r="E203" s="390">
        <f>COUNTIFS(E82:E201, "=No Response")</f>
        <v>33</v>
      </c>
      <c r="F203" s="379">
        <f t="shared" ref="F203:G203" si="30">COUNTIFS(F82:F201, "=No Response")</f>
        <v>33</v>
      </c>
      <c r="G203" s="380">
        <f t="shared" si="30"/>
        <v>33</v>
      </c>
    </row>
    <row r="204" spans="2:7" hidden="1" x14ac:dyDescent="0.25">
      <c r="B204" s="227"/>
      <c r="C204" s="516" t="s">
        <v>858</v>
      </c>
      <c r="D204" s="480"/>
      <c r="E204" s="390">
        <f>COUNTIFS(E82:E201, "=REMOVED")</f>
        <v>1</v>
      </c>
      <c r="F204" s="379">
        <f t="shared" ref="F204:G204" si="31">COUNTIFS(F82:F201, "=REMOVED")</f>
        <v>1</v>
      </c>
      <c r="G204" s="380">
        <f t="shared" si="31"/>
        <v>1</v>
      </c>
    </row>
    <row r="205" spans="2:7" ht="15.75" hidden="1" thickBot="1" x14ac:dyDescent="0.3">
      <c r="B205" s="328"/>
      <c r="C205" s="517" t="s">
        <v>859</v>
      </c>
      <c r="D205" s="472"/>
      <c r="E205" s="391">
        <f>COUNTIFS(E82:E201, "&gt;0")</f>
        <v>85</v>
      </c>
      <c r="F205" s="383">
        <f t="shared" ref="F205:G205" si="32">COUNTIFS(F82:F201, "&gt;0")</f>
        <v>83</v>
      </c>
      <c r="G205" s="384">
        <f t="shared" si="32"/>
        <v>84</v>
      </c>
    </row>
    <row r="206" spans="2:7" hidden="1" x14ac:dyDescent="0.25">
      <c r="B206" s="11"/>
      <c r="C206" s="84"/>
      <c r="D206" s="84"/>
    </row>
    <row r="207" spans="2:7" ht="15.75" hidden="1" thickBot="1" x14ac:dyDescent="0.3">
      <c r="B207" s="1" t="s">
        <v>729</v>
      </c>
    </row>
    <row r="208" spans="2:7" ht="60.75" hidden="1" thickBot="1" x14ac:dyDescent="0.3">
      <c r="B208" s="363" t="s">
        <v>374</v>
      </c>
      <c r="C208" s="798" t="s">
        <v>6</v>
      </c>
      <c r="D208" s="799"/>
      <c r="E208" s="371" t="s">
        <v>755</v>
      </c>
      <c r="F208" s="372" t="s">
        <v>147</v>
      </c>
    </row>
    <row r="209" spans="2:6" hidden="1" x14ac:dyDescent="0.25">
      <c r="B209" s="370" t="str">
        <f>'Concept-Level Data'!A7</f>
        <v>Respondent 1</v>
      </c>
      <c r="C209" s="805" t="str">
        <f>'Concept-Level Data'!B7</f>
        <v>Conveyance Improvement</v>
      </c>
      <c r="D209" s="806"/>
      <c r="E209" s="379">
        <f>'Concept-Level Data'!N7</f>
        <v>3</v>
      </c>
      <c r="F209" s="380">
        <f>'Concept-Level Data'!O7</f>
        <v>3</v>
      </c>
    </row>
    <row r="210" spans="2:6" hidden="1" x14ac:dyDescent="0.25">
      <c r="B210" s="227" t="str">
        <f>'Concept-Level Data'!A8</f>
        <v>Respondent 1</v>
      </c>
      <c r="C210" s="793" t="str">
        <f>'Concept-Level Data'!B8</f>
        <v>Drought Restriction/Allocation</v>
      </c>
      <c r="D210" s="794"/>
      <c r="E210" s="379">
        <f>'Concept-Level Data'!N8</f>
        <v>5</v>
      </c>
      <c r="F210" s="380">
        <f>'Concept-Level Data'!O8</f>
        <v>5</v>
      </c>
    </row>
    <row r="211" spans="2:6" hidden="1" x14ac:dyDescent="0.25">
      <c r="B211" s="227" t="str">
        <f>'Concept-Level Data'!A9</f>
        <v>Respondent 1</v>
      </c>
      <c r="C211" s="793" t="str">
        <f>'Concept-Level Data'!B9</f>
        <v>Firm Water Supply Agreements</v>
      </c>
      <c r="D211" s="794"/>
      <c r="E211" s="379">
        <f>'Concept-Level Data'!N9</f>
        <v>3</v>
      </c>
      <c r="F211" s="380">
        <f>'Concept-Level Data'!O9</f>
        <v>5</v>
      </c>
    </row>
    <row r="212" spans="2:6" hidden="1" x14ac:dyDescent="0.25">
      <c r="B212" s="227" t="str">
        <f>'Concept-Level Data'!A10</f>
        <v>Respondent 1</v>
      </c>
      <c r="C212" s="793" t="str">
        <f>'Concept-Level Data'!B10</f>
        <v>Gray Water Use</v>
      </c>
      <c r="D212" s="794"/>
      <c r="E212" s="379">
        <f>'Concept-Level Data'!N10</f>
        <v>5</v>
      </c>
      <c r="F212" s="380">
        <f>'Concept-Level Data'!O10</f>
        <v>5</v>
      </c>
    </row>
    <row r="213" spans="2:6" hidden="1" x14ac:dyDescent="0.25">
      <c r="B213" s="227" t="str">
        <f>'Concept-Level Data'!A11</f>
        <v>Respondent 1</v>
      </c>
      <c r="C213" s="793" t="str">
        <f>'Concept-Level Data'!B11</f>
        <v>Groundwater</v>
      </c>
      <c r="D213" s="794"/>
      <c r="E213" s="379">
        <f>'Concept-Level Data'!N11</f>
        <v>1</v>
      </c>
      <c r="F213" s="380">
        <f>'Concept-Level Data'!O11</f>
        <v>1</v>
      </c>
    </row>
    <row r="214" spans="2:6" hidden="1" x14ac:dyDescent="0.25">
      <c r="B214" s="227" t="str">
        <f>'Concept-Level Data'!A12</f>
        <v>Respondent 1</v>
      </c>
      <c r="C214" s="793" t="str">
        <f>'Concept-Level Data'!B12</f>
        <v>Imported Water Purchases</v>
      </c>
      <c r="D214" s="794"/>
      <c r="E214" s="379">
        <f>'Concept-Level Data'!N12</f>
        <v>5</v>
      </c>
      <c r="F214" s="380">
        <f>'Concept-Level Data'!O12</f>
        <v>5</v>
      </c>
    </row>
    <row r="215" spans="2:6" hidden="1" x14ac:dyDescent="0.25">
      <c r="B215" s="227" t="str">
        <f>'Concept-Level Data'!A13</f>
        <v>Respondent 1</v>
      </c>
      <c r="C215" s="793" t="str">
        <f>'Concept-Level Data'!B13</f>
        <v>Local Surface Water Reservoirs</v>
      </c>
      <c r="D215" s="794"/>
      <c r="E215" s="379">
        <f>'Concept-Level Data'!N13</f>
        <v>1</v>
      </c>
      <c r="F215" s="380">
        <f>'Concept-Level Data'!O13</f>
        <v>1</v>
      </c>
    </row>
    <row r="216" spans="2:6" hidden="1" x14ac:dyDescent="0.25">
      <c r="B216" s="227" t="str">
        <f>'Concept-Level Data'!A14</f>
        <v>Respondent 1</v>
      </c>
      <c r="C216" s="793" t="str">
        <f>'Concept-Level Data'!B14</f>
        <v>Potable Reuse</v>
      </c>
      <c r="D216" s="794"/>
      <c r="E216" s="379">
        <f>'Concept-Level Data'!N14</f>
        <v>1</v>
      </c>
      <c r="F216" s="380">
        <f>'Concept-Level Data'!O14</f>
        <v>1</v>
      </c>
    </row>
    <row r="217" spans="2:6" hidden="1" x14ac:dyDescent="0.25">
      <c r="B217" s="227" t="str">
        <f>'Concept-Level Data'!A15</f>
        <v>Respondent 1</v>
      </c>
      <c r="C217" s="793" t="str">
        <f>'Concept-Level Data'!B15</f>
        <v>Recycled Water</v>
      </c>
      <c r="D217" s="794"/>
      <c r="E217" s="379">
        <f>'Concept-Level Data'!N15</f>
        <v>3</v>
      </c>
      <c r="F217" s="380">
        <f>'Concept-Level Data'!O15</f>
        <v>3</v>
      </c>
    </row>
    <row r="218" spans="2:6" hidden="1" x14ac:dyDescent="0.25">
      <c r="B218" s="227" t="str">
        <f>'Concept-Level Data'!A16</f>
        <v>Respondent 1</v>
      </c>
      <c r="C218" s="793" t="str">
        <f>'Concept-Level Data'!B16</f>
        <v>Seawater Desalination</v>
      </c>
      <c r="D218" s="794"/>
      <c r="E218" s="379">
        <f>'Concept-Level Data'!N16</f>
        <v>1</v>
      </c>
      <c r="F218" s="380">
        <f>'Concept-Level Data'!O16</f>
        <v>1</v>
      </c>
    </row>
    <row r="219" spans="2:6" hidden="1" x14ac:dyDescent="0.25">
      <c r="B219" s="227" t="str">
        <f>'Concept-Level Data'!A17</f>
        <v>Respondent 1</v>
      </c>
      <c r="C219" s="793" t="str">
        <f>'Concept-Level Data'!B17</f>
        <v>Stormwater BMPs</v>
      </c>
      <c r="D219" s="794"/>
      <c r="E219" s="379">
        <f>'Concept-Level Data'!N17</f>
        <v>3</v>
      </c>
      <c r="F219" s="380">
        <f>'Concept-Level Data'!O17</f>
        <v>3</v>
      </c>
    </row>
    <row r="220" spans="2:6" hidden="1" x14ac:dyDescent="0.25">
      <c r="B220" s="227" t="str">
        <f>'Concept-Level Data'!A18</f>
        <v>Respondent 1</v>
      </c>
      <c r="C220" s="793" t="str">
        <f>'Concept-Level Data'!B18</f>
        <v>Stormwater Capture</v>
      </c>
      <c r="D220" s="794"/>
      <c r="E220" s="379">
        <f>'Concept-Level Data'!N18</f>
        <v>3</v>
      </c>
      <c r="F220" s="380">
        <f>'Concept-Level Data'!O18</f>
        <v>3</v>
      </c>
    </row>
    <row r="221" spans="2:6" hidden="1" x14ac:dyDescent="0.25">
      <c r="B221" s="227" t="str">
        <f>'Concept-Level Data'!A19</f>
        <v>Respondent 1</v>
      </c>
      <c r="C221" s="793" t="str">
        <f>'Concept-Level Data'!B19</f>
        <v>Urban and Agricultural Water Use Efficiency</v>
      </c>
      <c r="D221" s="794"/>
      <c r="E221" s="379">
        <f>'Concept-Level Data'!N19</f>
        <v>5</v>
      </c>
      <c r="F221" s="380">
        <f>'Concept-Level Data'!O19</f>
        <v>5</v>
      </c>
    </row>
    <row r="222" spans="2:6" hidden="1" x14ac:dyDescent="0.25">
      <c r="B222" s="227" t="str">
        <f>'Concept-Level Data'!A20</f>
        <v>Respondent 1</v>
      </c>
      <c r="C222" s="793" t="str">
        <f>'Concept-Level Data'!B20</f>
        <v>Watershed and Ecosystem Management</v>
      </c>
      <c r="D222" s="794"/>
      <c r="E222" s="379">
        <f>'Concept-Level Data'!N20</f>
        <v>3</v>
      </c>
      <c r="F222" s="380">
        <f>'Concept-Level Data'!O20</f>
        <v>3</v>
      </c>
    </row>
    <row r="223" spans="2:6" hidden="1" x14ac:dyDescent="0.25">
      <c r="B223" s="227" t="str">
        <f>'Concept-Level Data'!A21</f>
        <v>Respondent 2</v>
      </c>
      <c r="C223" s="793" t="str">
        <f>'Concept-Level Data'!B21</f>
        <v>Conveyance Improvement</v>
      </c>
      <c r="D223" s="794"/>
      <c r="E223" s="379">
        <f>'Concept-Level Data'!N21</f>
        <v>1</v>
      </c>
      <c r="F223" s="380">
        <f>'Concept-Level Data'!O21</f>
        <v>3</v>
      </c>
    </row>
    <row r="224" spans="2:6" hidden="1" x14ac:dyDescent="0.25">
      <c r="B224" s="227" t="str">
        <f>'Concept-Level Data'!A22</f>
        <v>Respondent 2</v>
      </c>
      <c r="C224" s="793" t="str">
        <f>'Concept-Level Data'!B22</f>
        <v>Drought Restriction/Allocation</v>
      </c>
      <c r="D224" s="794"/>
      <c r="E224" s="379">
        <f>'Concept-Level Data'!N22</f>
        <v>5</v>
      </c>
      <c r="F224" s="380">
        <f>'Concept-Level Data'!O22</f>
        <v>5</v>
      </c>
    </row>
    <row r="225" spans="2:6" hidden="1" x14ac:dyDescent="0.25">
      <c r="B225" s="227" t="str">
        <f>'Concept-Level Data'!A23</f>
        <v>Respondent 2</v>
      </c>
      <c r="C225" s="793" t="str">
        <f>'Concept-Level Data'!B23</f>
        <v>Firm Water Supply Agreements</v>
      </c>
      <c r="D225" s="794"/>
      <c r="E225" s="379">
        <f>'Concept-Level Data'!N23</f>
        <v>5</v>
      </c>
      <c r="F225" s="380">
        <f>'Concept-Level Data'!O23</f>
        <v>5</v>
      </c>
    </row>
    <row r="226" spans="2:6" hidden="1" x14ac:dyDescent="0.25">
      <c r="B226" s="227" t="str">
        <f>'Concept-Level Data'!A24</f>
        <v>Respondent 2</v>
      </c>
      <c r="C226" s="793" t="str">
        <f>'Concept-Level Data'!B24</f>
        <v>Gray Water Use</v>
      </c>
      <c r="D226" s="794"/>
      <c r="E226" s="379">
        <f>'Concept-Level Data'!N24</f>
        <v>5</v>
      </c>
      <c r="F226" s="380">
        <f>'Concept-Level Data'!O24</f>
        <v>5</v>
      </c>
    </row>
    <row r="227" spans="2:6" hidden="1" x14ac:dyDescent="0.25">
      <c r="B227" s="227" t="str">
        <f>'Concept-Level Data'!A25</f>
        <v>Respondent 2</v>
      </c>
      <c r="C227" s="793" t="str">
        <f>'Concept-Level Data'!B25</f>
        <v>Groundwater</v>
      </c>
      <c r="D227" s="794"/>
      <c r="E227" s="379">
        <f>'Concept-Level Data'!N25</f>
        <v>1</v>
      </c>
      <c r="F227" s="380">
        <f>'Concept-Level Data'!O25</f>
        <v>3</v>
      </c>
    </row>
    <row r="228" spans="2:6" hidden="1" x14ac:dyDescent="0.25">
      <c r="B228" s="227" t="str">
        <f>'Concept-Level Data'!A26</f>
        <v>Respondent 2</v>
      </c>
      <c r="C228" s="793" t="str">
        <f>'Concept-Level Data'!B26</f>
        <v>Imported Water Purchases</v>
      </c>
      <c r="D228" s="794"/>
      <c r="E228" s="379">
        <f>'Concept-Level Data'!N26</f>
        <v>3</v>
      </c>
      <c r="F228" s="380">
        <f>'Concept-Level Data'!O26</f>
        <v>3</v>
      </c>
    </row>
    <row r="229" spans="2:6" hidden="1" x14ac:dyDescent="0.25">
      <c r="B229" s="227" t="str">
        <f>'Concept-Level Data'!A27</f>
        <v>Respondent 2</v>
      </c>
      <c r="C229" s="793" t="str">
        <f>'Concept-Level Data'!B27</f>
        <v>Local Surface Water Reservoirs</v>
      </c>
      <c r="D229" s="794"/>
      <c r="E229" s="379">
        <f>'Concept-Level Data'!N27</f>
        <v>1</v>
      </c>
      <c r="F229" s="380">
        <f>'Concept-Level Data'!O27</f>
        <v>3</v>
      </c>
    </row>
    <row r="230" spans="2:6" hidden="1" x14ac:dyDescent="0.25">
      <c r="B230" s="227" t="str">
        <f>'Concept-Level Data'!A28</f>
        <v>Respondent 2</v>
      </c>
      <c r="C230" s="793" t="str">
        <f>'Concept-Level Data'!B28</f>
        <v>Potable Reuse</v>
      </c>
      <c r="D230" s="794"/>
      <c r="E230" s="379">
        <f>'Concept-Level Data'!N28</f>
        <v>1</v>
      </c>
      <c r="F230" s="380">
        <f>'Concept-Level Data'!O28</f>
        <v>3</v>
      </c>
    </row>
    <row r="231" spans="2:6" hidden="1" x14ac:dyDescent="0.25">
      <c r="B231" s="227" t="str">
        <f>'Concept-Level Data'!A29</f>
        <v>Respondent 2</v>
      </c>
      <c r="C231" s="793" t="str">
        <f>'Concept-Level Data'!B29</f>
        <v>Recycled Water</v>
      </c>
      <c r="D231" s="794"/>
      <c r="E231" s="379">
        <f>'Concept-Level Data'!N29</f>
        <v>1</v>
      </c>
      <c r="F231" s="380">
        <f>'Concept-Level Data'!O29</f>
        <v>3</v>
      </c>
    </row>
    <row r="232" spans="2:6" hidden="1" x14ac:dyDescent="0.25">
      <c r="B232" s="227" t="str">
        <f>'Concept-Level Data'!A30</f>
        <v>Respondent 2</v>
      </c>
      <c r="C232" s="793" t="str">
        <f>'Concept-Level Data'!B30</f>
        <v>Seawater Desalination</v>
      </c>
      <c r="D232" s="794"/>
      <c r="E232" s="379">
        <f>'Concept-Level Data'!N30</f>
        <v>1</v>
      </c>
      <c r="F232" s="380">
        <f>'Concept-Level Data'!O30</f>
        <v>3</v>
      </c>
    </row>
    <row r="233" spans="2:6" hidden="1" x14ac:dyDescent="0.25">
      <c r="B233" s="227" t="str">
        <f>'Concept-Level Data'!A31</f>
        <v>Respondent 2</v>
      </c>
      <c r="C233" s="793" t="str">
        <f>'Concept-Level Data'!B31</f>
        <v>Stormwater BMPs</v>
      </c>
      <c r="D233" s="794"/>
      <c r="E233" s="379">
        <f>'Concept-Level Data'!N31</f>
        <v>3</v>
      </c>
      <c r="F233" s="380">
        <f>'Concept-Level Data'!O31</f>
        <v>3</v>
      </c>
    </row>
    <row r="234" spans="2:6" hidden="1" x14ac:dyDescent="0.25">
      <c r="B234" s="227" t="str">
        <f>'Concept-Level Data'!A32</f>
        <v>Respondent 2</v>
      </c>
      <c r="C234" s="793" t="str">
        <f>'Concept-Level Data'!B32</f>
        <v>Stormwater Capture</v>
      </c>
      <c r="D234" s="794"/>
      <c r="E234" s="379">
        <f>'Concept-Level Data'!N32</f>
        <v>1</v>
      </c>
      <c r="F234" s="380">
        <f>'Concept-Level Data'!O32</f>
        <v>3</v>
      </c>
    </row>
    <row r="235" spans="2:6" hidden="1" x14ac:dyDescent="0.25">
      <c r="B235" s="227" t="str">
        <f>'Concept-Level Data'!A33</f>
        <v>Respondent 2</v>
      </c>
      <c r="C235" s="793" t="str">
        <f>'Concept-Level Data'!B33</f>
        <v>Urban and Agricultural Water Use Efficiency</v>
      </c>
      <c r="D235" s="794"/>
      <c r="E235" s="379">
        <f>'Concept-Level Data'!N33</f>
        <v>3</v>
      </c>
      <c r="F235" s="380">
        <f>'Concept-Level Data'!O33</f>
        <v>3</v>
      </c>
    </row>
    <row r="236" spans="2:6" hidden="1" x14ac:dyDescent="0.25">
      <c r="B236" s="227" t="str">
        <f>'Concept-Level Data'!A34</f>
        <v>Respondent 2</v>
      </c>
      <c r="C236" s="793" t="str">
        <f>'Concept-Level Data'!B34</f>
        <v>Watershed and Ecosystem Management</v>
      </c>
      <c r="D236" s="794"/>
      <c r="E236" s="379">
        <f>'Concept-Level Data'!N34</f>
        <v>3</v>
      </c>
      <c r="F236" s="380">
        <f>'Concept-Level Data'!O34</f>
        <v>3</v>
      </c>
    </row>
    <row r="237" spans="2:6" hidden="1" x14ac:dyDescent="0.25">
      <c r="B237" s="227" t="str">
        <f>'Concept-Level Data'!A35</f>
        <v>Respondent 3</v>
      </c>
      <c r="C237" s="793" t="str">
        <f>'Concept-Level Data'!B35</f>
        <v>Conveyance Improvement</v>
      </c>
      <c r="D237" s="794"/>
      <c r="E237" s="379">
        <f>'Concept-Level Data'!N35</f>
        <v>3</v>
      </c>
      <c r="F237" s="380">
        <f>'Concept-Level Data'!O35</f>
        <v>3</v>
      </c>
    </row>
    <row r="238" spans="2:6" hidden="1" x14ac:dyDescent="0.25">
      <c r="B238" s="227" t="str">
        <f>'Concept-Level Data'!A36</f>
        <v>Respondent 3</v>
      </c>
      <c r="C238" s="793" t="str">
        <f>'Concept-Level Data'!B36</f>
        <v>Drought Restriction/Allocation</v>
      </c>
      <c r="D238" s="794"/>
      <c r="E238" s="379">
        <f>'Concept-Level Data'!N36</f>
        <v>5</v>
      </c>
      <c r="F238" s="380">
        <f>'Concept-Level Data'!O36</f>
        <v>5</v>
      </c>
    </row>
    <row r="239" spans="2:6" hidden="1" x14ac:dyDescent="0.25">
      <c r="B239" s="227" t="str">
        <f>'Concept-Level Data'!A37</f>
        <v>Respondent 3</v>
      </c>
      <c r="C239" s="793" t="str">
        <f>'Concept-Level Data'!B37</f>
        <v>Firm Water Supply Agreements</v>
      </c>
      <c r="D239" s="794"/>
      <c r="E239" s="379">
        <f>'Concept-Level Data'!N37</f>
        <v>3</v>
      </c>
      <c r="F239" s="380">
        <f>'Concept-Level Data'!O37</f>
        <v>3</v>
      </c>
    </row>
    <row r="240" spans="2:6" hidden="1" x14ac:dyDescent="0.25">
      <c r="B240" s="227" t="str">
        <f>'Concept-Level Data'!A38</f>
        <v>Respondent 3</v>
      </c>
      <c r="C240" s="793" t="str">
        <f>'Concept-Level Data'!B38</f>
        <v>Gray Water Use</v>
      </c>
      <c r="D240" s="794"/>
      <c r="E240" s="379">
        <f>'Concept-Level Data'!N38</f>
        <v>3</v>
      </c>
      <c r="F240" s="380">
        <f>'Concept-Level Data'!O38</f>
        <v>5</v>
      </c>
    </row>
    <row r="241" spans="2:6" hidden="1" x14ac:dyDescent="0.25">
      <c r="B241" s="227" t="str">
        <f>'Concept-Level Data'!A39</f>
        <v>Respondent 3</v>
      </c>
      <c r="C241" s="793" t="str">
        <f>'Concept-Level Data'!B39</f>
        <v>Groundwater</v>
      </c>
      <c r="D241" s="794"/>
      <c r="E241" s="379">
        <f>'Concept-Level Data'!N39</f>
        <v>1</v>
      </c>
      <c r="F241" s="380">
        <f>'Concept-Level Data'!O39</f>
        <v>1</v>
      </c>
    </row>
    <row r="242" spans="2:6" hidden="1" x14ac:dyDescent="0.25">
      <c r="B242" s="227" t="str">
        <f>'Concept-Level Data'!A40</f>
        <v>Respondent 3</v>
      </c>
      <c r="C242" s="793" t="str">
        <f>'Concept-Level Data'!B40</f>
        <v>Imported Water Purchases</v>
      </c>
      <c r="D242" s="794"/>
      <c r="E242" s="379">
        <f>'Concept-Level Data'!N40</f>
        <v>3</v>
      </c>
      <c r="F242" s="380">
        <f>'Concept-Level Data'!O40</f>
        <v>1</v>
      </c>
    </row>
    <row r="243" spans="2:6" hidden="1" x14ac:dyDescent="0.25">
      <c r="B243" s="227" t="str">
        <f>'Concept-Level Data'!A41</f>
        <v>Respondent 3</v>
      </c>
      <c r="C243" s="793" t="str">
        <f>'Concept-Level Data'!B41</f>
        <v>Local Surface Water Reservoirs</v>
      </c>
      <c r="D243" s="794"/>
      <c r="E243" s="379">
        <f>'Concept-Level Data'!N41</f>
        <v>1</v>
      </c>
      <c r="F243" s="380">
        <f>'Concept-Level Data'!O41</f>
        <v>1</v>
      </c>
    </row>
    <row r="244" spans="2:6" hidden="1" x14ac:dyDescent="0.25">
      <c r="B244" s="227" t="str">
        <f>'Concept-Level Data'!A42</f>
        <v>Respondent 3</v>
      </c>
      <c r="C244" s="793" t="str">
        <f>'Concept-Level Data'!B42</f>
        <v>Potable Reuse</v>
      </c>
      <c r="D244" s="794"/>
      <c r="E244" s="379">
        <f>'Concept-Level Data'!N42</f>
        <v>1</v>
      </c>
      <c r="F244" s="380">
        <f>'Concept-Level Data'!O42</f>
        <v>1</v>
      </c>
    </row>
    <row r="245" spans="2:6" hidden="1" x14ac:dyDescent="0.25">
      <c r="B245" s="227" t="str">
        <f>'Concept-Level Data'!A43</f>
        <v>Respondent 3</v>
      </c>
      <c r="C245" s="793" t="str">
        <f>'Concept-Level Data'!B43</f>
        <v>Recycled Water</v>
      </c>
      <c r="D245" s="794"/>
      <c r="E245" s="379">
        <f>'Concept-Level Data'!N43</f>
        <v>1</v>
      </c>
      <c r="F245" s="380">
        <f>'Concept-Level Data'!O43</f>
        <v>1</v>
      </c>
    </row>
    <row r="246" spans="2:6" hidden="1" x14ac:dyDescent="0.25">
      <c r="B246" s="227" t="str">
        <f>'Concept-Level Data'!A44</f>
        <v>Respondent 3</v>
      </c>
      <c r="C246" s="793" t="str">
        <f>'Concept-Level Data'!B44</f>
        <v>Seawater Desalination</v>
      </c>
      <c r="D246" s="794"/>
      <c r="E246" s="379">
        <f>'Concept-Level Data'!N44</f>
        <v>1</v>
      </c>
      <c r="F246" s="380">
        <f>'Concept-Level Data'!O44</f>
        <v>1</v>
      </c>
    </row>
    <row r="247" spans="2:6" hidden="1" x14ac:dyDescent="0.25">
      <c r="B247" s="227" t="str">
        <f>'Concept-Level Data'!A45</f>
        <v>Respondent 3</v>
      </c>
      <c r="C247" s="793" t="str">
        <f>'Concept-Level Data'!B45</f>
        <v>Stormwater BMPs</v>
      </c>
      <c r="D247" s="794"/>
      <c r="E247" s="379">
        <f>'Concept-Level Data'!N45</f>
        <v>3</v>
      </c>
      <c r="F247" s="380">
        <f>'Concept-Level Data'!O45</f>
        <v>3</v>
      </c>
    </row>
    <row r="248" spans="2:6" hidden="1" x14ac:dyDescent="0.25">
      <c r="B248" s="227" t="str">
        <f>'Concept-Level Data'!A46</f>
        <v>Respondent 3</v>
      </c>
      <c r="C248" s="793" t="str">
        <f>'Concept-Level Data'!B46</f>
        <v>Stormwater Capture</v>
      </c>
      <c r="D248" s="794"/>
      <c r="E248" s="379">
        <f>'Concept-Level Data'!N46</f>
        <v>1</v>
      </c>
      <c r="F248" s="380">
        <f>'Concept-Level Data'!O46</f>
        <v>1</v>
      </c>
    </row>
    <row r="249" spans="2:6" hidden="1" x14ac:dyDescent="0.25">
      <c r="B249" s="227" t="str">
        <f>'Concept-Level Data'!A47</f>
        <v>Respondent 3</v>
      </c>
      <c r="C249" s="793" t="str">
        <f>'Concept-Level Data'!B47</f>
        <v>Urban and Agricultural Water Use Efficiency</v>
      </c>
      <c r="D249" s="794"/>
      <c r="E249" s="379">
        <f>'Concept-Level Data'!N47</f>
        <v>3</v>
      </c>
      <c r="F249" s="380">
        <f>'Concept-Level Data'!O47</f>
        <v>3</v>
      </c>
    </row>
    <row r="250" spans="2:6" hidden="1" x14ac:dyDescent="0.25">
      <c r="B250" s="227" t="str">
        <f>'Concept-Level Data'!A48</f>
        <v>Respondent 3</v>
      </c>
      <c r="C250" s="793" t="str">
        <f>'Concept-Level Data'!B48</f>
        <v>Watershed and Ecosystem Management</v>
      </c>
      <c r="D250" s="794"/>
      <c r="E250" s="379">
        <f>'Concept-Level Data'!N48</f>
        <v>3</v>
      </c>
      <c r="F250" s="380">
        <f>'Concept-Level Data'!O48</f>
        <v>3</v>
      </c>
    </row>
    <row r="251" spans="2:6" hidden="1" x14ac:dyDescent="0.25">
      <c r="B251" s="227" t="str">
        <f>'Concept-Level Data'!A49</f>
        <v>Respondent 4</v>
      </c>
      <c r="C251" s="793" t="str">
        <f>'Concept-Level Data'!B49</f>
        <v>Conveyance Improvement</v>
      </c>
      <c r="D251" s="794"/>
      <c r="E251" s="379">
        <f>'Concept-Level Data'!N49</f>
        <v>3</v>
      </c>
      <c r="F251" s="380">
        <f>'Concept-Level Data'!O49</f>
        <v>3</v>
      </c>
    </row>
    <row r="252" spans="2:6" hidden="1" x14ac:dyDescent="0.25">
      <c r="B252" s="227" t="str">
        <f>'Concept-Level Data'!A50</f>
        <v>Respondent 4</v>
      </c>
      <c r="C252" s="793" t="str">
        <f>'Concept-Level Data'!B50</f>
        <v>Drought Restriction/Allocation</v>
      </c>
      <c r="D252" s="794"/>
      <c r="E252" s="379">
        <f>'Concept-Level Data'!N50</f>
        <v>5</v>
      </c>
      <c r="F252" s="380">
        <f>'Concept-Level Data'!O50</f>
        <v>5</v>
      </c>
    </row>
    <row r="253" spans="2:6" hidden="1" x14ac:dyDescent="0.25">
      <c r="B253" s="227" t="str">
        <f>'Concept-Level Data'!A51</f>
        <v>Respondent 4</v>
      </c>
      <c r="C253" s="793" t="str">
        <f>'Concept-Level Data'!B51</f>
        <v>Firm Water Supply Agreements</v>
      </c>
      <c r="D253" s="794"/>
      <c r="E253" s="379">
        <f>'Concept-Level Data'!N51</f>
        <v>3</v>
      </c>
      <c r="F253" s="380">
        <f>'Concept-Level Data'!O51</f>
        <v>5</v>
      </c>
    </row>
    <row r="254" spans="2:6" hidden="1" x14ac:dyDescent="0.25">
      <c r="B254" s="227" t="str">
        <f>'Concept-Level Data'!A52</f>
        <v>Respondent 4</v>
      </c>
      <c r="C254" s="793" t="str">
        <f>'Concept-Level Data'!B52</f>
        <v>Gray Water Use</v>
      </c>
      <c r="D254" s="794"/>
      <c r="E254" s="379">
        <f>'Concept-Level Data'!N52</f>
        <v>5</v>
      </c>
      <c r="F254" s="380">
        <f>'Concept-Level Data'!O52</f>
        <v>5</v>
      </c>
    </row>
    <row r="255" spans="2:6" hidden="1" x14ac:dyDescent="0.25">
      <c r="B255" s="227" t="str">
        <f>'Concept-Level Data'!A53</f>
        <v>Respondent 4</v>
      </c>
      <c r="C255" s="793" t="str">
        <f>'Concept-Level Data'!B53</f>
        <v>Groundwater</v>
      </c>
      <c r="D255" s="794"/>
      <c r="E255" s="379">
        <f>'Concept-Level Data'!N53</f>
        <v>1</v>
      </c>
      <c r="F255" s="380">
        <f>'Concept-Level Data'!O53</f>
        <v>1</v>
      </c>
    </row>
    <row r="256" spans="2:6" hidden="1" x14ac:dyDescent="0.25">
      <c r="B256" s="227" t="str">
        <f>'Concept-Level Data'!A54</f>
        <v>Respondent 4</v>
      </c>
      <c r="C256" s="793" t="str">
        <f>'Concept-Level Data'!B54</f>
        <v>Imported Water Purchases</v>
      </c>
      <c r="D256" s="794"/>
      <c r="E256" s="379">
        <f>'Concept-Level Data'!N54</f>
        <v>1</v>
      </c>
      <c r="F256" s="380">
        <f>'Concept-Level Data'!O54</f>
        <v>5</v>
      </c>
    </row>
    <row r="257" spans="2:6" hidden="1" x14ac:dyDescent="0.25">
      <c r="B257" s="227" t="str">
        <f>'Concept-Level Data'!A55</f>
        <v>Respondent 4</v>
      </c>
      <c r="C257" s="793" t="str">
        <f>'Concept-Level Data'!B55</f>
        <v>Local Surface Water Reservoirs</v>
      </c>
      <c r="D257" s="794"/>
      <c r="E257" s="379">
        <f>'Concept-Level Data'!N55</f>
        <v>3</v>
      </c>
      <c r="F257" s="380">
        <f>'Concept-Level Data'!O55</f>
        <v>3</v>
      </c>
    </row>
    <row r="258" spans="2:6" hidden="1" x14ac:dyDescent="0.25">
      <c r="B258" s="227" t="str">
        <f>'Concept-Level Data'!A56</f>
        <v>Respondent 4</v>
      </c>
      <c r="C258" s="793" t="str">
        <f>'Concept-Level Data'!B56</f>
        <v>Potable Reuse</v>
      </c>
      <c r="D258" s="794"/>
      <c r="E258" s="379">
        <f>'Concept-Level Data'!N56</f>
        <v>1</v>
      </c>
      <c r="F258" s="380">
        <f>'Concept-Level Data'!O56</f>
        <v>1</v>
      </c>
    </row>
    <row r="259" spans="2:6" hidden="1" x14ac:dyDescent="0.25">
      <c r="B259" s="227" t="str">
        <f>'Concept-Level Data'!A57</f>
        <v>Respondent 4</v>
      </c>
      <c r="C259" s="793" t="str">
        <f>'Concept-Level Data'!B57</f>
        <v>Recycled Water</v>
      </c>
      <c r="D259" s="794"/>
      <c r="E259" s="379">
        <f>'Concept-Level Data'!N57</f>
        <v>3</v>
      </c>
      <c r="F259" s="380">
        <f>'Concept-Level Data'!O57</f>
        <v>3</v>
      </c>
    </row>
    <row r="260" spans="2:6" hidden="1" x14ac:dyDescent="0.25">
      <c r="B260" s="227" t="str">
        <f>'Concept-Level Data'!A58</f>
        <v>Respondent 4</v>
      </c>
      <c r="C260" s="793" t="str">
        <f>'Concept-Level Data'!B58</f>
        <v>Seawater Desalination</v>
      </c>
      <c r="D260" s="794"/>
      <c r="E260" s="379">
        <f>'Concept-Level Data'!N58</f>
        <v>3</v>
      </c>
      <c r="F260" s="380">
        <f>'Concept-Level Data'!O58</f>
        <v>1</v>
      </c>
    </row>
    <row r="261" spans="2:6" hidden="1" x14ac:dyDescent="0.25">
      <c r="B261" s="227" t="str">
        <f>'Concept-Level Data'!A59</f>
        <v>Respondent 4</v>
      </c>
      <c r="C261" s="793" t="str">
        <f>'Concept-Level Data'!B59</f>
        <v>Stormwater BMPs</v>
      </c>
      <c r="D261" s="794"/>
      <c r="E261" s="379">
        <f>'Concept-Level Data'!N59</f>
        <v>3</v>
      </c>
      <c r="F261" s="380">
        <f>'Concept-Level Data'!O59</f>
        <v>5</v>
      </c>
    </row>
    <row r="262" spans="2:6" hidden="1" x14ac:dyDescent="0.25">
      <c r="B262" s="227" t="str">
        <f>'Concept-Level Data'!A60</f>
        <v>Respondent 4</v>
      </c>
      <c r="C262" s="793" t="str">
        <f>'Concept-Level Data'!B60</f>
        <v>Stormwater Capture</v>
      </c>
      <c r="D262" s="794"/>
      <c r="E262" s="379">
        <f>'Concept-Level Data'!N60</f>
        <v>3</v>
      </c>
      <c r="F262" s="380">
        <f>'Concept-Level Data'!O60</f>
        <v>3</v>
      </c>
    </row>
    <row r="263" spans="2:6" hidden="1" x14ac:dyDescent="0.25">
      <c r="B263" s="227" t="str">
        <f>'Concept-Level Data'!A61</f>
        <v>Respondent 4</v>
      </c>
      <c r="C263" s="793" t="str">
        <f>'Concept-Level Data'!B61</f>
        <v>Urban and Agricultural Water Use Efficiency</v>
      </c>
      <c r="D263" s="794"/>
      <c r="E263" s="379">
        <f>'Concept-Level Data'!N61</f>
        <v>5</v>
      </c>
      <c r="F263" s="380">
        <f>'Concept-Level Data'!O61</f>
        <v>5</v>
      </c>
    </row>
    <row r="264" spans="2:6" hidden="1" x14ac:dyDescent="0.25">
      <c r="B264" s="227" t="str">
        <f>'Concept-Level Data'!A62</f>
        <v>Respondent 4</v>
      </c>
      <c r="C264" s="793" t="str">
        <f>'Concept-Level Data'!B62</f>
        <v>Watershed and Ecosystem Management</v>
      </c>
      <c r="D264" s="794"/>
      <c r="E264" s="379">
        <f>'Concept-Level Data'!N62</f>
        <v>3</v>
      </c>
      <c r="F264" s="380">
        <f>'Concept-Level Data'!O62</f>
        <v>3</v>
      </c>
    </row>
    <row r="265" spans="2:6" hidden="1" x14ac:dyDescent="0.25">
      <c r="B265" s="227" t="str">
        <f>'Concept-Level Data'!A63</f>
        <v>Respondent 5</v>
      </c>
      <c r="C265" s="793" t="str">
        <f>'Concept-Level Data'!B63</f>
        <v>Conveyance Improvement</v>
      </c>
      <c r="D265" s="794"/>
      <c r="E265" s="379">
        <f>'Concept-Level Data'!N63</f>
        <v>1</v>
      </c>
      <c r="F265" s="380">
        <f>'Concept-Level Data'!O63</f>
        <v>1</v>
      </c>
    </row>
    <row r="266" spans="2:6" hidden="1" x14ac:dyDescent="0.25">
      <c r="B266" s="227" t="str">
        <f>'Concept-Level Data'!A64</f>
        <v>Respondent 5</v>
      </c>
      <c r="C266" s="793" t="str">
        <f>'Concept-Level Data'!B64</f>
        <v>Drought Restriction/Allocation</v>
      </c>
      <c r="D266" s="794"/>
      <c r="E266" s="379">
        <f>'Concept-Level Data'!N64</f>
        <v>5</v>
      </c>
      <c r="F266" s="380">
        <f>'Concept-Level Data'!O64</f>
        <v>5</v>
      </c>
    </row>
    <row r="267" spans="2:6" hidden="1" x14ac:dyDescent="0.25">
      <c r="B267" s="227" t="str">
        <f>'Concept-Level Data'!A65</f>
        <v>Respondent 5</v>
      </c>
      <c r="C267" s="793" t="str">
        <f>'Concept-Level Data'!B65</f>
        <v>Firm Water Supply Agreements</v>
      </c>
      <c r="D267" s="794"/>
      <c r="E267" s="379">
        <f>'Concept-Level Data'!N65</f>
        <v>1</v>
      </c>
      <c r="F267" s="380">
        <f>'Concept-Level Data'!O65</f>
        <v>1</v>
      </c>
    </row>
    <row r="268" spans="2:6" hidden="1" x14ac:dyDescent="0.25">
      <c r="B268" s="227" t="str">
        <f>'Concept-Level Data'!A66</f>
        <v>Respondent 5</v>
      </c>
      <c r="C268" s="793" t="str">
        <f>'Concept-Level Data'!B66</f>
        <v>Gray Water Use</v>
      </c>
      <c r="D268" s="794"/>
      <c r="E268" s="379">
        <f>'Concept-Level Data'!N66</f>
        <v>3</v>
      </c>
      <c r="F268" s="380">
        <f>'Concept-Level Data'!O66</f>
        <v>3</v>
      </c>
    </row>
    <row r="269" spans="2:6" hidden="1" x14ac:dyDescent="0.25">
      <c r="B269" s="227" t="str">
        <f>'Concept-Level Data'!A67</f>
        <v>Respondent 5</v>
      </c>
      <c r="C269" s="793" t="str">
        <f>'Concept-Level Data'!B67</f>
        <v>Groundwater</v>
      </c>
      <c r="D269" s="794"/>
      <c r="E269" s="379">
        <f>'Concept-Level Data'!N67</f>
        <v>3</v>
      </c>
      <c r="F269" s="380">
        <f>'Concept-Level Data'!O67</f>
        <v>3</v>
      </c>
    </row>
    <row r="270" spans="2:6" hidden="1" x14ac:dyDescent="0.25">
      <c r="B270" s="227" t="str">
        <f>'Concept-Level Data'!A68</f>
        <v>Respondent 5</v>
      </c>
      <c r="C270" s="793" t="str">
        <f>'Concept-Level Data'!B68</f>
        <v>Imported Water Purchases</v>
      </c>
      <c r="D270" s="794"/>
      <c r="E270" s="379">
        <f>'Concept-Level Data'!N68</f>
        <v>1</v>
      </c>
      <c r="F270" s="380">
        <f>'Concept-Level Data'!O68</f>
        <v>1</v>
      </c>
    </row>
    <row r="271" spans="2:6" hidden="1" x14ac:dyDescent="0.25">
      <c r="B271" s="227" t="str">
        <f>'Concept-Level Data'!A69</f>
        <v>Respondent 5</v>
      </c>
      <c r="C271" s="793" t="str">
        <f>'Concept-Level Data'!B69</f>
        <v>Local Surface Water Reservoirs</v>
      </c>
      <c r="D271" s="794"/>
      <c r="E271" s="379">
        <f>'Concept-Level Data'!N69</f>
        <v>3</v>
      </c>
      <c r="F271" s="380">
        <f>'Concept-Level Data'!O69</f>
        <v>3</v>
      </c>
    </row>
    <row r="272" spans="2:6" hidden="1" x14ac:dyDescent="0.25">
      <c r="B272" s="227" t="str">
        <f>'Concept-Level Data'!A70</f>
        <v>Respondent 5</v>
      </c>
      <c r="C272" s="793" t="str">
        <f>'Concept-Level Data'!B70</f>
        <v>Potable Reuse</v>
      </c>
      <c r="D272" s="794"/>
      <c r="E272" s="379">
        <f>'Concept-Level Data'!N70</f>
        <v>3</v>
      </c>
      <c r="F272" s="380">
        <f>'Concept-Level Data'!O70</f>
        <v>3</v>
      </c>
    </row>
    <row r="273" spans="2:6" hidden="1" x14ac:dyDescent="0.25">
      <c r="B273" s="227" t="str">
        <f>'Concept-Level Data'!A71</f>
        <v>Respondent 5</v>
      </c>
      <c r="C273" s="793" t="str">
        <f>'Concept-Level Data'!B71</f>
        <v>Recycled Water</v>
      </c>
      <c r="D273" s="794"/>
      <c r="E273" s="379">
        <f>'Concept-Level Data'!N71</f>
        <v>3</v>
      </c>
      <c r="F273" s="380">
        <f>'Concept-Level Data'!O71</f>
        <v>3</v>
      </c>
    </row>
    <row r="274" spans="2:6" hidden="1" x14ac:dyDescent="0.25">
      <c r="B274" s="227" t="str">
        <f>'Concept-Level Data'!A72</f>
        <v>Respondent 5</v>
      </c>
      <c r="C274" s="793" t="str">
        <f>'Concept-Level Data'!B72</f>
        <v>Seawater Desalination</v>
      </c>
      <c r="D274" s="794"/>
      <c r="E274" s="379">
        <f>'Concept-Level Data'!N72</f>
        <v>1</v>
      </c>
      <c r="F274" s="380">
        <f>'Concept-Level Data'!O72</f>
        <v>1</v>
      </c>
    </row>
    <row r="275" spans="2:6" hidden="1" x14ac:dyDescent="0.25">
      <c r="B275" s="227" t="str">
        <f>'Concept-Level Data'!A73</f>
        <v>Respondent 5</v>
      </c>
      <c r="C275" s="793" t="str">
        <f>'Concept-Level Data'!B73</f>
        <v>Stormwater BMPs</v>
      </c>
      <c r="D275" s="794"/>
      <c r="E275" s="379">
        <f>'Concept-Level Data'!N73</f>
        <v>5</v>
      </c>
      <c r="F275" s="380">
        <f>'Concept-Level Data'!O73</f>
        <v>5</v>
      </c>
    </row>
    <row r="276" spans="2:6" hidden="1" x14ac:dyDescent="0.25">
      <c r="B276" s="227" t="str">
        <f>'Concept-Level Data'!A74</f>
        <v>Respondent 5</v>
      </c>
      <c r="C276" s="793" t="str">
        <f>'Concept-Level Data'!B74</f>
        <v>Stormwater Capture</v>
      </c>
      <c r="D276" s="794"/>
      <c r="E276" s="379">
        <f>'Concept-Level Data'!N74</f>
        <v>3</v>
      </c>
      <c r="F276" s="380">
        <f>'Concept-Level Data'!O74</f>
        <v>3</v>
      </c>
    </row>
    <row r="277" spans="2:6" hidden="1" x14ac:dyDescent="0.25">
      <c r="B277" s="227" t="str">
        <f>'Concept-Level Data'!A75</f>
        <v>Respondent 5</v>
      </c>
      <c r="C277" s="793" t="str">
        <f>'Concept-Level Data'!B75</f>
        <v>Urban and Agricultural Water Use Efficiency</v>
      </c>
      <c r="D277" s="794"/>
      <c r="E277" s="379">
        <f>'Concept-Level Data'!N75</f>
        <v>5</v>
      </c>
      <c r="F277" s="380">
        <f>'Concept-Level Data'!O75</f>
        <v>5</v>
      </c>
    </row>
    <row r="278" spans="2:6" hidden="1" x14ac:dyDescent="0.25">
      <c r="B278" s="227" t="str">
        <f>'Concept-Level Data'!A76</f>
        <v>Respondent 5</v>
      </c>
      <c r="C278" s="793" t="str">
        <f>'Concept-Level Data'!B76</f>
        <v>Watershed and Ecosystem Management</v>
      </c>
      <c r="D278" s="794"/>
      <c r="E278" s="379">
        <f>'Concept-Level Data'!N76</f>
        <v>5</v>
      </c>
      <c r="F278" s="380">
        <f>'Concept-Level Data'!O76</f>
        <v>5</v>
      </c>
    </row>
    <row r="279" spans="2:6" hidden="1" x14ac:dyDescent="0.25">
      <c r="B279" s="227" t="str">
        <f>'Concept-Level Data'!A77</f>
        <v>Respondent 6</v>
      </c>
      <c r="C279" s="793" t="str">
        <f>'Concept-Level Data'!B77</f>
        <v>Conveyance Improvement</v>
      </c>
      <c r="D279" s="794"/>
      <c r="E279" s="379">
        <f>'Concept-Level Data'!N77</f>
        <v>1</v>
      </c>
      <c r="F279" s="380">
        <f>'Concept-Level Data'!O77</f>
        <v>3</v>
      </c>
    </row>
    <row r="280" spans="2:6" hidden="1" x14ac:dyDescent="0.25">
      <c r="B280" s="227" t="str">
        <f>'Concept-Level Data'!A78</f>
        <v>Respondent 6</v>
      </c>
      <c r="C280" s="793" t="str">
        <f>'Concept-Level Data'!B78</f>
        <v>Drought Restriction/Allocation</v>
      </c>
      <c r="D280" s="794"/>
      <c r="E280" s="379">
        <f>'Concept-Level Data'!N78</f>
        <v>5</v>
      </c>
      <c r="F280" s="380">
        <f>'Concept-Level Data'!O78</f>
        <v>5</v>
      </c>
    </row>
    <row r="281" spans="2:6" hidden="1" x14ac:dyDescent="0.25">
      <c r="B281" s="227" t="str">
        <f>'Concept-Level Data'!A79</f>
        <v>Respondent 6</v>
      </c>
      <c r="C281" s="793" t="str">
        <f>'Concept-Level Data'!B79</f>
        <v>Firm Water Supply Agreements</v>
      </c>
      <c r="D281" s="794"/>
      <c r="E281" s="379">
        <f>'Concept-Level Data'!N79</f>
        <v>5</v>
      </c>
      <c r="F281" s="380">
        <f>'Concept-Level Data'!O79</f>
        <v>5</v>
      </c>
    </row>
    <row r="282" spans="2:6" hidden="1" x14ac:dyDescent="0.25">
      <c r="B282" s="227" t="str">
        <f>'Concept-Level Data'!A80</f>
        <v>Respondent 6</v>
      </c>
      <c r="C282" s="793" t="str">
        <f>'Concept-Level Data'!B80</f>
        <v>Gray Water Use</v>
      </c>
      <c r="D282" s="794"/>
      <c r="E282" s="379">
        <f>'Concept-Level Data'!N80</f>
        <v>3</v>
      </c>
      <c r="F282" s="380">
        <f>'Concept-Level Data'!O80</f>
        <v>3</v>
      </c>
    </row>
    <row r="283" spans="2:6" hidden="1" x14ac:dyDescent="0.25">
      <c r="B283" s="227" t="str">
        <f>'Concept-Level Data'!A81</f>
        <v>Respondent 6</v>
      </c>
      <c r="C283" s="793" t="str">
        <f>'Concept-Level Data'!B81</f>
        <v>Groundwater</v>
      </c>
      <c r="D283" s="794"/>
      <c r="E283" s="379">
        <f>'Concept-Level Data'!N81</f>
        <v>3</v>
      </c>
      <c r="F283" s="380">
        <f>'Concept-Level Data'!O81</f>
        <v>3</v>
      </c>
    </row>
    <row r="284" spans="2:6" hidden="1" x14ac:dyDescent="0.25">
      <c r="B284" s="227" t="str">
        <f>'Concept-Level Data'!A82</f>
        <v>Respondent 6</v>
      </c>
      <c r="C284" s="793" t="str">
        <f>'Concept-Level Data'!B82</f>
        <v>Imported Water Purchases</v>
      </c>
      <c r="D284" s="794"/>
      <c r="E284" s="379">
        <f>'Concept-Level Data'!N82</f>
        <v>3</v>
      </c>
      <c r="F284" s="380">
        <f>'Concept-Level Data'!O82</f>
        <v>5</v>
      </c>
    </row>
    <row r="285" spans="2:6" hidden="1" x14ac:dyDescent="0.25">
      <c r="B285" s="227" t="str">
        <f>'Concept-Level Data'!A83</f>
        <v>Respondent 6</v>
      </c>
      <c r="C285" s="793" t="str">
        <f>'Concept-Level Data'!B83</f>
        <v>Local Surface Water Reservoirs</v>
      </c>
      <c r="D285" s="794"/>
      <c r="E285" s="379">
        <f>'Concept-Level Data'!N83</f>
        <v>3</v>
      </c>
      <c r="F285" s="380">
        <f>'Concept-Level Data'!O83</f>
        <v>3</v>
      </c>
    </row>
    <row r="286" spans="2:6" hidden="1" x14ac:dyDescent="0.25">
      <c r="B286" s="227" t="str">
        <f>'Concept-Level Data'!A84</f>
        <v>Respondent 6</v>
      </c>
      <c r="C286" s="793" t="str">
        <f>'Concept-Level Data'!B84</f>
        <v>Potable Reuse</v>
      </c>
      <c r="D286" s="794"/>
      <c r="E286" s="379">
        <f>'Concept-Level Data'!N84</f>
        <v>1</v>
      </c>
      <c r="F286" s="380">
        <f>'Concept-Level Data'!O84</f>
        <v>1</v>
      </c>
    </row>
    <row r="287" spans="2:6" hidden="1" x14ac:dyDescent="0.25">
      <c r="B287" s="227" t="str">
        <f>'Concept-Level Data'!A85</f>
        <v>Respondent 6</v>
      </c>
      <c r="C287" s="793" t="str">
        <f>'Concept-Level Data'!B85</f>
        <v>Recycled Water</v>
      </c>
      <c r="D287" s="794"/>
      <c r="E287" s="379">
        <f>'Concept-Level Data'!N85</f>
        <v>1</v>
      </c>
      <c r="F287" s="380">
        <f>'Concept-Level Data'!O85</f>
        <v>1</v>
      </c>
    </row>
    <row r="288" spans="2:6" hidden="1" x14ac:dyDescent="0.25">
      <c r="B288" s="227" t="str">
        <f>'Concept-Level Data'!A86</f>
        <v>Respondent 6</v>
      </c>
      <c r="C288" s="793" t="str">
        <f>'Concept-Level Data'!B86</f>
        <v>Seawater Desalination</v>
      </c>
      <c r="D288" s="794"/>
      <c r="E288" s="379">
        <f>'Concept-Level Data'!N86</f>
        <v>1</v>
      </c>
      <c r="F288" s="380">
        <f>'Concept-Level Data'!O86</f>
        <v>1</v>
      </c>
    </row>
    <row r="289" spans="2:6" hidden="1" x14ac:dyDescent="0.25">
      <c r="B289" s="227" t="str">
        <f>'Concept-Level Data'!A87</f>
        <v>Respondent 6</v>
      </c>
      <c r="C289" s="793" t="str">
        <f>'Concept-Level Data'!B87</f>
        <v>Stormwater BMPs</v>
      </c>
      <c r="D289" s="794"/>
      <c r="E289" s="379">
        <f>'Concept-Level Data'!N87</f>
        <v>5</v>
      </c>
      <c r="F289" s="380">
        <f>'Concept-Level Data'!O87</f>
        <v>5</v>
      </c>
    </row>
    <row r="290" spans="2:6" hidden="1" x14ac:dyDescent="0.25">
      <c r="B290" s="227" t="str">
        <f>'Concept-Level Data'!A88</f>
        <v>Respondent 6</v>
      </c>
      <c r="C290" s="793" t="str">
        <f>'Concept-Level Data'!B88</f>
        <v>Stormwater Capture</v>
      </c>
      <c r="D290" s="794"/>
      <c r="E290" s="379">
        <f>'Concept-Level Data'!N88</f>
        <v>1</v>
      </c>
      <c r="F290" s="380">
        <f>'Concept-Level Data'!O88</f>
        <v>1</v>
      </c>
    </row>
    <row r="291" spans="2:6" hidden="1" x14ac:dyDescent="0.25">
      <c r="B291" s="227" t="str">
        <f>'Concept-Level Data'!A89</f>
        <v>Respondent 6</v>
      </c>
      <c r="C291" s="793" t="str">
        <f>'Concept-Level Data'!B89</f>
        <v>Urban and Agricultural Water Use Efficiency</v>
      </c>
      <c r="D291" s="794"/>
      <c r="E291" s="379">
        <f>'Concept-Level Data'!N89</f>
        <v>5</v>
      </c>
      <c r="F291" s="380">
        <f>'Concept-Level Data'!O89</f>
        <v>5</v>
      </c>
    </row>
    <row r="292" spans="2:6" hidden="1" x14ac:dyDescent="0.25">
      <c r="B292" s="227" t="str">
        <f>'Concept-Level Data'!A90</f>
        <v>Respondent 6</v>
      </c>
      <c r="C292" s="793" t="str">
        <f>'Concept-Level Data'!B90</f>
        <v>Watershed and Ecosystem Management</v>
      </c>
      <c r="D292" s="794"/>
      <c r="E292" s="379">
        <f>'Concept-Level Data'!N90</f>
        <v>3</v>
      </c>
      <c r="F292" s="380">
        <f>'Concept-Level Data'!O90</f>
        <v>5</v>
      </c>
    </row>
    <row r="293" spans="2:6" hidden="1" x14ac:dyDescent="0.25">
      <c r="B293" s="227" t="str">
        <f>'Concept-Level Data'!A91</f>
        <v>Respondent 7</v>
      </c>
      <c r="C293" s="793" t="str">
        <f>'Concept-Level Data'!B91</f>
        <v>Conveyance Improvement</v>
      </c>
      <c r="D293" s="794"/>
      <c r="E293" s="379">
        <f>'Concept-Level Data'!N91</f>
        <v>3</v>
      </c>
      <c r="F293" s="380">
        <f>'Concept-Level Data'!O91</f>
        <v>3</v>
      </c>
    </row>
    <row r="294" spans="2:6" hidden="1" x14ac:dyDescent="0.25">
      <c r="B294" s="227" t="str">
        <f>'Concept-Level Data'!A92</f>
        <v>Respondent 7</v>
      </c>
      <c r="C294" s="793" t="str">
        <f>'Concept-Level Data'!B92</f>
        <v>Drought Restriction/Allocation</v>
      </c>
      <c r="D294" s="794"/>
      <c r="E294" s="379">
        <f>'Concept-Level Data'!N92</f>
        <v>5</v>
      </c>
      <c r="F294" s="380">
        <f>'Concept-Level Data'!O92</f>
        <v>5</v>
      </c>
    </row>
    <row r="295" spans="2:6" hidden="1" x14ac:dyDescent="0.25">
      <c r="B295" s="227" t="str">
        <f>'Concept-Level Data'!A93</f>
        <v>Respondent 7</v>
      </c>
      <c r="C295" s="793" t="str">
        <f>'Concept-Level Data'!B93</f>
        <v>Firm Water Supply Agreements</v>
      </c>
      <c r="D295" s="794"/>
      <c r="E295" s="379">
        <f>'Concept-Level Data'!N93</f>
        <v>5</v>
      </c>
      <c r="F295" s="380">
        <f>'Concept-Level Data'!O93</f>
        <v>3</v>
      </c>
    </row>
    <row r="296" spans="2:6" hidden="1" x14ac:dyDescent="0.25">
      <c r="B296" s="227" t="str">
        <f>'Concept-Level Data'!A94</f>
        <v>Respondent 7</v>
      </c>
      <c r="C296" s="793" t="str">
        <f>'Concept-Level Data'!B94</f>
        <v>Gray Water Use</v>
      </c>
      <c r="D296" s="794"/>
      <c r="E296" s="379">
        <f>'Concept-Level Data'!N94</f>
        <v>5</v>
      </c>
      <c r="F296" s="380">
        <f>'Concept-Level Data'!O94</f>
        <v>5</v>
      </c>
    </row>
    <row r="297" spans="2:6" hidden="1" x14ac:dyDescent="0.25">
      <c r="B297" s="227" t="str">
        <f>'Concept-Level Data'!A95</f>
        <v>Respondent 7</v>
      </c>
      <c r="C297" s="793" t="str">
        <f>'Concept-Level Data'!B95</f>
        <v>Groundwater</v>
      </c>
      <c r="D297" s="794"/>
      <c r="E297" s="379">
        <f>'Concept-Level Data'!N95</f>
        <v>3</v>
      </c>
      <c r="F297" s="380">
        <f>'Concept-Level Data'!O95</f>
        <v>3</v>
      </c>
    </row>
    <row r="298" spans="2:6" hidden="1" x14ac:dyDescent="0.25">
      <c r="B298" s="227" t="str">
        <f>'Concept-Level Data'!A96</f>
        <v>Respondent 7</v>
      </c>
      <c r="C298" s="793" t="str">
        <f>'Concept-Level Data'!B96</f>
        <v>Imported Water Purchases</v>
      </c>
      <c r="D298" s="794"/>
      <c r="E298" s="379">
        <f>'Concept-Level Data'!N96</f>
        <v>3</v>
      </c>
      <c r="F298" s="380">
        <f>'Concept-Level Data'!O96</f>
        <v>1</v>
      </c>
    </row>
    <row r="299" spans="2:6" hidden="1" x14ac:dyDescent="0.25">
      <c r="B299" s="227" t="str">
        <f>'Concept-Level Data'!A97</f>
        <v>Respondent 7</v>
      </c>
      <c r="C299" s="793" t="str">
        <f>'Concept-Level Data'!B97</f>
        <v>Local Surface Water Reservoirs</v>
      </c>
      <c r="D299" s="794"/>
      <c r="E299" s="379">
        <f>'Concept-Level Data'!N97</f>
        <v>3</v>
      </c>
      <c r="F299" s="380">
        <f>'Concept-Level Data'!O97</f>
        <v>5</v>
      </c>
    </row>
    <row r="300" spans="2:6" hidden="1" x14ac:dyDescent="0.25">
      <c r="B300" s="227" t="str">
        <f>'Concept-Level Data'!A98</f>
        <v>Respondent 7</v>
      </c>
      <c r="C300" s="793" t="str">
        <f>'Concept-Level Data'!B98</f>
        <v>Potable Reuse</v>
      </c>
      <c r="D300" s="794"/>
      <c r="E300" s="379">
        <f>'Concept-Level Data'!N98</f>
        <v>3</v>
      </c>
      <c r="F300" s="380">
        <f>'Concept-Level Data'!O98</f>
        <v>5</v>
      </c>
    </row>
    <row r="301" spans="2:6" hidden="1" x14ac:dyDescent="0.25">
      <c r="B301" s="227" t="str">
        <f>'Concept-Level Data'!A99</f>
        <v>Respondent 7</v>
      </c>
      <c r="C301" s="793" t="str">
        <f>'Concept-Level Data'!B99</f>
        <v>Recycled Water</v>
      </c>
      <c r="D301" s="794"/>
      <c r="E301" s="379">
        <f>'Concept-Level Data'!N99</f>
        <v>3</v>
      </c>
      <c r="F301" s="380">
        <f>'Concept-Level Data'!O99</f>
        <v>5</v>
      </c>
    </row>
    <row r="302" spans="2:6" hidden="1" x14ac:dyDescent="0.25">
      <c r="B302" s="227" t="str">
        <f>'Concept-Level Data'!A100</f>
        <v>Respondent 7</v>
      </c>
      <c r="C302" s="793" t="str">
        <f>'Concept-Level Data'!B100</f>
        <v>Seawater Desalination</v>
      </c>
      <c r="D302" s="794"/>
      <c r="E302" s="379">
        <f>'Concept-Level Data'!N100</f>
        <v>1</v>
      </c>
      <c r="F302" s="380">
        <f>'Concept-Level Data'!O100</f>
        <v>1</v>
      </c>
    </row>
    <row r="303" spans="2:6" hidden="1" x14ac:dyDescent="0.25">
      <c r="B303" s="227" t="str">
        <f>'Concept-Level Data'!A101</f>
        <v>Respondent 7</v>
      </c>
      <c r="C303" s="793" t="str">
        <f>'Concept-Level Data'!B101</f>
        <v>Stormwater BMPs</v>
      </c>
      <c r="D303" s="794"/>
      <c r="E303" s="379">
        <f>'Concept-Level Data'!N101</f>
        <v>3</v>
      </c>
      <c r="F303" s="380">
        <f>'Concept-Level Data'!O101</f>
        <v>5</v>
      </c>
    </row>
    <row r="304" spans="2:6" hidden="1" x14ac:dyDescent="0.25">
      <c r="B304" s="227" t="str">
        <f>'Concept-Level Data'!A102</f>
        <v>Respondent 7</v>
      </c>
      <c r="C304" s="793" t="str">
        <f>'Concept-Level Data'!B102</f>
        <v>Stormwater Capture</v>
      </c>
      <c r="D304" s="794"/>
      <c r="E304" s="379">
        <f>'Concept-Level Data'!N102</f>
        <v>3</v>
      </c>
      <c r="F304" s="380">
        <f>'Concept-Level Data'!O102</f>
        <v>3</v>
      </c>
    </row>
    <row r="305" spans="2:6" hidden="1" x14ac:dyDescent="0.25">
      <c r="B305" s="227" t="str">
        <f>'Concept-Level Data'!A103</f>
        <v>Respondent 7</v>
      </c>
      <c r="C305" s="793" t="str">
        <f>'Concept-Level Data'!B103</f>
        <v>Urban and Agricultural Water Use Efficiency</v>
      </c>
      <c r="D305" s="794"/>
      <c r="E305" s="379">
        <f>'Concept-Level Data'!N103</f>
        <v>3</v>
      </c>
      <c r="F305" s="380">
        <f>'Concept-Level Data'!O103</f>
        <v>3</v>
      </c>
    </row>
    <row r="306" spans="2:6" hidden="1" x14ac:dyDescent="0.25">
      <c r="B306" s="227" t="str">
        <f>'Concept-Level Data'!A104</f>
        <v>Respondent 7</v>
      </c>
      <c r="C306" s="793" t="str">
        <f>'Concept-Level Data'!B104</f>
        <v>Watershed and Ecosystem Management</v>
      </c>
      <c r="D306" s="794"/>
      <c r="E306" s="379">
        <f>'Concept-Level Data'!N104</f>
        <v>3</v>
      </c>
      <c r="F306" s="380">
        <f>'Concept-Level Data'!O104</f>
        <v>3</v>
      </c>
    </row>
    <row r="307" spans="2:6" hidden="1" x14ac:dyDescent="0.25">
      <c r="B307" s="227" t="str">
        <f>'Concept-Level Data'!A105</f>
        <v>Respondent 8</v>
      </c>
      <c r="C307" s="793" t="str">
        <f>'Concept-Level Data'!B105</f>
        <v>Conveyance Improvement</v>
      </c>
      <c r="D307" s="794"/>
      <c r="E307" s="379">
        <f>'Concept-Level Data'!N105</f>
        <v>1</v>
      </c>
      <c r="F307" s="380">
        <f>'Concept-Level Data'!O105</f>
        <v>3</v>
      </c>
    </row>
    <row r="308" spans="2:6" hidden="1" x14ac:dyDescent="0.25">
      <c r="B308" s="227" t="str">
        <f>'Concept-Level Data'!A106</f>
        <v>Respondent 8</v>
      </c>
      <c r="C308" s="793" t="str">
        <f>'Concept-Level Data'!B106</f>
        <v>Drought Restriction/Allocation</v>
      </c>
      <c r="D308" s="794"/>
      <c r="E308" s="379">
        <f>'Concept-Level Data'!N106</f>
        <v>3</v>
      </c>
      <c r="F308" s="380">
        <f>'Concept-Level Data'!O106</f>
        <v>3</v>
      </c>
    </row>
    <row r="309" spans="2:6" hidden="1" x14ac:dyDescent="0.25">
      <c r="B309" s="227" t="str">
        <f>'Concept-Level Data'!A107</f>
        <v>Respondent 8</v>
      </c>
      <c r="C309" s="793" t="str">
        <f>'Concept-Level Data'!B107</f>
        <v>Firm Water Supply Agreements</v>
      </c>
      <c r="D309" s="794"/>
      <c r="E309" s="379">
        <f>'Concept-Level Data'!N107</f>
        <v>1</v>
      </c>
      <c r="F309" s="380">
        <f>'Concept-Level Data'!O107</f>
        <v>5</v>
      </c>
    </row>
    <row r="310" spans="2:6" hidden="1" x14ac:dyDescent="0.25">
      <c r="B310" s="227" t="str">
        <f>'Concept-Level Data'!A108</f>
        <v>Respondent 8</v>
      </c>
      <c r="C310" s="793" t="str">
        <f>'Concept-Level Data'!B108</f>
        <v>Gray Water Use</v>
      </c>
      <c r="D310" s="794"/>
      <c r="E310" s="379">
        <f>'Concept-Level Data'!N108</f>
        <v>5</v>
      </c>
      <c r="F310" s="380">
        <f>'Concept-Level Data'!O108</f>
        <v>3</v>
      </c>
    </row>
    <row r="311" spans="2:6" hidden="1" x14ac:dyDescent="0.25">
      <c r="B311" s="227" t="str">
        <f>'Concept-Level Data'!A109</f>
        <v>Respondent 8</v>
      </c>
      <c r="C311" s="793" t="str">
        <f>'Concept-Level Data'!B109</f>
        <v>Groundwater</v>
      </c>
      <c r="D311" s="794"/>
      <c r="E311" s="379">
        <f>'Concept-Level Data'!N109</f>
        <v>3</v>
      </c>
      <c r="F311" s="380">
        <f>'Concept-Level Data'!O109</f>
        <v>3</v>
      </c>
    </row>
    <row r="312" spans="2:6" hidden="1" x14ac:dyDescent="0.25">
      <c r="B312" s="227" t="str">
        <f>'Concept-Level Data'!A110</f>
        <v>Respondent 8</v>
      </c>
      <c r="C312" s="793" t="str">
        <f>'Concept-Level Data'!B110</f>
        <v>Imported Water Purchases</v>
      </c>
      <c r="D312" s="794"/>
      <c r="E312" s="379">
        <f>'Concept-Level Data'!N110</f>
        <v>1</v>
      </c>
      <c r="F312" s="380">
        <f>'Concept-Level Data'!O110</f>
        <v>5</v>
      </c>
    </row>
    <row r="313" spans="2:6" hidden="1" x14ac:dyDescent="0.25">
      <c r="B313" s="227" t="str">
        <f>'Concept-Level Data'!A111</f>
        <v>Respondent 8</v>
      </c>
      <c r="C313" s="793" t="str">
        <f>'Concept-Level Data'!B111</f>
        <v>Local Surface Water Reservoirs</v>
      </c>
      <c r="D313" s="794"/>
      <c r="E313" s="379">
        <f>'Concept-Level Data'!N111</f>
        <v>5</v>
      </c>
      <c r="F313" s="380">
        <f>'Concept-Level Data'!O111</f>
        <v>3</v>
      </c>
    </row>
    <row r="314" spans="2:6" hidden="1" x14ac:dyDescent="0.25">
      <c r="B314" s="227" t="str">
        <f>'Concept-Level Data'!A112</f>
        <v>Respondent 8</v>
      </c>
      <c r="C314" s="793" t="str">
        <f>'Concept-Level Data'!B112</f>
        <v>Potable Reuse</v>
      </c>
      <c r="D314" s="794"/>
      <c r="E314" s="379">
        <f>'Concept-Level Data'!N112</f>
        <v>1</v>
      </c>
      <c r="F314" s="380">
        <f>'Concept-Level Data'!O112</f>
        <v>1</v>
      </c>
    </row>
    <row r="315" spans="2:6" hidden="1" x14ac:dyDescent="0.25">
      <c r="B315" s="227" t="str">
        <f>'Concept-Level Data'!A113</f>
        <v>Respondent 8</v>
      </c>
      <c r="C315" s="793" t="str">
        <f>'Concept-Level Data'!B113</f>
        <v>Recycled Water</v>
      </c>
      <c r="D315" s="794"/>
      <c r="E315" s="379">
        <f>'Concept-Level Data'!N113</f>
        <v>1</v>
      </c>
      <c r="F315" s="380">
        <f>'Concept-Level Data'!O113</f>
        <v>1</v>
      </c>
    </row>
    <row r="316" spans="2:6" hidden="1" x14ac:dyDescent="0.25">
      <c r="B316" s="227" t="str">
        <f>'Concept-Level Data'!A114</f>
        <v>Respondent 8</v>
      </c>
      <c r="C316" s="793" t="str">
        <f>'Concept-Level Data'!B114</f>
        <v>Seawater Desalination</v>
      </c>
      <c r="D316" s="794"/>
      <c r="E316" s="379">
        <f>'Concept-Level Data'!N114</f>
        <v>1</v>
      </c>
      <c r="F316" s="380">
        <f>'Concept-Level Data'!O114</f>
        <v>1</v>
      </c>
    </row>
    <row r="317" spans="2:6" hidden="1" x14ac:dyDescent="0.25">
      <c r="B317" s="227" t="str">
        <f>'Concept-Level Data'!A115</f>
        <v>Respondent 8</v>
      </c>
      <c r="C317" s="793" t="str">
        <f>'Concept-Level Data'!B115</f>
        <v>Stormwater BMPs</v>
      </c>
      <c r="D317" s="794"/>
      <c r="E317" s="379">
        <f>'Concept-Level Data'!N115</f>
        <v>3</v>
      </c>
      <c r="F317" s="380">
        <f>'Concept-Level Data'!O115</f>
        <v>5</v>
      </c>
    </row>
    <row r="318" spans="2:6" hidden="1" x14ac:dyDescent="0.25">
      <c r="B318" s="227" t="str">
        <f>'Concept-Level Data'!A116</f>
        <v>Respondent 8</v>
      </c>
      <c r="C318" s="793" t="str">
        <f>'Concept-Level Data'!B116</f>
        <v>Stormwater Capture</v>
      </c>
      <c r="D318" s="794"/>
      <c r="E318" s="379">
        <f>'Concept-Level Data'!N116</f>
        <v>1</v>
      </c>
      <c r="F318" s="380">
        <f>'Concept-Level Data'!O116</f>
        <v>1</v>
      </c>
    </row>
    <row r="319" spans="2:6" hidden="1" x14ac:dyDescent="0.25">
      <c r="B319" s="227" t="str">
        <f>'Concept-Level Data'!A117</f>
        <v>Respondent 8</v>
      </c>
      <c r="C319" s="793" t="str">
        <f>'Concept-Level Data'!B117</f>
        <v>Urban and Agricultural Water Use Efficiency</v>
      </c>
      <c r="D319" s="794"/>
      <c r="E319" s="379">
        <f>'Concept-Level Data'!N117</f>
        <v>5</v>
      </c>
      <c r="F319" s="380">
        <f>'Concept-Level Data'!O117</f>
        <v>5</v>
      </c>
    </row>
    <row r="320" spans="2:6" hidden="1" x14ac:dyDescent="0.25">
      <c r="B320" s="227" t="str">
        <f>'Concept-Level Data'!A118</f>
        <v>Respondent 8</v>
      </c>
      <c r="C320" s="793" t="str">
        <f>'Concept-Level Data'!B118</f>
        <v>Watershed and Ecosystem Management</v>
      </c>
      <c r="D320" s="794"/>
      <c r="E320" s="379">
        <f>'Concept-Level Data'!N118</f>
        <v>5</v>
      </c>
      <c r="F320" s="380">
        <f>'Concept-Level Data'!O118</f>
        <v>5</v>
      </c>
    </row>
    <row r="321" spans="2:6" hidden="1" x14ac:dyDescent="0.25">
      <c r="B321" s="227" t="str">
        <f>'Concept-Level Data'!A119</f>
        <v>Respondent 9</v>
      </c>
      <c r="C321" s="793" t="str">
        <f>'Concept-Level Data'!B119</f>
        <v>Conveyance Improvement</v>
      </c>
      <c r="D321" s="794"/>
      <c r="E321" s="379">
        <f>'Concept-Level Data'!N119</f>
        <v>1</v>
      </c>
      <c r="F321" s="380">
        <f>'Concept-Level Data'!O119</f>
        <v>1</v>
      </c>
    </row>
    <row r="322" spans="2:6" hidden="1" x14ac:dyDescent="0.25">
      <c r="B322" s="227" t="str">
        <f>'Concept-Level Data'!A120</f>
        <v>Respondent 9</v>
      </c>
      <c r="C322" s="793" t="str">
        <f>'Concept-Level Data'!B120</f>
        <v>Drought Restriction/Allocation</v>
      </c>
      <c r="D322" s="794"/>
      <c r="E322" s="379">
        <f>'Concept-Level Data'!N120</f>
        <v>5</v>
      </c>
      <c r="F322" s="380">
        <f>'Concept-Level Data'!O120</f>
        <v>5</v>
      </c>
    </row>
    <row r="323" spans="2:6" hidden="1" x14ac:dyDescent="0.25">
      <c r="B323" s="227" t="str">
        <f>'Concept-Level Data'!A121</f>
        <v>Respondent 9</v>
      </c>
      <c r="C323" s="793" t="str">
        <f>'Concept-Level Data'!B121</f>
        <v>Firm Water Supply Agreements</v>
      </c>
      <c r="D323" s="794"/>
      <c r="E323" s="379">
        <f>'Concept-Level Data'!N121</f>
        <v>3</v>
      </c>
      <c r="F323" s="380">
        <f>'Concept-Level Data'!O121</f>
        <v>3</v>
      </c>
    </row>
    <row r="324" spans="2:6" hidden="1" x14ac:dyDescent="0.25">
      <c r="B324" s="227" t="str">
        <f>'Concept-Level Data'!A122</f>
        <v>Respondent 9</v>
      </c>
      <c r="C324" s="793" t="str">
        <f>'Concept-Level Data'!B122</f>
        <v>Gray Water Use</v>
      </c>
      <c r="D324" s="794"/>
      <c r="E324" s="379">
        <f>'Concept-Level Data'!N122</f>
        <v>3</v>
      </c>
      <c r="F324" s="380">
        <f>'Concept-Level Data'!O122</f>
        <v>5</v>
      </c>
    </row>
    <row r="325" spans="2:6" hidden="1" x14ac:dyDescent="0.25">
      <c r="B325" s="227" t="str">
        <f>'Concept-Level Data'!A123</f>
        <v>Respondent 9</v>
      </c>
      <c r="C325" s="793" t="str">
        <f>'Concept-Level Data'!B123</f>
        <v>Groundwater</v>
      </c>
      <c r="D325" s="794"/>
      <c r="E325" s="379">
        <f>'Concept-Level Data'!N123</f>
        <v>1</v>
      </c>
      <c r="F325" s="380">
        <f>'Concept-Level Data'!O123</f>
        <v>1</v>
      </c>
    </row>
    <row r="326" spans="2:6" hidden="1" x14ac:dyDescent="0.25">
      <c r="B326" s="227" t="str">
        <f>'Concept-Level Data'!A124</f>
        <v>Respondent 9</v>
      </c>
      <c r="C326" s="793" t="str">
        <f>'Concept-Level Data'!B124</f>
        <v>Imported Water Purchases</v>
      </c>
      <c r="D326" s="794"/>
      <c r="E326" s="379">
        <f>'Concept-Level Data'!N124</f>
        <v>3</v>
      </c>
      <c r="F326" s="380">
        <f>'Concept-Level Data'!O124</f>
        <v>3</v>
      </c>
    </row>
    <row r="327" spans="2:6" hidden="1" x14ac:dyDescent="0.25">
      <c r="B327" s="227" t="str">
        <f>'Concept-Level Data'!A125</f>
        <v>Respondent 9</v>
      </c>
      <c r="C327" s="793" t="str">
        <f>'Concept-Level Data'!B125</f>
        <v>Local Surface Water Reservoirs</v>
      </c>
      <c r="D327" s="794"/>
      <c r="E327" s="379">
        <f>'Concept-Level Data'!N125</f>
        <v>1</v>
      </c>
      <c r="F327" s="380">
        <f>'Concept-Level Data'!O125</f>
        <v>3</v>
      </c>
    </row>
    <row r="328" spans="2:6" hidden="1" x14ac:dyDescent="0.25">
      <c r="B328" s="227" t="str">
        <f>'Concept-Level Data'!A126</f>
        <v>Respondent 9</v>
      </c>
      <c r="C328" s="793" t="str">
        <f>'Concept-Level Data'!B126</f>
        <v>Potable Reuse</v>
      </c>
      <c r="D328" s="794"/>
      <c r="E328" s="379">
        <f>'Concept-Level Data'!N126</f>
        <v>1</v>
      </c>
      <c r="F328" s="380">
        <f>'Concept-Level Data'!O126</f>
        <v>1</v>
      </c>
    </row>
    <row r="329" spans="2:6" hidden="1" x14ac:dyDescent="0.25">
      <c r="B329" s="227" t="str">
        <f>'Concept-Level Data'!A127</f>
        <v>Respondent 9</v>
      </c>
      <c r="C329" s="793" t="str">
        <f>'Concept-Level Data'!B127</f>
        <v>Recycled Water</v>
      </c>
      <c r="D329" s="794"/>
      <c r="E329" s="379">
        <f>'Concept-Level Data'!N127</f>
        <v>1</v>
      </c>
      <c r="F329" s="380">
        <f>'Concept-Level Data'!O127</f>
        <v>1</v>
      </c>
    </row>
    <row r="330" spans="2:6" hidden="1" x14ac:dyDescent="0.25">
      <c r="B330" s="227" t="str">
        <f>'Concept-Level Data'!A128</f>
        <v>Respondent 9</v>
      </c>
      <c r="C330" s="793" t="str">
        <f>'Concept-Level Data'!B128</f>
        <v>Seawater Desalination</v>
      </c>
      <c r="D330" s="794"/>
      <c r="E330" s="379">
        <f>'Concept-Level Data'!N128</f>
        <v>1</v>
      </c>
      <c r="F330" s="380">
        <f>'Concept-Level Data'!O128</f>
        <v>1</v>
      </c>
    </row>
    <row r="331" spans="2:6" hidden="1" x14ac:dyDescent="0.25">
      <c r="B331" s="227" t="str">
        <f>'Concept-Level Data'!A129</f>
        <v>Respondent 9</v>
      </c>
      <c r="C331" s="793" t="str">
        <f>'Concept-Level Data'!B129</f>
        <v>Stormwater BMPs</v>
      </c>
      <c r="D331" s="794"/>
      <c r="E331" s="379">
        <f>'Concept-Level Data'!N129</f>
        <v>3</v>
      </c>
      <c r="F331" s="380">
        <f>'Concept-Level Data'!O129</f>
        <v>3</v>
      </c>
    </row>
    <row r="332" spans="2:6" hidden="1" x14ac:dyDescent="0.25">
      <c r="B332" s="227" t="str">
        <f>'Concept-Level Data'!A130</f>
        <v>Respondent 9</v>
      </c>
      <c r="C332" s="793" t="str">
        <f>'Concept-Level Data'!B130</f>
        <v>Stormwater Capture</v>
      </c>
      <c r="D332" s="794"/>
      <c r="E332" s="379">
        <f>'Concept-Level Data'!N130</f>
        <v>3</v>
      </c>
      <c r="F332" s="380">
        <f>'Concept-Level Data'!O130</f>
        <v>3</v>
      </c>
    </row>
    <row r="333" spans="2:6" hidden="1" x14ac:dyDescent="0.25">
      <c r="B333" s="227" t="str">
        <f>'Concept-Level Data'!A131</f>
        <v>Respondent 9</v>
      </c>
      <c r="C333" s="793" t="str">
        <f>'Concept-Level Data'!B131</f>
        <v>Urban and Agricultural Water Use Efficiency</v>
      </c>
      <c r="D333" s="794"/>
      <c r="E333" s="379">
        <f>'Concept-Level Data'!N131</f>
        <v>5</v>
      </c>
      <c r="F333" s="380">
        <f>'Concept-Level Data'!O131</f>
        <v>5</v>
      </c>
    </row>
    <row r="334" spans="2:6" hidden="1" x14ac:dyDescent="0.25">
      <c r="B334" s="227" t="str">
        <f>'Concept-Level Data'!A132</f>
        <v>Respondent 9</v>
      </c>
      <c r="C334" s="793" t="str">
        <f>'Concept-Level Data'!B132</f>
        <v>Watershed and Ecosystem Management</v>
      </c>
      <c r="D334" s="794"/>
      <c r="E334" s="379">
        <f>'Concept-Level Data'!N132</f>
        <v>3</v>
      </c>
      <c r="F334" s="380">
        <f>'Concept-Level Data'!O132</f>
        <v>5</v>
      </c>
    </row>
    <row r="335" spans="2:6" hidden="1" x14ac:dyDescent="0.25">
      <c r="B335" s="251" t="str">
        <f>'Concept-Level Data'!A133</f>
        <v>Respondent 10</v>
      </c>
      <c r="C335" s="793" t="str">
        <f>'Concept-Level Data'!B133</f>
        <v>Conveyance Improvement</v>
      </c>
      <c r="D335" s="794"/>
      <c r="E335" s="379">
        <f>'Concept-Level Data'!N133</f>
        <v>1</v>
      </c>
      <c r="F335" s="380">
        <f>'Concept-Level Data'!O133</f>
        <v>5</v>
      </c>
    </row>
    <row r="336" spans="2:6" hidden="1" x14ac:dyDescent="0.25">
      <c r="B336" s="251" t="str">
        <f>'Concept-Level Data'!A134</f>
        <v>Respondent 10</v>
      </c>
      <c r="C336" s="793" t="str">
        <f>'Concept-Level Data'!B134</f>
        <v>Drought Restriction/Allocation</v>
      </c>
      <c r="D336" s="794"/>
      <c r="E336" s="379">
        <f>'Concept-Level Data'!N134</f>
        <v>5</v>
      </c>
      <c r="F336" s="380">
        <f>'Concept-Level Data'!O134</f>
        <v>5</v>
      </c>
    </row>
    <row r="337" spans="2:6" hidden="1" x14ac:dyDescent="0.25">
      <c r="B337" s="251" t="str">
        <f>'Concept-Level Data'!A135</f>
        <v>Respondent 10</v>
      </c>
      <c r="C337" s="793" t="str">
        <f>'Concept-Level Data'!B135</f>
        <v>Firm Water Supply Agreements</v>
      </c>
      <c r="D337" s="794"/>
      <c r="E337" s="379">
        <f>'Concept-Level Data'!N135</f>
        <v>3</v>
      </c>
      <c r="F337" s="380">
        <f>'Concept-Level Data'!O135</f>
        <v>5</v>
      </c>
    </row>
    <row r="338" spans="2:6" hidden="1" x14ac:dyDescent="0.25">
      <c r="B338" s="251" t="str">
        <f>'Concept-Level Data'!A136</f>
        <v>Respondent 10</v>
      </c>
      <c r="C338" s="793" t="str">
        <f>'Concept-Level Data'!B136</f>
        <v>Gray Water Use</v>
      </c>
      <c r="D338" s="794"/>
      <c r="E338" s="379">
        <f>'Concept-Level Data'!N136</f>
        <v>1</v>
      </c>
      <c r="F338" s="380">
        <f>'Concept-Level Data'!O136</f>
        <v>5</v>
      </c>
    </row>
    <row r="339" spans="2:6" hidden="1" x14ac:dyDescent="0.25">
      <c r="B339" s="251" t="str">
        <f>'Concept-Level Data'!A137</f>
        <v>Respondent 10</v>
      </c>
      <c r="C339" s="793" t="str">
        <f>'Concept-Level Data'!B137</f>
        <v>Groundwater</v>
      </c>
      <c r="D339" s="794"/>
      <c r="E339" s="379">
        <f>'Concept-Level Data'!N137</f>
        <v>3</v>
      </c>
      <c r="F339" s="380">
        <f>'Concept-Level Data'!O137</f>
        <v>3</v>
      </c>
    </row>
    <row r="340" spans="2:6" hidden="1" x14ac:dyDescent="0.25">
      <c r="B340" s="251" t="str">
        <f>'Concept-Level Data'!A138</f>
        <v>Respondent 10</v>
      </c>
      <c r="C340" s="793" t="str">
        <f>'Concept-Level Data'!B138</f>
        <v>Imported Water Purchases</v>
      </c>
      <c r="D340" s="794"/>
      <c r="E340" s="379">
        <f>'Concept-Level Data'!N138</f>
        <v>3</v>
      </c>
      <c r="F340" s="380">
        <f>'Concept-Level Data'!O138</f>
        <v>1</v>
      </c>
    </row>
    <row r="341" spans="2:6" hidden="1" x14ac:dyDescent="0.25">
      <c r="B341" s="251" t="str">
        <f>'Concept-Level Data'!A139</f>
        <v>Respondent 10</v>
      </c>
      <c r="C341" s="793" t="str">
        <f>'Concept-Level Data'!B139</f>
        <v>Local Surface Water Reservoirs</v>
      </c>
      <c r="D341" s="794"/>
      <c r="E341" s="379">
        <f>'Concept-Level Data'!N139</f>
        <v>1</v>
      </c>
      <c r="F341" s="380">
        <f>'Concept-Level Data'!O139</f>
        <v>5</v>
      </c>
    </row>
    <row r="342" spans="2:6" hidden="1" x14ac:dyDescent="0.25">
      <c r="B342" s="251" t="str">
        <f>'Concept-Level Data'!A140</f>
        <v>Respondent 10</v>
      </c>
      <c r="C342" s="793" t="str">
        <f>'Concept-Level Data'!B140</f>
        <v>Potable Reuse</v>
      </c>
      <c r="D342" s="794"/>
      <c r="E342" s="379">
        <f>'Concept-Level Data'!N140</f>
        <v>1</v>
      </c>
      <c r="F342" s="380">
        <f>'Concept-Level Data'!O140</f>
        <v>1</v>
      </c>
    </row>
    <row r="343" spans="2:6" hidden="1" x14ac:dyDescent="0.25">
      <c r="B343" s="251" t="str">
        <f>'Concept-Level Data'!A141</f>
        <v>Respondent 10</v>
      </c>
      <c r="C343" s="793" t="str">
        <f>'Concept-Level Data'!B141</f>
        <v>Recycled Water</v>
      </c>
      <c r="D343" s="794"/>
      <c r="E343" s="379">
        <f>'Concept-Level Data'!N141</f>
        <v>3</v>
      </c>
      <c r="F343" s="380">
        <f>'Concept-Level Data'!O141</f>
        <v>3</v>
      </c>
    </row>
    <row r="344" spans="2:6" hidden="1" x14ac:dyDescent="0.25">
      <c r="B344" s="251" t="str">
        <f>'Concept-Level Data'!A142</f>
        <v>Respondent 10</v>
      </c>
      <c r="C344" s="793" t="str">
        <f>'Concept-Level Data'!B142</f>
        <v>Seawater Desalination</v>
      </c>
      <c r="D344" s="794"/>
      <c r="E344" s="379">
        <f>'Concept-Level Data'!N142</f>
        <v>1</v>
      </c>
      <c r="F344" s="380">
        <f>'Concept-Level Data'!O142</f>
        <v>1</v>
      </c>
    </row>
    <row r="345" spans="2:6" hidden="1" x14ac:dyDescent="0.25">
      <c r="B345" s="251" t="str">
        <f>'Concept-Level Data'!A143</f>
        <v>Respondent 10</v>
      </c>
      <c r="C345" s="793" t="str">
        <f>'Concept-Level Data'!B143</f>
        <v>Stormwater BMPs</v>
      </c>
      <c r="D345" s="794"/>
      <c r="E345" s="379">
        <f>'Concept-Level Data'!N143</f>
        <v>3</v>
      </c>
      <c r="F345" s="380">
        <f>'Concept-Level Data'!O143</f>
        <v>3</v>
      </c>
    </row>
    <row r="346" spans="2:6" hidden="1" x14ac:dyDescent="0.25">
      <c r="B346" s="251" t="str">
        <f>'Concept-Level Data'!A144</f>
        <v>Respondent 10</v>
      </c>
      <c r="C346" s="793" t="str">
        <f>'Concept-Level Data'!B144</f>
        <v>Stormwater Capture</v>
      </c>
      <c r="D346" s="794"/>
      <c r="E346" s="379">
        <f>'Concept-Level Data'!N144</f>
        <v>3</v>
      </c>
      <c r="F346" s="380">
        <f>'Concept-Level Data'!O144</f>
        <v>3</v>
      </c>
    </row>
    <row r="347" spans="2:6" hidden="1" x14ac:dyDescent="0.25">
      <c r="B347" s="251" t="str">
        <f>'Concept-Level Data'!A145</f>
        <v>Respondent 10</v>
      </c>
      <c r="C347" s="793" t="str">
        <f>'Concept-Level Data'!B145</f>
        <v>Urban and Agricultural Water Use Efficiency</v>
      </c>
      <c r="D347" s="794"/>
      <c r="E347" s="379">
        <f>'Concept-Level Data'!N145</f>
        <v>3</v>
      </c>
      <c r="F347" s="380">
        <f>'Concept-Level Data'!O145</f>
        <v>5</v>
      </c>
    </row>
    <row r="348" spans="2:6" hidden="1" x14ac:dyDescent="0.25">
      <c r="B348" s="251" t="str">
        <f>'Concept-Level Data'!A146</f>
        <v>Respondent 10</v>
      </c>
      <c r="C348" s="793" t="str">
        <f>'Concept-Level Data'!B146</f>
        <v>Watershed and Ecosystem Management</v>
      </c>
      <c r="D348" s="794"/>
      <c r="E348" s="379">
        <f>'Concept-Level Data'!N146</f>
        <v>3</v>
      </c>
      <c r="F348" s="380">
        <f>'Concept-Level Data'!O146</f>
        <v>3</v>
      </c>
    </row>
    <row r="349" spans="2:6" hidden="1" x14ac:dyDescent="0.25">
      <c r="B349" s="251" t="str">
        <f>'Concept-Level Data'!A147</f>
        <v>Respondent 11</v>
      </c>
      <c r="C349" s="793" t="str">
        <f>'Concept-Level Data'!B147</f>
        <v>Conveyance Improvement</v>
      </c>
      <c r="D349" s="794"/>
      <c r="E349" s="379">
        <f>'Concept-Level Data'!N147</f>
        <v>1</v>
      </c>
      <c r="F349" s="380">
        <f>'Concept-Level Data'!O147</f>
        <v>3</v>
      </c>
    </row>
    <row r="350" spans="2:6" hidden="1" x14ac:dyDescent="0.25">
      <c r="B350" s="251" t="str">
        <f>'Concept-Level Data'!A148</f>
        <v>Respondent 11</v>
      </c>
      <c r="C350" s="793" t="str">
        <f>'Concept-Level Data'!B148</f>
        <v>Drought Restriction/Allocation</v>
      </c>
      <c r="D350" s="794"/>
      <c r="E350" s="379">
        <f>'Concept-Level Data'!N148</f>
        <v>5</v>
      </c>
      <c r="F350" s="380">
        <f>'Concept-Level Data'!O148</f>
        <v>3</v>
      </c>
    </row>
    <row r="351" spans="2:6" hidden="1" x14ac:dyDescent="0.25">
      <c r="B351" s="251" t="str">
        <f>'Concept-Level Data'!A149</f>
        <v>Respondent 11</v>
      </c>
      <c r="C351" s="793" t="str">
        <f>'Concept-Level Data'!B149</f>
        <v>Firm Water Supply Agreements</v>
      </c>
      <c r="D351" s="794"/>
      <c r="E351" s="379">
        <f>'Concept-Level Data'!N149</f>
        <v>1</v>
      </c>
      <c r="F351" s="380">
        <f>'Concept-Level Data'!O149</f>
        <v>5</v>
      </c>
    </row>
    <row r="352" spans="2:6" hidden="1" x14ac:dyDescent="0.25">
      <c r="B352" s="251" t="str">
        <f>'Concept-Level Data'!A150</f>
        <v>Respondent 11</v>
      </c>
      <c r="C352" s="793" t="str">
        <f>'Concept-Level Data'!B150</f>
        <v>Gray Water Use</v>
      </c>
      <c r="D352" s="794"/>
      <c r="E352" s="379">
        <f>'Concept-Level Data'!N150</f>
        <v>1</v>
      </c>
      <c r="F352" s="380">
        <f>'Concept-Level Data'!O150</f>
        <v>1</v>
      </c>
    </row>
    <row r="353" spans="2:6" hidden="1" x14ac:dyDescent="0.25">
      <c r="B353" s="251" t="str">
        <f>'Concept-Level Data'!A151</f>
        <v>Respondent 11</v>
      </c>
      <c r="C353" s="793" t="str">
        <f>'Concept-Level Data'!B151</f>
        <v>Groundwater</v>
      </c>
      <c r="D353" s="794"/>
      <c r="E353" s="379">
        <f>'Concept-Level Data'!N151</f>
        <v>1</v>
      </c>
      <c r="F353" s="380">
        <f>'Concept-Level Data'!O151</f>
        <v>1</v>
      </c>
    </row>
    <row r="354" spans="2:6" hidden="1" x14ac:dyDescent="0.25">
      <c r="B354" s="251" t="str">
        <f>'Concept-Level Data'!A152</f>
        <v>Respondent 11</v>
      </c>
      <c r="C354" s="793" t="str">
        <f>'Concept-Level Data'!B152</f>
        <v>Imported Water Purchases</v>
      </c>
      <c r="D354" s="794"/>
      <c r="E354" s="379">
        <f>'Concept-Level Data'!N152</f>
        <v>5</v>
      </c>
      <c r="F354" s="380">
        <f>'Concept-Level Data'!O152</f>
        <v>5</v>
      </c>
    </row>
    <row r="355" spans="2:6" hidden="1" x14ac:dyDescent="0.25">
      <c r="B355" s="251" t="str">
        <f>'Concept-Level Data'!A153</f>
        <v>Respondent 11</v>
      </c>
      <c r="C355" s="793" t="str">
        <f>'Concept-Level Data'!B153</f>
        <v>Local Surface Water Reservoirs</v>
      </c>
      <c r="D355" s="794"/>
      <c r="E355" s="379">
        <f>'Concept-Level Data'!N153</f>
        <v>3</v>
      </c>
      <c r="F355" s="380">
        <f>'Concept-Level Data'!O153</f>
        <v>5</v>
      </c>
    </row>
    <row r="356" spans="2:6" hidden="1" x14ac:dyDescent="0.25">
      <c r="B356" s="251" t="str">
        <f>'Concept-Level Data'!A154</f>
        <v>Respondent 11</v>
      </c>
      <c r="C356" s="793" t="str">
        <f>'Concept-Level Data'!B154</f>
        <v>Potable Reuse</v>
      </c>
      <c r="D356" s="794"/>
      <c r="E356" s="379">
        <f>'Concept-Level Data'!N154</f>
        <v>1</v>
      </c>
      <c r="F356" s="380">
        <f>'Concept-Level Data'!O154</f>
        <v>3</v>
      </c>
    </row>
    <row r="357" spans="2:6" hidden="1" x14ac:dyDescent="0.25">
      <c r="B357" s="251" t="str">
        <f>'Concept-Level Data'!A155</f>
        <v>Respondent 11</v>
      </c>
      <c r="C357" s="793" t="str">
        <f>'Concept-Level Data'!B155</f>
        <v>Recycled Water</v>
      </c>
      <c r="D357" s="794"/>
      <c r="E357" s="379">
        <f>'Concept-Level Data'!N155</f>
        <v>1</v>
      </c>
      <c r="F357" s="380">
        <f>'Concept-Level Data'!O155</f>
        <v>1</v>
      </c>
    </row>
    <row r="358" spans="2:6" hidden="1" x14ac:dyDescent="0.25">
      <c r="B358" s="251" t="str">
        <f>'Concept-Level Data'!A156</f>
        <v>Respondent 11</v>
      </c>
      <c r="C358" s="793" t="str">
        <f>'Concept-Level Data'!B156</f>
        <v>Seawater Desalination</v>
      </c>
      <c r="D358" s="794"/>
      <c r="E358" s="379">
        <f>'Concept-Level Data'!N156</f>
        <v>1</v>
      </c>
      <c r="F358" s="380">
        <f>'Concept-Level Data'!O156</f>
        <v>1</v>
      </c>
    </row>
    <row r="359" spans="2:6" hidden="1" x14ac:dyDescent="0.25">
      <c r="B359" s="251" t="str">
        <f>'Concept-Level Data'!A157</f>
        <v>Respondent 11</v>
      </c>
      <c r="C359" s="793" t="str">
        <f>'Concept-Level Data'!B157</f>
        <v>Stormwater BMPs</v>
      </c>
      <c r="D359" s="794"/>
      <c r="E359" s="379">
        <f>'Concept-Level Data'!N157</f>
        <v>3</v>
      </c>
      <c r="F359" s="380">
        <f>'Concept-Level Data'!O157</f>
        <v>3</v>
      </c>
    </row>
    <row r="360" spans="2:6" hidden="1" x14ac:dyDescent="0.25">
      <c r="B360" s="251" t="str">
        <f>'Concept-Level Data'!A158</f>
        <v>Respondent 11</v>
      </c>
      <c r="C360" s="793" t="str">
        <f>'Concept-Level Data'!B158</f>
        <v>Stormwater Capture</v>
      </c>
      <c r="D360" s="794"/>
      <c r="E360" s="379">
        <f>'Concept-Level Data'!N158</f>
        <v>1</v>
      </c>
      <c r="F360" s="380">
        <f>'Concept-Level Data'!O158</f>
        <v>1</v>
      </c>
    </row>
    <row r="361" spans="2:6" hidden="1" x14ac:dyDescent="0.25">
      <c r="B361" s="251" t="str">
        <f>'Concept-Level Data'!A159</f>
        <v>Respondent 11</v>
      </c>
      <c r="C361" s="793" t="str">
        <f>'Concept-Level Data'!B159</f>
        <v>Urban and Agricultural Water Use Efficiency</v>
      </c>
      <c r="D361" s="794"/>
      <c r="E361" s="379">
        <f>'Concept-Level Data'!N159</f>
        <v>5</v>
      </c>
      <c r="F361" s="380">
        <f>'Concept-Level Data'!O159</f>
        <v>5</v>
      </c>
    </row>
    <row r="362" spans="2:6" hidden="1" x14ac:dyDescent="0.25">
      <c r="B362" s="251" t="str">
        <f>'Concept-Level Data'!A160</f>
        <v>Respondent 11</v>
      </c>
      <c r="C362" s="793" t="str">
        <f>'Concept-Level Data'!B160</f>
        <v>Watershed and Ecosystem Management</v>
      </c>
      <c r="D362" s="794"/>
      <c r="E362" s="379">
        <f>'Concept-Level Data'!N160</f>
        <v>3</v>
      </c>
      <c r="F362" s="380">
        <f>'Concept-Level Data'!O160</f>
        <v>3</v>
      </c>
    </row>
    <row r="363" spans="2:6" hidden="1" x14ac:dyDescent="0.25">
      <c r="B363" s="251" t="str">
        <f>'Concept-Level Data'!A161</f>
        <v>Respondent 12</v>
      </c>
      <c r="C363" s="793" t="str">
        <f>'Concept-Level Data'!B161</f>
        <v>Conveyance Improvement</v>
      </c>
      <c r="D363" s="794"/>
      <c r="E363" s="379">
        <f>'Concept-Level Data'!N161</f>
        <v>1</v>
      </c>
      <c r="F363" s="380">
        <f>'Concept-Level Data'!O161</f>
        <v>3</v>
      </c>
    </row>
    <row r="364" spans="2:6" hidden="1" x14ac:dyDescent="0.25">
      <c r="B364" s="251" t="str">
        <f>'Concept-Level Data'!A162</f>
        <v>Respondent 12</v>
      </c>
      <c r="C364" s="793" t="str">
        <f>'Concept-Level Data'!B162</f>
        <v>Drought Restriction/Allocation</v>
      </c>
      <c r="D364" s="794"/>
      <c r="E364" s="379">
        <f>'Concept-Level Data'!N162</f>
        <v>5</v>
      </c>
      <c r="F364" s="380">
        <f>'Concept-Level Data'!O162</f>
        <v>5</v>
      </c>
    </row>
    <row r="365" spans="2:6" hidden="1" x14ac:dyDescent="0.25">
      <c r="B365" s="251" t="str">
        <f>'Concept-Level Data'!A163</f>
        <v>Respondent 12</v>
      </c>
      <c r="C365" s="793" t="str">
        <f>'Concept-Level Data'!B163</f>
        <v>Firm Water Supply Agreements</v>
      </c>
      <c r="D365" s="794"/>
      <c r="E365" s="379">
        <f>'Concept-Level Data'!N163</f>
        <v>3</v>
      </c>
      <c r="F365" s="380">
        <f>'Concept-Level Data'!O163</f>
        <v>3</v>
      </c>
    </row>
    <row r="366" spans="2:6" hidden="1" x14ac:dyDescent="0.25">
      <c r="B366" s="251" t="str">
        <f>'Concept-Level Data'!A164</f>
        <v>Respondent 12</v>
      </c>
      <c r="C366" s="793" t="str">
        <f>'Concept-Level Data'!B164</f>
        <v>Gray Water Use</v>
      </c>
      <c r="D366" s="794"/>
      <c r="E366" s="379">
        <f>'Concept-Level Data'!N164</f>
        <v>5</v>
      </c>
      <c r="F366" s="380">
        <f>'Concept-Level Data'!O164</f>
        <v>5</v>
      </c>
    </row>
    <row r="367" spans="2:6" hidden="1" x14ac:dyDescent="0.25">
      <c r="B367" s="251" t="str">
        <f>'Concept-Level Data'!A165</f>
        <v>Respondent 12</v>
      </c>
      <c r="C367" s="793" t="str">
        <f>'Concept-Level Data'!B165</f>
        <v>Groundwater</v>
      </c>
      <c r="D367" s="794"/>
      <c r="E367" s="379">
        <f>'Concept-Level Data'!N165</f>
        <v>1</v>
      </c>
      <c r="F367" s="380">
        <f>'Concept-Level Data'!O165</f>
        <v>1</v>
      </c>
    </row>
    <row r="368" spans="2:6" hidden="1" x14ac:dyDescent="0.25">
      <c r="B368" s="251" t="str">
        <f>'Concept-Level Data'!A166</f>
        <v>Respondent 12</v>
      </c>
      <c r="C368" s="793" t="str">
        <f>'Concept-Level Data'!B166</f>
        <v>Imported Water Purchases</v>
      </c>
      <c r="D368" s="794"/>
      <c r="E368" s="379">
        <f>'Concept-Level Data'!N166</f>
        <v>3</v>
      </c>
      <c r="F368" s="380">
        <f>'Concept-Level Data'!O166</f>
        <v>3</v>
      </c>
    </row>
    <row r="369" spans="2:6" hidden="1" x14ac:dyDescent="0.25">
      <c r="B369" s="251" t="str">
        <f>'Concept-Level Data'!A167</f>
        <v>Respondent 12</v>
      </c>
      <c r="C369" s="793" t="str">
        <f>'Concept-Level Data'!B167</f>
        <v>Local Surface Water Reservoirs</v>
      </c>
      <c r="D369" s="794"/>
      <c r="E369" s="379">
        <f>'Concept-Level Data'!N167</f>
        <v>1</v>
      </c>
      <c r="F369" s="380">
        <f>'Concept-Level Data'!O167</f>
        <v>1</v>
      </c>
    </row>
    <row r="370" spans="2:6" hidden="1" x14ac:dyDescent="0.25">
      <c r="B370" s="251" t="str">
        <f>'Concept-Level Data'!A168</f>
        <v>Respondent 12</v>
      </c>
      <c r="C370" s="793" t="str">
        <f>'Concept-Level Data'!B168</f>
        <v>Potable Reuse</v>
      </c>
      <c r="D370" s="794"/>
      <c r="E370" s="379">
        <f>'Concept-Level Data'!N168</f>
        <v>1</v>
      </c>
      <c r="F370" s="380">
        <f>'Concept-Level Data'!O168</f>
        <v>1</v>
      </c>
    </row>
    <row r="371" spans="2:6" hidden="1" x14ac:dyDescent="0.25">
      <c r="B371" s="251" t="str">
        <f>'Concept-Level Data'!A169</f>
        <v>Respondent 12</v>
      </c>
      <c r="C371" s="793" t="str">
        <f>'Concept-Level Data'!B169</f>
        <v>Recycled Water</v>
      </c>
      <c r="D371" s="794"/>
      <c r="E371" s="379">
        <f>'Concept-Level Data'!N169</f>
        <v>1</v>
      </c>
      <c r="F371" s="380">
        <f>'Concept-Level Data'!O169</f>
        <v>1</v>
      </c>
    </row>
    <row r="372" spans="2:6" hidden="1" x14ac:dyDescent="0.25">
      <c r="B372" s="251" t="str">
        <f>'Concept-Level Data'!A170</f>
        <v>Respondent 12</v>
      </c>
      <c r="C372" s="793" t="str">
        <f>'Concept-Level Data'!B170</f>
        <v>Seawater Desalination</v>
      </c>
      <c r="D372" s="794"/>
      <c r="E372" s="379">
        <f>'Concept-Level Data'!N170</f>
        <v>1</v>
      </c>
      <c r="F372" s="380">
        <f>'Concept-Level Data'!O170</f>
        <v>1</v>
      </c>
    </row>
    <row r="373" spans="2:6" hidden="1" x14ac:dyDescent="0.25">
      <c r="B373" s="251" t="str">
        <f>'Concept-Level Data'!A171</f>
        <v>Respondent 12</v>
      </c>
      <c r="C373" s="793" t="str">
        <f>'Concept-Level Data'!B171</f>
        <v>Stormwater BMPs</v>
      </c>
      <c r="D373" s="794"/>
      <c r="E373" s="379">
        <f>'Concept-Level Data'!N171</f>
        <v>3</v>
      </c>
      <c r="F373" s="380">
        <f>'Concept-Level Data'!O171</f>
        <v>3</v>
      </c>
    </row>
    <row r="374" spans="2:6" hidden="1" x14ac:dyDescent="0.25">
      <c r="B374" s="251" t="str">
        <f>'Concept-Level Data'!A172</f>
        <v>Respondent 12</v>
      </c>
      <c r="C374" s="793" t="str">
        <f>'Concept-Level Data'!B172</f>
        <v>Stormwater Capture</v>
      </c>
      <c r="D374" s="794"/>
      <c r="E374" s="379">
        <f>'Concept-Level Data'!N172</f>
        <v>3</v>
      </c>
      <c r="F374" s="380">
        <f>'Concept-Level Data'!O172</f>
        <v>3</v>
      </c>
    </row>
    <row r="375" spans="2:6" hidden="1" x14ac:dyDescent="0.25">
      <c r="B375" s="251" t="str">
        <f>'Concept-Level Data'!A173</f>
        <v>Respondent 12</v>
      </c>
      <c r="C375" s="793" t="str">
        <f>'Concept-Level Data'!B173</f>
        <v>Urban and Agricultural Water Use Efficiency</v>
      </c>
      <c r="D375" s="794"/>
      <c r="E375" s="379">
        <f>'Concept-Level Data'!N173</f>
        <v>5</v>
      </c>
      <c r="F375" s="380">
        <f>'Concept-Level Data'!O173</f>
        <v>5</v>
      </c>
    </row>
    <row r="376" spans="2:6" hidden="1" x14ac:dyDescent="0.25">
      <c r="B376" s="251" t="str">
        <f>'Concept-Level Data'!A174</f>
        <v>Respondent 12</v>
      </c>
      <c r="C376" s="793" t="str">
        <f>'Concept-Level Data'!B174</f>
        <v>Watershed and Ecosystem Management</v>
      </c>
      <c r="D376" s="794"/>
      <c r="E376" s="379">
        <f>'Concept-Level Data'!N174</f>
        <v>3</v>
      </c>
      <c r="F376" s="380">
        <f>'Concept-Level Data'!O174</f>
        <v>3</v>
      </c>
    </row>
    <row r="377" spans="2:6" hidden="1" x14ac:dyDescent="0.25">
      <c r="B377" s="251" t="str">
        <f>'Concept-Level Data'!A175</f>
        <v>Respondent 13</v>
      </c>
      <c r="C377" s="793" t="str">
        <f>'Concept-Level Data'!B175</f>
        <v>Conveyance Improvement</v>
      </c>
      <c r="D377" s="794"/>
      <c r="E377" s="379">
        <f>'Concept-Level Data'!N175</f>
        <v>1</v>
      </c>
      <c r="F377" s="380">
        <f>'Concept-Level Data'!O175</f>
        <v>3</v>
      </c>
    </row>
    <row r="378" spans="2:6" hidden="1" x14ac:dyDescent="0.25">
      <c r="B378" s="251" t="str">
        <f>'Concept-Level Data'!A176</f>
        <v>Respondent 13</v>
      </c>
      <c r="C378" s="793" t="str">
        <f>'Concept-Level Data'!B176</f>
        <v>Drought Restriction/Allocation</v>
      </c>
      <c r="D378" s="794"/>
      <c r="E378" s="379">
        <f>'Concept-Level Data'!N176</f>
        <v>5</v>
      </c>
      <c r="F378" s="380">
        <f>'Concept-Level Data'!O176</f>
        <v>5</v>
      </c>
    </row>
    <row r="379" spans="2:6" hidden="1" x14ac:dyDescent="0.25">
      <c r="B379" s="251" t="str">
        <f>'Concept-Level Data'!A177</f>
        <v>Respondent 13</v>
      </c>
      <c r="C379" s="793" t="str">
        <f>'Concept-Level Data'!B177</f>
        <v>Firm Water Supply Agreements</v>
      </c>
      <c r="D379" s="794"/>
      <c r="E379" s="379">
        <f>'Concept-Level Data'!N177</f>
        <v>3</v>
      </c>
      <c r="F379" s="380">
        <f>'Concept-Level Data'!O177</f>
        <v>5</v>
      </c>
    </row>
    <row r="380" spans="2:6" hidden="1" x14ac:dyDescent="0.25">
      <c r="B380" s="251" t="str">
        <f>'Concept-Level Data'!A178</f>
        <v>Respondent 13</v>
      </c>
      <c r="C380" s="793" t="str">
        <f>'Concept-Level Data'!B178</f>
        <v>Gray Water Use</v>
      </c>
      <c r="D380" s="794"/>
      <c r="E380" s="379">
        <f>'Concept-Level Data'!N178</f>
        <v>5</v>
      </c>
      <c r="F380" s="380">
        <f>'Concept-Level Data'!O178</f>
        <v>5</v>
      </c>
    </row>
    <row r="381" spans="2:6" hidden="1" x14ac:dyDescent="0.25">
      <c r="B381" s="251" t="str">
        <f>'Concept-Level Data'!A179</f>
        <v>Respondent 13</v>
      </c>
      <c r="C381" s="793" t="str">
        <f>'Concept-Level Data'!B179</f>
        <v>Groundwater</v>
      </c>
      <c r="D381" s="794"/>
      <c r="E381" s="379">
        <f>'Concept-Level Data'!N179</f>
        <v>3</v>
      </c>
      <c r="F381" s="380">
        <f>'Concept-Level Data'!O179</f>
        <v>3</v>
      </c>
    </row>
    <row r="382" spans="2:6" hidden="1" x14ac:dyDescent="0.25">
      <c r="B382" s="251" t="str">
        <f>'Concept-Level Data'!A180</f>
        <v>Respondent 13</v>
      </c>
      <c r="C382" s="793" t="str">
        <f>'Concept-Level Data'!B180</f>
        <v>Imported Water Purchases</v>
      </c>
      <c r="D382" s="794"/>
      <c r="E382" s="379">
        <f>'Concept-Level Data'!N180</f>
        <v>1</v>
      </c>
      <c r="F382" s="380">
        <f>'Concept-Level Data'!O180</f>
        <v>3</v>
      </c>
    </row>
    <row r="383" spans="2:6" hidden="1" x14ac:dyDescent="0.25">
      <c r="B383" s="251" t="str">
        <f>'Concept-Level Data'!A181</f>
        <v>Respondent 13</v>
      </c>
      <c r="C383" s="793" t="str">
        <f>'Concept-Level Data'!B181</f>
        <v>Local Surface Water Reservoirs</v>
      </c>
      <c r="D383" s="794"/>
      <c r="E383" s="379">
        <f>'Concept-Level Data'!N181</f>
        <v>3</v>
      </c>
      <c r="F383" s="380">
        <f>'Concept-Level Data'!O181</f>
        <v>3</v>
      </c>
    </row>
    <row r="384" spans="2:6" hidden="1" x14ac:dyDescent="0.25">
      <c r="B384" s="251" t="str">
        <f>'Concept-Level Data'!A182</f>
        <v>Respondent 13</v>
      </c>
      <c r="C384" s="793" t="str">
        <f>'Concept-Level Data'!B182</f>
        <v>Potable Reuse</v>
      </c>
      <c r="D384" s="794"/>
      <c r="E384" s="379">
        <f>'Concept-Level Data'!N182</f>
        <v>1</v>
      </c>
      <c r="F384" s="380">
        <f>'Concept-Level Data'!O182</f>
        <v>3</v>
      </c>
    </row>
    <row r="385" spans="2:6" hidden="1" x14ac:dyDescent="0.25">
      <c r="B385" s="251" t="str">
        <f>'Concept-Level Data'!A183</f>
        <v>Respondent 13</v>
      </c>
      <c r="C385" s="793" t="str">
        <f>'Concept-Level Data'!B183</f>
        <v>Recycled Water</v>
      </c>
      <c r="D385" s="794"/>
      <c r="E385" s="379">
        <f>'Concept-Level Data'!N183</f>
        <v>3</v>
      </c>
      <c r="F385" s="380">
        <f>'Concept-Level Data'!O183</f>
        <v>3</v>
      </c>
    </row>
    <row r="386" spans="2:6" hidden="1" x14ac:dyDescent="0.25">
      <c r="B386" s="251" t="str">
        <f>'Concept-Level Data'!A184</f>
        <v>Respondent 13</v>
      </c>
      <c r="C386" s="793" t="str">
        <f>'Concept-Level Data'!B184</f>
        <v>Seawater Desalination</v>
      </c>
      <c r="D386" s="794"/>
      <c r="E386" s="379">
        <f>'Concept-Level Data'!N184</f>
        <v>1</v>
      </c>
      <c r="F386" s="380">
        <f>'Concept-Level Data'!O184</f>
        <v>3</v>
      </c>
    </row>
    <row r="387" spans="2:6" hidden="1" x14ac:dyDescent="0.25">
      <c r="B387" s="251" t="str">
        <f>'Concept-Level Data'!A185</f>
        <v>Respondent 13</v>
      </c>
      <c r="C387" s="793" t="str">
        <f>'Concept-Level Data'!B185</f>
        <v>Stormwater BMPs</v>
      </c>
      <c r="D387" s="794"/>
      <c r="E387" s="379">
        <f>'Concept-Level Data'!N185</f>
        <v>3</v>
      </c>
      <c r="F387" s="380">
        <f>'Concept-Level Data'!O185</f>
        <v>3</v>
      </c>
    </row>
    <row r="388" spans="2:6" hidden="1" x14ac:dyDescent="0.25">
      <c r="B388" s="251" t="str">
        <f>'Concept-Level Data'!A186</f>
        <v>Respondent 13</v>
      </c>
      <c r="C388" s="793" t="str">
        <f>'Concept-Level Data'!B186</f>
        <v>Stormwater Capture</v>
      </c>
      <c r="D388" s="794"/>
      <c r="E388" s="379">
        <f>'Concept-Level Data'!N186</f>
        <v>1</v>
      </c>
      <c r="F388" s="380">
        <f>'Concept-Level Data'!O186</f>
        <v>3</v>
      </c>
    </row>
    <row r="389" spans="2:6" hidden="1" x14ac:dyDescent="0.25">
      <c r="B389" s="251" t="str">
        <f>'Concept-Level Data'!A187</f>
        <v>Respondent 13</v>
      </c>
      <c r="C389" s="793" t="str">
        <f>'Concept-Level Data'!B187</f>
        <v>Urban and Agricultural Water Use Efficiency</v>
      </c>
      <c r="D389" s="794"/>
      <c r="E389" s="379">
        <f>'Concept-Level Data'!N187</f>
        <v>5</v>
      </c>
      <c r="F389" s="380">
        <f>'Concept-Level Data'!O187</f>
        <v>5</v>
      </c>
    </row>
    <row r="390" spans="2:6" hidden="1" x14ac:dyDescent="0.25">
      <c r="B390" s="251" t="str">
        <f>'Concept-Level Data'!A188</f>
        <v>Respondent 13</v>
      </c>
      <c r="C390" s="793" t="str">
        <f>'Concept-Level Data'!B188</f>
        <v>Watershed and Ecosystem Management</v>
      </c>
      <c r="D390" s="794"/>
      <c r="E390" s="379">
        <f>'Concept-Level Data'!N188</f>
        <v>5</v>
      </c>
      <c r="F390" s="380">
        <f>'Concept-Level Data'!O188</f>
        <v>5</v>
      </c>
    </row>
    <row r="391" spans="2:6" hidden="1" x14ac:dyDescent="0.25">
      <c r="B391" s="251" t="str">
        <f>'Concept-Level Data'!A189</f>
        <v>Respondent 14</v>
      </c>
      <c r="C391" s="793" t="str">
        <f>'Concept-Level Data'!B189</f>
        <v>Conveyance Improvement</v>
      </c>
      <c r="D391" s="794"/>
      <c r="E391" s="379">
        <f>'Concept-Level Data'!N189</f>
        <v>1</v>
      </c>
      <c r="F391" s="380" t="str">
        <f>'Concept-Level Data'!O189</f>
        <v>MISSING</v>
      </c>
    </row>
    <row r="392" spans="2:6" hidden="1" x14ac:dyDescent="0.25">
      <c r="B392" s="251" t="str">
        <f>'Concept-Level Data'!A190</f>
        <v>Respondent 14</v>
      </c>
      <c r="C392" s="793" t="str">
        <f>'Concept-Level Data'!B190</f>
        <v>Drought Restriction/Allocation</v>
      </c>
      <c r="D392" s="794"/>
      <c r="E392" s="379">
        <f>'Concept-Level Data'!N190</f>
        <v>5</v>
      </c>
      <c r="F392" s="380">
        <f>'Concept-Level Data'!O190</f>
        <v>5</v>
      </c>
    </row>
    <row r="393" spans="2:6" hidden="1" x14ac:dyDescent="0.25">
      <c r="B393" s="251" t="str">
        <f>'Concept-Level Data'!A191</f>
        <v>Respondent 14</v>
      </c>
      <c r="C393" s="793" t="str">
        <f>'Concept-Level Data'!B191</f>
        <v>Firm Water Supply Agreements</v>
      </c>
      <c r="D393" s="794"/>
      <c r="E393" s="379">
        <f>'Concept-Level Data'!N191</f>
        <v>3</v>
      </c>
      <c r="F393" s="380">
        <f>'Concept-Level Data'!O191</f>
        <v>3</v>
      </c>
    </row>
    <row r="394" spans="2:6" hidden="1" x14ac:dyDescent="0.25">
      <c r="B394" s="251" t="str">
        <f>'Concept-Level Data'!A192</f>
        <v>Respondent 14</v>
      </c>
      <c r="C394" s="793" t="str">
        <f>'Concept-Level Data'!B192</f>
        <v>Gray Water Use</v>
      </c>
      <c r="D394" s="794"/>
      <c r="E394" s="379">
        <f>'Concept-Level Data'!N192</f>
        <v>3</v>
      </c>
      <c r="F394" s="380">
        <f>'Concept-Level Data'!O192</f>
        <v>3</v>
      </c>
    </row>
    <row r="395" spans="2:6" hidden="1" x14ac:dyDescent="0.25">
      <c r="B395" s="251" t="str">
        <f>'Concept-Level Data'!A193</f>
        <v>Respondent 14</v>
      </c>
      <c r="C395" s="793" t="str">
        <f>'Concept-Level Data'!B193</f>
        <v>Groundwater</v>
      </c>
      <c r="D395" s="794"/>
      <c r="E395" s="379">
        <f>'Concept-Level Data'!N193</f>
        <v>1</v>
      </c>
      <c r="F395" s="380">
        <f>'Concept-Level Data'!O193</f>
        <v>1</v>
      </c>
    </row>
    <row r="396" spans="2:6" hidden="1" x14ac:dyDescent="0.25">
      <c r="B396" s="251" t="str">
        <f>'Concept-Level Data'!A194</f>
        <v>Respondent 14</v>
      </c>
      <c r="C396" s="793" t="str">
        <f>'Concept-Level Data'!B194</f>
        <v>Imported Water Purchases</v>
      </c>
      <c r="D396" s="794"/>
      <c r="E396" s="379">
        <f>'Concept-Level Data'!N194</f>
        <v>5</v>
      </c>
      <c r="F396" s="380">
        <f>'Concept-Level Data'!O194</f>
        <v>3</v>
      </c>
    </row>
    <row r="397" spans="2:6" hidden="1" x14ac:dyDescent="0.25">
      <c r="B397" s="251" t="str">
        <f>'Concept-Level Data'!A195</f>
        <v>Respondent 14</v>
      </c>
      <c r="C397" s="793" t="str">
        <f>'Concept-Level Data'!B195</f>
        <v>Local Surface Water Reservoirs</v>
      </c>
      <c r="D397" s="794"/>
      <c r="E397" s="379">
        <f>'Concept-Level Data'!N195</f>
        <v>5</v>
      </c>
      <c r="F397" s="380">
        <f>'Concept-Level Data'!O195</f>
        <v>3</v>
      </c>
    </row>
    <row r="398" spans="2:6" hidden="1" x14ac:dyDescent="0.25">
      <c r="B398" s="251" t="str">
        <f>'Concept-Level Data'!A196</f>
        <v>Respondent 14</v>
      </c>
      <c r="C398" s="793" t="str">
        <f>'Concept-Level Data'!B196</f>
        <v>Potable Reuse</v>
      </c>
      <c r="D398" s="794"/>
      <c r="E398" s="379">
        <f>'Concept-Level Data'!N196</f>
        <v>1</v>
      </c>
      <c r="F398" s="380">
        <f>'Concept-Level Data'!O196</f>
        <v>1</v>
      </c>
    </row>
    <row r="399" spans="2:6" hidden="1" x14ac:dyDescent="0.25">
      <c r="B399" s="251" t="str">
        <f>'Concept-Level Data'!A197</f>
        <v>Respondent 14</v>
      </c>
      <c r="C399" s="793" t="str">
        <f>'Concept-Level Data'!B197</f>
        <v>Recycled Water</v>
      </c>
      <c r="D399" s="794"/>
      <c r="E399" s="379">
        <f>'Concept-Level Data'!N197</f>
        <v>1</v>
      </c>
      <c r="F399" s="380">
        <f>'Concept-Level Data'!O197</f>
        <v>1</v>
      </c>
    </row>
    <row r="400" spans="2:6" hidden="1" x14ac:dyDescent="0.25">
      <c r="B400" s="251" t="str">
        <f>'Concept-Level Data'!A198</f>
        <v>Respondent 14</v>
      </c>
      <c r="C400" s="793" t="str">
        <f>'Concept-Level Data'!B198</f>
        <v>Seawater Desalination</v>
      </c>
      <c r="D400" s="794"/>
      <c r="E400" s="379">
        <f>'Concept-Level Data'!N198</f>
        <v>1</v>
      </c>
      <c r="F400" s="380">
        <f>'Concept-Level Data'!O198</f>
        <v>1</v>
      </c>
    </row>
    <row r="401" spans="2:6" hidden="1" x14ac:dyDescent="0.25">
      <c r="B401" s="251" t="str">
        <f>'Concept-Level Data'!A199</f>
        <v>Respondent 14</v>
      </c>
      <c r="C401" s="793" t="str">
        <f>'Concept-Level Data'!B199</f>
        <v>Stormwater BMPs</v>
      </c>
      <c r="D401" s="794"/>
      <c r="E401" s="379">
        <f>'Concept-Level Data'!N199</f>
        <v>3</v>
      </c>
      <c r="F401" s="380">
        <f>'Concept-Level Data'!O199</f>
        <v>5</v>
      </c>
    </row>
    <row r="402" spans="2:6" hidden="1" x14ac:dyDescent="0.25">
      <c r="B402" s="251" t="str">
        <f>'Concept-Level Data'!A200</f>
        <v>Respondent 14</v>
      </c>
      <c r="C402" s="793" t="str">
        <f>'Concept-Level Data'!B200</f>
        <v>Stormwater Capture</v>
      </c>
      <c r="D402" s="794"/>
      <c r="E402" s="379">
        <f>'Concept-Level Data'!N200</f>
        <v>1</v>
      </c>
      <c r="F402" s="380">
        <f>'Concept-Level Data'!O200</f>
        <v>5</v>
      </c>
    </row>
    <row r="403" spans="2:6" hidden="1" x14ac:dyDescent="0.25">
      <c r="B403" s="251" t="str">
        <f>'Concept-Level Data'!A201</f>
        <v>Respondent 14</v>
      </c>
      <c r="C403" s="793" t="str">
        <f>'Concept-Level Data'!B201</f>
        <v>Urban and Agricultural Water Use Efficiency</v>
      </c>
      <c r="D403" s="794"/>
      <c r="E403" s="379">
        <f>'Concept-Level Data'!N201</f>
        <v>3</v>
      </c>
      <c r="F403" s="380">
        <f>'Concept-Level Data'!O201</f>
        <v>5</v>
      </c>
    </row>
    <row r="404" spans="2:6" hidden="1" x14ac:dyDescent="0.25">
      <c r="B404" s="251" t="str">
        <f>'Concept-Level Data'!A202</f>
        <v>Respondent 14</v>
      </c>
      <c r="C404" s="793" t="str">
        <f>'Concept-Level Data'!B202</f>
        <v>Watershed and Ecosystem Management</v>
      </c>
      <c r="D404" s="794"/>
      <c r="E404" s="379">
        <f>'Concept-Level Data'!N202</f>
        <v>3</v>
      </c>
      <c r="F404" s="380">
        <f>'Concept-Level Data'!O202</f>
        <v>5</v>
      </c>
    </row>
    <row r="405" spans="2:6" hidden="1" x14ac:dyDescent="0.25">
      <c r="B405" s="251" t="str">
        <f>'Concept-Level Data'!A203</f>
        <v>Respondent 15</v>
      </c>
      <c r="C405" s="793" t="str">
        <f>'Concept-Level Data'!B203</f>
        <v>Conveyance Improvement</v>
      </c>
      <c r="D405" s="794"/>
      <c r="E405" s="379">
        <f>'Concept-Level Data'!N203</f>
        <v>1</v>
      </c>
      <c r="F405" s="380">
        <f>'Concept-Level Data'!O203</f>
        <v>3</v>
      </c>
    </row>
    <row r="406" spans="2:6" hidden="1" x14ac:dyDescent="0.25">
      <c r="B406" s="251" t="str">
        <f>'Concept-Level Data'!A204</f>
        <v>Respondent 15</v>
      </c>
      <c r="C406" s="793" t="str">
        <f>'Concept-Level Data'!B204</f>
        <v>Drought Restriction/Allocation</v>
      </c>
      <c r="D406" s="794"/>
      <c r="E406" s="379">
        <f>'Concept-Level Data'!N204</f>
        <v>5</v>
      </c>
      <c r="F406" s="380">
        <f>'Concept-Level Data'!O204</f>
        <v>5</v>
      </c>
    </row>
    <row r="407" spans="2:6" hidden="1" x14ac:dyDescent="0.25">
      <c r="B407" s="251" t="str">
        <f>'Concept-Level Data'!A205</f>
        <v>Respondent 15</v>
      </c>
      <c r="C407" s="793" t="str">
        <f>'Concept-Level Data'!B205</f>
        <v>Firm Water Supply Agreements</v>
      </c>
      <c r="D407" s="794"/>
      <c r="E407" s="379">
        <f>'Concept-Level Data'!N205</f>
        <v>3</v>
      </c>
      <c r="F407" s="380">
        <f>'Concept-Level Data'!O205</f>
        <v>3</v>
      </c>
    </row>
    <row r="408" spans="2:6" hidden="1" x14ac:dyDescent="0.25">
      <c r="B408" s="251" t="str">
        <f>'Concept-Level Data'!A206</f>
        <v>Respondent 15</v>
      </c>
      <c r="C408" s="793" t="str">
        <f>'Concept-Level Data'!B206</f>
        <v>Gray Water Use</v>
      </c>
      <c r="D408" s="794"/>
      <c r="E408" s="379">
        <f>'Concept-Level Data'!N206</f>
        <v>5</v>
      </c>
      <c r="F408" s="380">
        <f>'Concept-Level Data'!O206</f>
        <v>5</v>
      </c>
    </row>
    <row r="409" spans="2:6" hidden="1" x14ac:dyDescent="0.25">
      <c r="B409" s="251" t="str">
        <f>'Concept-Level Data'!A207</f>
        <v>Respondent 15</v>
      </c>
      <c r="C409" s="793" t="str">
        <f>'Concept-Level Data'!B207</f>
        <v>Groundwater</v>
      </c>
      <c r="D409" s="794"/>
      <c r="E409" s="379">
        <f>'Concept-Level Data'!N207</f>
        <v>3</v>
      </c>
      <c r="F409" s="380">
        <f>'Concept-Level Data'!O207</f>
        <v>1</v>
      </c>
    </row>
    <row r="410" spans="2:6" hidden="1" x14ac:dyDescent="0.25">
      <c r="B410" s="251" t="str">
        <f>'Concept-Level Data'!A208</f>
        <v>Respondent 15</v>
      </c>
      <c r="C410" s="793" t="str">
        <f>'Concept-Level Data'!B208</f>
        <v>Imported Water Purchases</v>
      </c>
      <c r="D410" s="794"/>
      <c r="E410" s="379">
        <f>'Concept-Level Data'!N208</f>
        <v>5</v>
      </c>
      <c r="F410" s="380">
        <f>'Concept-Level Data'!O208</f>
        <v>5</v>
      </c>
    </row>
    <row r="411" spans="2:6" hidden="1" x14ac:dyDescent="0.25">
      <c r="B411" s="251" t="str">
        <f>'Concept-Level Data'!A209</f>
        <v>Respondent 15</v>
      </c>
      <c r="C411" s="793" t="str">
        <f>'Concept-Level Data'!B209</f>
        <v>Local Surface Water Reservoirs</v>
      </c>
      <c r="D411" s="794"/>
      <c r="E411" s="379">
        <f>'Concept-Level Data'!N209</f>
        <v>3</v>
      </c>
      <c r="F411" s="380">
        <f>'Concept-Level Data'!O209</f>
        <v>5</v>
      </c>
    </row>
    <row r="412" spans="2:6" hidden="1" x14ac:dyDescent="0.25">
      <c r="B412" s="251" t="str">
        <f>'Concept-Level Data'!A210</f>
        <v>Respondent 15</v>
      </c>
      <c r="C412" s="793" t="str">
        <f>'Concept-Level Data'!B210</f>
        <v>Potable Reuse</v>
      </c>
      <c r="D412" s="794"/>
      <c r="E412" s="379">
        <f>'Concept-Level Data'!N210</f>
        <v>1</v>
      </c>
      <c r="F412" s="380">
        <f>'Concept-Level Data'!O210</f>
        <v>1</v>
      </c>
    </row>
    <row r="413" spans="2:6" hidden="1" x14ac:dyDescent="0.25">
      <c r="B413" s="251" t="str">
        <f>'Concept-Level Data'!A211</f>
        <v>Respondent 15</v>
      </c>
      <c r="C413" s="793" t="str">
        <f>'Concept-Level Data'!B211</f>
        <v>Recycled Water</v>
      </c>
      <c r="D413" s="794"/>
      <c r="E413" s="379">
        <f>'Concept-Level Data'!N211</f>
        <v>1</v>
      </c>
      <c r="F413" s="380">
        <f>'Concept-Level Data'!O211</f>
        <v>3</v>
      </c>
    </row>
    <row r="414" spans="2:6" hidden="1" x14ac:dyDescent="0.25">
      <c r="B414" s="251" t="str">
        <f>'Concept-Level Data'!A212</f>
        <v>Respondent 15</v>
      </c>
      <c r="C414" s="793" t="str">
        <f>'Concept-Level Data'!B212</f>
        <v>Seawater Desalination</v>
      </c>
      <c r="D414" s="794"/>
      <c r="E414" s="379">
        <f>'Concept-Level Data'!N212</f>
        <v>1</v>
      </c>
      <c r="F414" s="380">
        <f>'Concept-Level Data'!O212</f>
        <v>1</v>
      </c>
    </row>
    <row r="415" spans="2:6" hidden="1" x14ac:dyDescent="0.25">
      <c r="B415" s="251" t="str">
        <f>'Concept-Level Data'!A213</f>
        <v>Respondent 15</v>
      </c>
      <c r="C415" s="793" t="str">
        <f>'Concept-Level Data'!B213</f>
        <v>Stormwater BMPs</v>
      </c>
      <c r="D415" s="794"/>
      <c r="E415" s="379">
        <f>'Concept-Level Data'!N213</f>
        <v>5</v>
      </c>
      <c r="F415" s="380">
        <f>'Concept-Level Data'!O213</f>
        <v>5</v>
      </c>
    </row>
    <row r="416" spans="2:6" hidden="1" x14ac:dyDescent="0.25">
      <c r="B416" s="251" t="str">
        <f>'Concept-Level Data'!A214</f>
        <v>Respondent 15</v>
      </c>
      <c r="C416" s="793" t="str">
        <f>'Concept-Level Data'!B214</f>
        <v>Stormwater Capture</v>
      </c>
      <c r="D416" s="794"/>
      <c r="E416" s="379">
        <f>'Concept-Level Data'!N214</f>
        <v>1</v>
      </c>
      <c r="F416" s="380">
        <f>'Concept-Level Data'!O214</f>
        <v>1</v>
      </c>
    </row>
    <row r="417" spans="2:6" hidden="1" x14ac:dyDescent="0.25">
      <c r="B417" s="251" t="str">
        <f>'Concept-Level Data'!A215</f>
        <v>Respondent 15</v>
      </c>
      <c r="C417" s="793" t="str">
        <f>'Concept-Level Data'!B215</f>
        <v>Urban and Agricultural Water Use Efficiency</v>
      </c>
      <c r="D417" s="794"/>
      <c r="E417" s="379">
        <f>'Concept-Level Data'!N215</f>
        <v>3</v>
      </c>
      <c r="F417" s="380">
        <f>'Concept-Level Data'!O215</f>
        <v>5</v>
      </c>
    </row>
    <row r="418" spans="2:6" hidden="1" x14ac:dyDescent="0.25">
      <c r="B418" s="251" t="str">
        <f>'Concept-Level Data'!A216</f>
        <v>Respondent 15</v>
      </c>
      <c r="C418" s="793" t="str">
        <f>'Concept-Level Data'!B216</f>
        <v>Watershed and Ecosystem Management</v>
      </c>
      <c r="D418" s="794"/>
      <c r="E418" s="379">
        <f>'Concept-Level Data'!N216</f>
        <v>3</v>
      </c>
      <c r="F418" s="380">
        <f>'Concept-Level Data'!O216</f>
        <v>3</v>
      </c>
    </row>
    <row r="419" spans="2:6" hidden="1" x14ac:dyDescent="0.25">
      <c r="B419" s="251" t="str">
        <f>'Concept-Level Data'!A217</f>
        <v>Respondent 16</v>
      </c>
      <c r="C419" s="793" t="str">
        <f>'Concept-Level Data'!B217</f>
        <v>Conveyance Improvement</v>
      </c>
      <c r="D419" s="794"/>
      <c r="E419" s="379">
        <f>'Concept-Level Data'!N217</f>
        <v>3</v>
      </c>
      <c r="F419" s="380">
        <f>'Concept-Level Data'!O217</f>
        <v>3</v>
      </c>
    </row>
    <row r="420" spans="2:6" hidden="1" x14ac:dyDescent="0.25">
      <c r="B420" s="251" t="str">
        <f>'Concept-Level Data'!A218</f>
        <v>Respondent 16</v>
      </c>
      <c r="C420" s="793" t="str">
        <f>'Concept-Level Data'!B218</f>
        <v>Drought Restriction/Allocation</v>
      </c>
      <c r="D420" s="794"/>
      <c r="E420" s="379">
        <f>'Concept-Level Data'!N218</f>
        <v>3</v>
      </c>
      <c r="F420" s="380">
        <f>'Concept-Level Data'!O218</f>
        <v>3</v>
      </c>
    </row>
    <row r="421" spans="2:6" hidden="1" x14ac:dyDescent="0.25">
      <c r="B421" s="251" t="str">
        <f>'Concept-Level Data'!A219</f>
        <v>Respondent 16</v>
      </c>
      <c r="C421" s="793" t="str">
        <f>'Concept-Level Data'!B219</f>
        <v>Firm Water Supply Agreements</v>
      </c>
      <c r="D421" s="794"/>
      <c r="E421" s="379">
        <f>'Concept-Level Data'!N219</f>
        <v>3</v>
      </c>
      <c r="F421" s="380">
        <f>'Concept-Level Data'!O219</f>
        <v>3</v>
      </c>
    </row>
    <row r="422" spans="2:6" hidden="1" x14ac:dyDescent="0.25">
      <c r="B422" s="251" t="str">
        <f>'Concept-Level Data'!A220</f>
        <v>Respondent 16</v>
      </c>
      <c r="C422" s="793" t="str">
        <f>'Concept-Level Data'!B220</f>
        <v>Gray Water Use</v>
      </c>
      <c r="D422" s="794"/>
      <c r="E422" s="379">
        <f>'Concept-Level Data'!N220</f>
        <v>3</v>
      </c>
      <c r="F422" s="380">
        <f>'Concept-Level Data'!O220</f>
        <v>3</v>
      </c>
    </row>
    <row r="423" spans="2:6" hidden="1" x14ac:dyDescent="0.25">
      <c r="B423" s="251" t="str">
        <f>'Concept-Level Data'!A221</f>
        <v>Respondent 16</v>
      </c>
      <c r="C423" s="793" t="str">
        <f>'Concept-Level Data'!B221</f>
        <v>Groundwater</v>
      </c>
      <c r="D423" s="794"/>
      <c r="E423" s="379">
        <f>'Concept-Level Data'!N221</f>
        <v>3</v>
      </c>
      <c r="F423" s="380">
        <f>'Concept-Level Data'!O221</f>
        <v>3</v>
      </c>
    </row>
    <row r="424" spans="2:6" hidden="1" x14ac:dyDescent="0.25">
      <c r="B424" s="251" t="str">
        <f>'Concept-Level Data'!A222</f>
        <v>Respondent 16</v>
      </c>
      <c r="C424" s="793" t="str">
        <f>'Concept-Level Data'!B222</f>
        <v>Imported Water Purchases</v>
      </c>
      <c r="D424" s="794"/>
      <c r="E424" s="379">
        <f>'Concept-Level Data'!N222</f>
        <v>3</v>
      </c>
      <c r="F424" s="380">
        <f>'Concept-Level Data'!O222</f>
        <v>3</v>
      </c>
    </row>
    <row r="425" spans="2:6" hidden="1" x14ac:dyDescent="0.25">
      <c r="B425" s="251" t="str">
        <f>'Concept-Level Data'!A223</f>
        <v>Respondent 16</v>
      </c>
      <c r="C425" s="793" t="str">
        <f>'Concept-Level Data'!B223</f>
        <v>Local Surface Water Reservoirs</v>
      </c>
      <c r="D425" s="794"/>
      <c r="E425" s="379">
        <f>'Concept-Level Data'!N223</f>
        <v>3</v>
      </c>
      <c r="F425" s="380">
        <f>'Concept-Level Data'!O223</f>
        <v>3</v>
      </c>
    </row>
    <row r="426" spans="2:6" hidden="1" x14ac:dyDescent="0.25">
      <c r="B426" s="251" t="str">
        <f>'Concept-Level Data'!A224</f>
        <v>Respondent 16</v>
      </c>
      <c r="C426" s="793" t="str">
        <f>'Concept-Level Data'!B224</f>
        <v>Potable Reuse</v>
      </c>
      <c r="D426" s="794"/>
      <c r="E426" s="379">
        <f>'Concept-Level Data'!N224</f>
        <v>3</v>
      </c>
      <c r="F426" s="380">
        <f>'Concept-Level Data'!O224</f>
        <v>3</v>
      </c>
    </row>
    <row r="427" spans="2:6" hidden="1" x14ac:dyDescent="0.25">
      <c r="B427" s="251" t="str">
        <f>'Concept-Level Data'!A225</f>
        <v>Respondent 16</v>
      </c>
      <c r="C427" s="793" t="str">
        <f>'Concept-Level Data'!B225</f>
        <v>Recycled Water</v>
      </c>
      <c r="D427" s="794"/>
      <c r="E427" s="379">
        <f>'Concept-Level Data'!N225</f>
        <v>3</v>
      </c>
      <c r="F427" s="380">
        <f>'Concept-Level Data'!O225</f>
        <v>3</v>
      </c>
    </row>
    <row r="428" spans="2:6" hidden="1" x14ac:dyDescent="0.25">
      <c r="B428" s="251" t="str">
        <f>'Concept-Level Data'!A226</f>
        <v>Respondent 16</v>
      </c>
      <c r="C428" s="793" t="str">
        <f>'Concept-Level Data'!B226</f>
        <v>Seawater Desalination</v>
      </c>
      <c r="D428" s="794"/>
      <c r="E428" s="379">
        <f>'Concept-Level Data'!N226</f>
        <v>3</v>
      </c>
      <c r="F428" s="380">
        <f>'Concept-Level Data'!O226</f>
        <v>3</v>
      </c>
    </row>
    <row r="429" spans="2:6" hidden="1" x14ac:dyDescent="0.25">
      <c r="B429" s="251" t="str">
        <f>'Concept-Level Data'!A227</f>
        <v>Respondent 16</v>
      </c>
      <c r="C429" s="793" t="str">
        <f>'Concept-Level Data'!B227</f>
        <v>Stormwater BMPs</v>
      </c>
      <c r="D429" s="794"/>
      <c r="E429" s="379">
        <f>'Concept-Level Data'!N227</f>
        <v>3</v>
      </c>
      <c r="F429" s="380">
        <f>'Concept-Level Data'!O227</f>
        <v>3</v>
      </c>
    </row>
    <row r="430" spans="2:6" hidden="1" x14ac:dyDescent="0.25">
      <c r="B430" s="251" t="str">
        <f>'Concept-Level Data'!A228</f>
        <v>Respondent 16</v>
      </c>
      <c r="C430" s="793" t="str">
        <f>'Concept-Level Data'!B228</f>
        <v>Stormwater Capture</v>
      </c>
      <c r="D430" s="794"/>
      <c r="E430" s="379">
        <f>'Concept-Level Data'!N228</f>
        <v>3</v>
      </c>
      <c r="F430" s="380">
        <f>'Concept-Level Data'!O228</f>
        <v>3</v>
      </c>
    </row>
    <row r="431" spans="2:6" hidden="1" x14ac:dyDescent="0.25">
      <c r="B431" s="251" t="str">
        <f>'Concept-Level Data'!A229</f>
        <v>Respondent 16</v>
      </c>
      <c r="C431" s="793" t="str">
        <f>'Concept-Level Data'!B229</f>
        <v>Urban and Agricultural Water Use Efficiency</v>
      </c>
      <c r="D431" s="794"/>
      <c r="E431" s="379">
        <f>'Concept-Level Data'!N229</f>
        <v>3</v>
      </c>
      <c r="F431" s="380">
        <f>'Concept-Level Data'!O229</f>
        <v>3</v>
      </c>
    </row>
    <row r="432" spans="2:6" ht="15.75" hidden="1" thickBot="1" x14ac:dyDescent="0.3">
      <c r="B432" s="252" t="str">
        <f>'Concept-Level Data'!A230</f>
        <v>Respondent 16</v>
      </c>
      <c r="C432" s="791" t="str">
        <f>'Concept-Level Data'!B230</f>
        <v>Watershed and Ecosystem Management</v>
      </c>
      <c r="D432" s="792"/>
      <c r="E432" s="383">
        <f>'Concept-Level Data'!N230</f>
        <v>3</v>
      </c>
      <c r="F432" s="384">
        <f>'Concept-Level Data'!O230</f>
        <v>5</v>
      </c>
    </row>
    <row r="433" spans="2:6" hidden="1" x14ac:dyDescent="0.25">
      <c r="B433" s="548"/>
      <c r="C433" s="515" t="s">
        <v>855</v>
      </c>
      <c r="D433" s="515"/>
      <c r="E433" s="485">
        <f>COUNTIFS(E209:E432, "=MISSING")</f>
        <v>0</v>
      </c>
      <c r="F433" s="389">
        <f>COUNTIFS(F209:F432, "=MISSING")</f>
        <v>1</v>
      </c>
    </row>
    <row r="434" spans="2:6" hidden="1" x14ac:dyDescent="0.25">
      <c r="B434" s="549"/>
      <c r="C434" s="516" t="s">
        <v>856</v>
      </c>
      <c r="D434" s="516"/>
      <c r="E434" s="378">
        <f>COUNTIFS(E209:E432, "=No Response")</f>
        <v>0</v>
      </c>
      <c r="F434" s="380">
        <f>COUNTIFS(F209:F432, "=No Response")</f>
        <v>0</v>
      </c>
    </row>
    <row r="435" spans="2:6" hidden="1" x14ac:dyDescent="0.25">
      <c r="B435" s="549"/>
      <c r="C435" s="516" t="s">
        <v>858</v>
      </c>
      <c r="D435" s="516"/>
      <c r="E435" s="378">
        <f>COUNTIFS(E209:E432, "=REMOVED")</f>
        <v>0</v>
      </c>
      <c r="F435" s="380">
        <f>COUNTIFS(F209:F432, "=REMOVED")</f>
        <v>0</v>
      </c>
    </row>
    <row r="436" spans="2:6" ht="15.75" hidden="1" thickBot="1" x14ac:dyDescent="0.3">
      <c r="B436" s="550"/>
      <c r="C436" s="517" t="s">
        <v>859</v>
      </c>
      <c r="D436" s="517"/>
      <c r="E436" s="382">
        <f>COUNTIFS(E209:E432, "&gt;0")</f>
        <v>224</v>
      </c>
      <c r="F436" s="384">
        <f>COUNTIFS(F209:F432, "&gt;0")</f>
        <v>223</v>
      </c>
    </row>
  </sheetData>
  <sheetProtection algorithmName="SHA-512" hashValue="l6EJpWyXAAQAvZk7ky9YZUn4n6LEVJ314GP82OqaaXo3hOKwtlR+Ol1s/7YYm4BWCKhYOhoEnVh//jYm82MYpg==" saltValue="z+eIvwukMpNSt2rrG+th1w==" spinCount="100000" sheet="1" objects="1" scenarios="1"/>
  <autoFilter ref="B80:G201" xr:uid="{47CA3DB2-4A4B-4F89-BA87-C78F4BDC70B5}">
    <sortState ref="B83:G201">
      <sortCondition ref="C80:C201"/>
    </sortState>
  </autoFilter>
  <mergeCells count="227">
    <mergeCell ref="B80:B81"/>
    <mergeCell ref="C209:D209"/>
    <mergeCell ref="C210:D210"/>
    <mergeCell ref="B3:J3"/>
    <mergeCell ref="C208:D208"/>
    <mergeCell ref="C216:D216"/>
    <mergeCell ref="C217:D217"/>
    <mergeCell ref="C218:D218"/>
    <mergeCell ref="C219:D219"/>
    <mergeCell ref="C220:D220"/>
    <mergeCell ref="C211:D211"/>
    <mergeCell ref="C212:D212"/>
    <mergeCell ref="C213:D213"/>
    <mergeCell ref="C214:D214"/>
    <mergeCell ref="C215:D215"/>
    <mergeCell ref="C226:D226"/>
    <mergeCell ref="C227:D227"/>
    <mergeCell ref="C228:D228"/>
    <mergeCell ref="C229:D229"/>
    <mergeCell ref="C230:D230"/>
    <mergeCell ref="C221:D221"/>
    <mergeCell ref="C222:D222"/>
    <mergeCell ref="C223:D223"/>
    <mergeCell ref="C224:D224"/>
    <mergeCell ref="C225:D225"/>
    <mergeCell ref="C236:D236"/>
    <mergeCell ref="C237:D237"/>
    <mergeCell ref="C238:D238"/>
    <mergeCell ref="C239:D239"/>
    <mergeCell ref="C240:D240"/>
    <mergeCell ref="C231:D231"/>
    <mergeCell ref="C232:D232"/>
    <mergeCell ref="C233:D233"/>
    <mergeCell ref="C234:D234"/>
    <mergeCell ref="C235:D235"/>
    <mergeCell ref="C246:D246"/>
    <mergeCell ref="C247:D247"/>
    <mergeCell ref="C248:D248"/>
    <mergeCell ref="C249:D249"/>
    <mergeCell ref="C250:D250"/>
    <mergeCell ref="C241:D241"/>
    <mergeCell ref="C242:D242"/>
    <mergeCell ref="C243:D243"/>
    <mergeCell ref="C244:D244"/>
    <mergeCell ref="C245:D245"/>
    <mergeCell ref="C256:D256"/>
    <mergeCell ref="C257:D257"/>
    <mergeCell ref="C258:D258"/>
    <mergeCell ref="C259:D259"/>
    <mergeCell ref="C260:D260"/>
    <mergeCell ref="C251:D251"/>
    <mergeCell ref="C252:D252"/>
    <mergeCell ref="C253:D253"/>
    <mergeCell ref="C254:D254"/>
    <mergeCell ref="C255:D255"/>
    <mergeCell ref="C266:D266"/>
    <mergeCell ref="C267:D267"/>
    <mergeCell ref="C268:D268"/>
    <mergeCell ref="C269:D269"/>
    <mergeCell ref="C270:D270"/>
    <mergeCell ref="C261:D261"/>
    <mergeCell ref="C262:D262"/>
    <mergeCell ref="C263:D263"/>
    <mergeCell ref="C264:D264"/>
    <mergeCell ref="C265:D265"/>
    <mergeCell ref="C276:D276"/>
    <mergeCell ref="C277:D277"/>
    <mergeCell ref="C278:D278"/>
    <mergeCell ref="C279:D279"/>
    <mergeCell ref="C280:D280"/>
    <mergeCell ref="C271:D271"/>
    <mergeCell ref="C272:D272"/>
    <mergeCell ref="C273:D273"/>
    <mergeCell ref="C274:D274"/>
    <mergeCell ref="C275:D275"/>
    <mergeCell ref="C286:D286"/>
    <mergeCell ref="C287:D287"/>
    <mergeCell ref="C288:D288"/>
    <mergeCell ref="C289:D289"/>
    <mergeCell ref="C290:D290"/>
    <mergeCell ref="C281:D281"/>
    <mergeCell ref="C282:D282"/>
    <mergeCell ref="C283:D283"/>
    <mergeCell ref="C284:D284"/>
    <mergeCell ref="C285:D285"/>
    <mergeCell ref="C296:D296"/>
    <mergeCell ref="C297:D297"/>
    <mergeCell ref="C298:D298"/>
    <mergeCell ref="C299:D299"/>
    <mergeCell ref="C300:D300"/>
    <mergeCell ref="C291:D291"/>
    <mergeCell ref="C292:D292"/>
    <mergeCell ref="C293:D293"/>
    <mergeCell ref="C294:D294"/>
    <mergeCell ref="C295:D295"/>
    <mergeCell ref="C306:D306"/>
    <mergeCell ref="C307:D307"/>
    <mergeCell ref="C308:D308"/>
    <mergeCell ref="C309:D309"/>
    <mergeCell ref="C310:D310"/>
    <mergeCell ref="C301:D301"/>
    <mergeCell ref="C302:D302"/>
    <mergeCell ref="C303:D303"/>
    <mergeCell ref="C304:D304"/>
    <mergeCell ref="C305:D305"/>
    <mergeCell ref="C316:D316"/>
    <mergeCell ref="C317:D317"/>
    <mergeCell ref="C318:D318"/>
    <mergeCell ref="C319:D319"/>
    <mergeCell ref="C320:D320"/>
    <mergeCell ref="C311:D311"/>
    <mergeCell ref="C312:D312"/>
    <mergeCell ref="C313:D313"/>
    <mergeCell ref="C314:D314"/>
    <mergeCell ref="C315:D315"/>
    <mergeCell ref="C326:D326"/>
    <mergeCell ref="C327:D327"/>
    <mergeCell ref="C328:D328"/>
    <mergeCell ref="C329:D329"/>
    <mergeCell ref="C330:D330"/>
    <mergeCell ref="C321:D321"/>
    <mergeCell ref="C322:D322"/>
    <mergeCell ref="C323:D323"/>
    <mergeCell ref="C324:D324"/>
    <mergeCell ref="C325:D325"/>
    <mergeCell ref="C336:D336"/>
    <mergeCell ref="C337:D337"/>
    <mergeCell ref="C338:D338"/>
    <mergeCell ref="C339:D339"/>
    <mergeCell ref="C340:D340"/>
    <mergeCell ref="C331:D331"/>
    <mergeCell ref="C332:D332"/>
    <mergeCell ref="C333:D333"/>
    <mergeCell ref="C334:D334"/>
    <mergeCell ref="C335:D335"/>
    <mergeCell ref="C346:D346"/>
    <mergeCell ref="C347:D347"/>
    <mergeCell ref="C348:D348"/>
    <mergeCell ref="C349:D349"/>
    <mergeCell ref="C350:D350"/>
    <mergeCell ref="C341:D341"/>
    <mergeCell ref="C342:D342"/>
    <mergeCell ref="C343:D343"/>
    <mergeCell ref="C344:D344"/>
    <mergeCell ref="C345:D345"/>
    <mergeCell ref="C356:D356"/>
    <mergeCell ref="C357:D357"/>
    <mergeCell ref="C358:D358"/>
    <mergeCell ref="C359:D359"/>
    <mergeCell ref="C360:D360"/>
    <mergeCell ref="C351:D351"/>
    <mergeCell ref="C352:D352"/>
    <mergeCell ref="C353:D353"/>
    <mergeCell ref="C354:D354"/>
    <mergeCell ref="C355:D355"/>
    <mergeCell ref="C366:D366"/>
    <mergeCell ref="C367:D367"/>
    <mergeCell ref="C368:D368"/>
    <mergeCell ref="C369:D369"/>
    <mergeCell ref="C370:D370"/>
    <mergeCell ref="C361:D361"/>
    <mergeCell ref="C362:D362"/>
    <mergeCell ref="C363:D363"/>
    <mergeCell ref="C364:D364"/>
    <mergeCell ref="C365:D365"/>
    <mergeCell ref="C376:D376"/>
    <mergeCell ref="C377:D377"/>
    <mergeCell ref="C378:D378"/>
    <mergeCell ref="C379:D379"/>
    <mergeCell ref="C380:D380"/>
    <mergeCell ref="C371:D371"/>
    <mergeCell ref="C372:D372"/>
    <mergeCell ref="C373:D373"/>
    <mergeCell ref="C374:D374"/>
    <mergeCell ref="C375:D375"/>
    <mergeCell ref="C386:D386"/>
    <mergeCell ref="C387:D387"/>
    <mergeCell ref="C388:D388"/>
    <mergeCell ref="C389:D389"/>
    <mergeCell ref="C390:D390"/>
    <mergeCell ref="C381:D381"/>
    <mergeCell ref="C382:D382"/>
    <mergeCell ref="C383:D383"/>
    <mergeCell ref="C384:D384"/>
    <mergeCell ref="C385:D385"/>
    <mergeCell ref="C396:D396"/>
    <mergeCell ref="C397:D397"/>
    <mergeCell ref="C398:D398"/>
    <mergeCell ref="C399:D399"/>
    <mergeCell ref="C400:D400"/>
    <mergeCell ref="C391:D391"/>
    <mergeCell ref="C392:D392"/>
    <mergeCell ref="C393:D393"/>
    <mergeCell ref="C394:D394"/>
    <mergeCell ref="C395:D395"/>
    <mergeCell ref="C406:D406"/>
    <mergeCell ref="C407:D407"/>
    <mergeCell ref="C408:D408"/>
    <mergeCell ref="C409:D409"/>
    <mergeCell ref="C410:D410"/>
    <mergeCell ref="C401:D401"/>
    <mergeCell ref="C402:D402"/>
    <mergeCell ref="C403:D403"/>
    <mergeCell ref="C404:D404"/>
    <mergeCell ref="C405:D405"/>
    <mergeCell ref="C416:D416"/>
    <mergeCell ref="C417:D417"/>
    <mergeCell ref="C418:D418"/>
    <mergeCell ref="C419:D419"/>
    <mergeCell ref="C420:D420"/>
    <mergeCell ref="C411:D411"/>
    <mergeCell ref="C412:D412"/>
    <mergeCell ref="C413:D413"/>
    <mergeCell ref="C414:D414"/>
    <mergeCell ref="C415:D415"/>
    <mergeCell ref="C431:D431"/>
    <mergeCell ref="C432:D432"/>
    <mergeCell ref="C426:D426"/>
    <mergeCell ref="C427:D427"/>
    <mergeCell ref="C428:D428"/>
    <mergeCell ref="C429:D429"/>
    <mergeCell ref="C430:D430"/>
    <mergeCell ref="C421:D421"/>
    <mergeCell ref="C422:D422"/>
    <mergeCell ref="C423:D423"/>
    <mergeCell ref="C424:D424"/>
    <mergeCell ref="C425:D425"/>
  </mergeCells>
  <pageMargins left="0.7" right="0.7" top="0.75" bottom="0.75" header="0.3" footer="0.3"/>
  <pageSetup paperSize="3" scale="50" orientation="landscape" r:id="rId1"/>
  <headerFooter>
    <oddHeader>&amp;A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'Data Validation Sheet'!$B$3:$B$4</xm:f>
          </x14:formula1>
          <xm:sqref>H8:H19 H23:H34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Data Validation Sheet</vt:lpstr>
      <vt:lpstr>About</vt:lpstr>
      <vt:lpstr>Instructions &amp; Legend</vt:lpstr>
      <vt:lpstr>Definitions</vt:lpstr>
      <vt:lpstr>User Inputs</vt:lpstr>
      <vt:lpstr>Trade-off Analysis Results</vt:lpstr>
      <vt:lpstr>EO Climate Change GHG</vt:lpstr>
      <vt:lpstr>EO Climate Resilience</vt:lpstr>
      <vt:lpstr>EO Cost Effectiveness</vt:lpstr>
      <vt:lpstr>EO Env Justice</vt:lpstr>
      <vt:lpstr>EO Optimize Local Supplies</vt:lpstr>
      <vt:lpstr>EO Project Complexity</vt:lpstr>
      <vt:lpstr>EO Protect Habitats</vt:lpstr>
      <vt:lpstr>EO Scalability</vt:lpstr>
      <vt:lpstr>EO Quality of Life</vt:lpstr>
      <vt:lpstr>EO Regional Econ Impact</vt:lpstr>
      <vt:lpstr>EO Regional Integration</vt:lpstr>
      <vt:lpstr>EO Reliability and Robustness</vt:lpstr>
      <vt:lpstr>EO Water Quality and Watersheds</vt:lpstr>
      <vt:lpstr>Project-Level Data</vt:lpstr>
      <vt:lpstr>Concept-Level Data</vt:lpstr>
      <vt:lpstr>Economic Expert Workshop Data</vt:lpstr>
      <vt:lpstr>'EO Regional Econ Impact'!Print_Area</vt:lpstr>
      <vt:lpstr>'EO Scalability'!Print_Area</vt:lpstr>
      <vt:lpstr>'Trade-off Analysis Results'!Print_Area</vt:lpstr>
    </vt:vector>
  </TitlesOfParts>
  <Company>Department of Interior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SPiper</dc:creator>
  <cp:lastModifiedBy>Allison Odell</cp:lastModifiedBy>
  <cp:lastPrinted>2019-05-10T15:27:01Z</cp:lastPrinted>
  <dcterms:created xsi:type="dcterms:W3CDTF">2018-07-26T14:44:08Z</dcterms:created>
  <dcterms:modified xsi:type="dcterms:W3CDTF">2019-05-10T18:22:19Z</dcterms:modified>
</cp:coreProperties>
</file>