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HERON\Projects\Los Angeles County DPW\477376WatershedCall\LABasinStormwaterCaptureStudy\Report\AppendixD_Cost\"/>
    </mc:Choice>
  </mc:AlternateContent>
  <bookViews>
    <workbookView xWindow="360" yWindow="108" windowWidth="11340" windowHeight="8328"/>
  </bookViews>
  <sheets>
    <sheet name="Summary" sheetId="2" r:id="rId1"/>
    <sheet name="DebrisBasins" sheetId="3" r:id="rId2"/>
  </sheets>
  <definedNames>
    <definedName name="_xlnm.Print_Area" localSheetId="1">DebrisBasins!$A$1:$P$44</definedName>
  </definedNames>
  <calcPr calcId="152511"/>
  <customWorkbookViews>
    <customWorkbookView name="Summerville, Nathaniel/SCO - Personal View" guid="{677540D9-8F40-4EC3-92A4-0BE391DDD76E}" mergeInterval="0" personalView="1" maximized="1" xWindow="-4" yWindow="-4" windowWidth="1928" windowHeight="1056" activeSheetId="2" showComments="commIndAndComment"/>
    <customWorkbookView name="Peji, Kayla/SCO - Personal View" guid="{0938481C-6147-45AE-A91B-B3C254F54487}" mergeInterval="0" personalView="1" xWindow="-18" yWindow="479" windowWidth="1875" windowHeight="1027" activeSheetId="3"/>
  </customWorkbookViews>
</workbook>
</file>

<file path=xl/calcChain.xml><?xml version="1.0" encoding="utf-8"?>
<calcChain xmlns="http://schemas.openxmlformats.org/spreadsheetml/2006/main">
  <c r="E53" i="3" l="1"/>
  <c r="B11" i="2" l="1"/>
  <c r="B19" i="2" l="1"/>
  <c r="B21" i="2" s="1"/>
  <c r="B27" i="2"/>
  <c r="B29" i="2" s="1"/>
  <c r="B25" i="2"/>
  <c r="B9" i="2" l="1"/>
  <c r="E49" i="3"/>
  <c r="K12" i="3"/>
  <c r="M12" i="3" s="1"/>
  <c r="B43" i="3"/>
  <c r="E43" i="3" s="1"/>
  <c r="E44" i="3" s="1"/>
  <c r="B13" i="2" l="1"/>
  <c r="N23" i="3" l="1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22" i="3"/>
  <c r="N42" i="3" l="1"/>
  <c r="K17" i="3" s="1"/>
  <c r="E11" i="3"/>
  <c r="B3" i="2" l="1"/>
  <c r="B23" i="2" l="1"/>
  <c r="B17" i="2" l="1"/>
  <c r="E20" i="3"/>
  <c r="B15" i="2"/>
  <c r="E10" i="3"/>
  <c r="E16" i="3"/>
  <c r="E12" i="3" l="1"/>
  <c r="E21" i="3"/>
  <c r="E17" i="3"/>
  <c r="D23" i="3" l="1"/>
  <c r="E23" i="3" l="1"/>
  <c r="E24" i="3" l="1"/>
  <c r="D26" i="3" s="1"/>
  <c r="E26" i="3" l="1"/>
  <c r="E27" i="3" l="1"/>
  <c r="D31" i="3" s="1"/>
  <c r="D35" i="3" l="1"/>
  <c r="E35" i="3" s="1"/>
  <c r="D33" i="3"/>
  <c r="E33" i="3" s="1"/>
  <c r="D34" i="3"/>
  <c r="E34" i="3" s="1"/>
  <c r="D30" i="3"/>
  <c r="E30" i="3" s="1"/>
  <c r="E31" i="3"/>
  <c r="D32" i="3" l="1"/>
  <c r="E32" i="3" s="1"/>
  <c r="E36" i="3" s="1"/>
  <c r="D39" i="3" s="1"/>
  <c r="E39" i="3" s="1"/>
  <c r="E40" i="3" s="1"/>
  <c r="E47" i="3" l="1"/>
  <c r="B7" i="2" s="1"/>
  <c r="E51" i="3" l="1"/>
  <c r="E57" i="3" s="1"/>
</calcChain>
</file>

<file path=xl/sharedStrings.xml><?xml version="1.0" encoding="utf-8"?>
<sst xmlns="http://schemas.openxmlformats.org/spreadsheetml/2006/main" count="133" uniqueCount="86">
  <si>
    <t>Description</t>
  </si>
  <si>
    <t>Quantity</t>
  </si>
  <si>
    <t>Unit</t>
  </si>
  <si>
    <t>Unit Cost</t>
  </si>
  <si>
    <t>Total Cost</t>
  </si>
  <si>
    <t>each</t>
  </si>
  <si>
    <t>feet</t>
  </si>
  <si>
    <t>SUBTOTAL</t>
  </si>
  <si>
    <t>%</t>
  </si>
  <si>
    <t>GENERAL CONDITIONS</t>
  </si>
  <si>
    <t>LACDPW Basin Study</t>
  </si>
  <si>
    <t>Wetland Construction</t>
  </si>
  <si>
    <t>acres</t>
  </si>
  <si>
    <t>Habitat Improvements</t>
  </si>
  <si>
    <t>Recreation Improvements</t>
  </si>
  <si>
    <t>Landscaped Trail</t>
  </si>
  <si>
    <t>Property Acquisition</t>
  </si>
  <si>
    <t>Engineering, Legal, Permitting</t>
  </si>
  <si>
    <t>Legal</t>
  </si>
  <si>
    <t>Permitting</t>
  </si>
  <si>
    <t>Construction Management</t>
  </si>
  <si>
    <t>Contingency</t>
  </si>
  <si>
    <t>Project Management</t>
  </si>
  <si>
    <t>Power</t>
  </si>
  <si>
    <t>(hp)</t>
  </si>
  <si>
    <t>(kw-hr)</t>
  </si>
  <si>
    <t>Power Cost</t>
  </si>
  <si>
    <t>($/kw-hr)</t>
  </si>
  <si>
    <t>Annual Cost</t>
  </si>
  <si>
    <t>O&amp;M Costs</t>
  </si>
  <si>
    <t>($)</t>
  </si>
  <si>
    <t>Annual Operating Cost</t>
  </si>
  <si>
    <t>Project Life</t>
  </si>
  <si>
    <t>(yrs)</t>
  </si>
  <si>
    <t>Annual Volume of Stormwater Conserved (acre-ft/yr)</t>
  </si>
  <si>
    <t>Total Capital Costs ($)</t>
  </si>
  <si>
    <t>Operations and Maintenance costs ($/yr)</t>
  </si>
  <si>
    <t>Energy Consumption (kw-hr/yr)</t>
  </si>
  <si>
    <t>Recreation Opportunities (linear feet of trail)</t>
  </si>
  <si>
    <t>Habitat Improvements (acres)</t>
  </si>
  <si>
    <t>Operations</t>
  </si>
  <si>
    <t>Mobilization/Demobilization</t>
  </si>
  <si>
    <t>Outflow Riser</t>
  </si>
  <si>
    <t>Outflow Structure</t>
  </si>
  <si>
    <t>Sediment Removal</t>
  </si>
  <si>
    <t>acft</t>
  </si>
  <si>
    <t>CY</t>
  </si>
  <si>
    <t xml:space="preserve">CRESCENT GLEN </t>
  </si>
  <si>
    <t>ENGLEWILD</t>
  </si>
  <si>
    <t xml:space="preserve">FAIR OAKS </t>
  </si>
  <si>
    <t>FERN (E)</t>
  </si>
  <si>
    <t>FULLERTON (PD2202-U2)</t>
  </si>
  <si>
    <t>GORDON (E)</t>
  </si>
  <si>
    <t xml:space="preserve">HARROW </t>
  </si>
  <si>
    <t xml:space="preserve">HOG </t>
  </si>
  <si>
    <t>HOOK WEST (E)</t>
  </si>
  <si>
    <t xml:space="preserve">LANNAN </t>
  </si>
  <si>
    <t xml:space="preserve">LINCOLN </t>
  </si>
  <si>
    <t>LITTLE DALTON</t>
  </si>
  <si>
    <t>MORGAN (E)</t>
  </si>
  <si>
    <t>SAWPIT</t>
  </si>
  <si>
    <t xml:space="preserve">SCHOOLHOUSE </t>
  </si>
  <si>
    <t xml:space="preserve">SIERRA MADRE DAM </t>
  </si>
  <si>
    <t xml:space="preserve">SIERRA MADRE VILLA </t>
  </si>
  <si>
    <t xml:space="preserve">SOMBRERO </t>
  </si>
  <si>
    <t xml:space="preserve">WEST RAVINE </t>
  </si>
  <si>
    <t xml:space="preserve">WILSON </t>
  </si>
  <si>
    <t>Debris Basins</t>
  </si>
  <si>
    <t>Cost Estimate of Debris Basins</t>
  </si>
  <si>
    <t>Basin Name</t>
  </si>
  <si>
    <t>Estimate of increased sediment removal required to operated debris basins as detention basins</t>
  </si>
  <si>
    <t>N Summerville</t>
  </si>
  <si>
    <t>Feasibility Studies, Surveys &amp; Design Data</t>
  </si>
  <si>
    <t>Engineering Designs &amp; Specifications</t>
  </si>
  <si>
    <t>Land Acquisition Cost</t>
  </si>
  <si>
    <t>Total Estimated Capital Cost</t>
  </si>
  <si>
    <t>Total Estimated Land Cost</t>
  </si>
  <si>
    <t>Annual Capital and Land Cost</t>
  </si>
  <si>
    <t>Annual Recharge (acre-ft/yr)</t>
  </si>
  <si>
    <t>Cost of Recharge ($/acre-ft)</t>
  </si>
  <si>
    <t>Unit cost includes management and acquisition costs and contingency</t>
  </si>
  <si>
    <t>Based on 3.375% annual discount rate and 50 yr project life</t>
  </si>
  <si>
    <t>Total Land Costs ($)</t>
  </si>
  <si>
    <t>Cost per acre-ft Recharged ($/acre-ft)</t>
  </si>
  <si>
    <t>9/282015</t>
  </si>
  <si>
    <t>Basin Assessment and Retrofit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</si>
</sst>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90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" xfId="0" applyFont="1" applyFill="1" applyBorder="1"/>
    <xf numFmtId="0" fontId="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3" xfId="0" applyNumberFormat="1" applyBorder="1"/>
    <xf numFmtId="0" fontId="1" fillId="0" borderId="1" xfId="0" applyFont="1" applyFill="1" applyBorder="1"/>
    <xf numFmtId="0" fontId="2" fillId="0" borderId="0" xfId="0" applyFont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Border="1"/>
    <xf numFmtId="3" fontId="0" fillId="0" borderId="4" xfId="0" applyNumberFormat="1" applyBorder="1"/>
    <xf numFmtId="164" fontId="0" fillId="0" borderId="4" xfId="0" applyNumberFormat="1" applyBorder="1"/>
    <xf numFmtId="3" fontId="0" fillId="0" borderId="3" xfId="0" applyNumberFormat="1" applyBorder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wrapText="1"/>
    </xf>
    <xf numFmtId="0" fontId="3" fillId="0" borderId="0" xfId="0" applyFont="1"/>
    <xf numFmtId="0" fontId="2" fillId="0" borderId="4" xfId="0" applyFont="1" applyBorder="1"/>
    <xf numFmtId="0" fontId="0" fillId="0" borderId="4" xfId="0" applyBorder="1"/>
    <xf numFmtId="164" fontId="2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1" fontId="0" fillId="0" borderId="0" xfId="0" applyNumberFormat="1"/>
    <xf numFmtId="0" fontId="0" fillId="0" borderId="0" xfId="0" applyAlignment="1">
      <alignment horizontal="left" wrapText="1"/>
    </xf>
    <xf numFmtId="0" fontId="0" fillId="0" borderId="0" xfId="1" applyNumberFormat="1" applyFont="1" applyFill="1" applyBorder="1" applyAlignment="1" applyProtection="1"/>
    <xf numFmtId="0" fontId="0" fillId="0" borderId="0" xfId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1" fillId="0" borderId="0" xfId="0" applyFont="1" applyFill="1" applyBorder="1"/>
    <xf numFmtId="0" fontId="0" fillId="0" borderId="0" xfId="0" applyFill="1" applyAlignment="1">
      <alignment horizontal="center"/>
    </xf>
    <xf numFmtId="5" fontId="2" fillId="0" borderId="0" xfId="0" applyNumberFormat="1" applyFont="1" applyFill="1" applyBorder="1"/>
    <xf numFmtId="164" fontId="0" fillId="0" borderId="0" xfId="0" applyNumberFormat="1" applyFill="1"/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9" fontId="0" fillId="0" borderId="0" xfId="0" applyNumberFormat="1" applyFill="1" applyBorder="1" applyAlignment="1">
      <alignment horizontal="center"/>
    </xf>
    <xf numFmtId="6" fontId="0" fillId="0" borderId="0" xfId="0" applyNumberFormat="1" applyFill="1"/>
    <xf numFmtId="0" fontId="1" fillId="0" borderId="0" xfId="0" applyFont="1" applyFill="1"/>
    <xf numFmtId="0" fontId="0" fillId="0" borderId="0" xfId="0" applyFill="1" applyBorder="1"/>
    <xf numFmtId="3" fontId="0" fillId="0" borderId="0" xfId="0" applyNumberFormat="1" applyFill="1"/>
    <xf numFmtId="0" fontId="0" fillId="0" borderId="4" xfId="0" applyBorder="1" applyAlignment="1">
      <alignment horizontal="center"/>
    </xf>
    <xf numFmtId="8" fontId="0" fillId="0" borderId="0" xfId="0" applyNumberFormat="1"/>
    <xf numFmtId="0" fontId="1" fillId="0" borderId="4" xfId="0" applyFont="1" applyBorder="1" applyAlignment="1">
      <alignment horizontal="left" vertical="center"/>
    </xf>
    <xf numFmtId="3" fontId="0" fillId="0" borderId="4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Layout" zoomScaleNormal="100" workbookViewId="0">
      <selection activeCell="A4" sqref="A4"/>
    </sheetView>
  </sheetViews>
  <sheetFormatPr defaultRowHeight="13.2" x14ac:dyDescent="0.25"/>
  <cols>
    <col min="1" max="1" width="48.5546875" customWidth="1"/>
    <col min="2" max="2" width="18.88671875" customWidth="1"/>
    <col min="3" max="3" width="17.88671875" customWidth="1"/>
    <col min="4" max="4" width="15.33203125" customWidth="1"/>
    <col min="5" max="5" width="24.33203125" customWidth="1"/>
    <col min="6" max="10" width="20.6640625" customWidth="1"/>
    <col min="11" max="12" width="12.6640625" customWidth="1"/>
  </cols>
  <sheetData>
    <row r="1" spans="1:6" ht="17.399999999999999" x14ac:dyDescent="0.3">
      <c r="A1" s="58" t="s">
        <v>68</v>
      </c>
      <c r="B1" s="21"/>
      <c r="C1" s="21"/>
      <c r="D1" s="21"/>
      <c r="E1" s="21"/>
    </row>
    <row r="2" spans="1:6" x14ac:dyDescent="0.25">
      <c r="B2" s="10"/>
      <c r="C2" s="10"/>
      <c r="D2" s="10"/>
      <c r="E2" s="10"/>
    </row>
    <row r="3" spans="1:6" s="49" customFormat="1" x14ac:dyDescent="0.25">
      <c r="B3" s="52" t="str">
        <f>DebrisBasins!$A$5</f>
        <v>Debris Basins</v>
      </c>
      <c r="C3" s="52"/>
      <c r="D3" s="52"/>
      <c r="E3" s="52"/>
      <c r="F3" s="52"/>
    </row>
    <row r="4" spans="1:6" x14ac:dyDescent="0.25">
      <c r="A4" s="50"/>
      <c r="B4" s="13"/>
      <c r="C4" s="13"/>
      <c r="D4" s="13"/>
      <c r="E4" s="13"/>
      <c r="F4" s="13"/>
    </row>
    <row r="5" spans="1:6" x14ac:dyDescent="0.25">
      <c r="C5" s="48"/>
      <c r="D5" s="48"/>
      <c r="E5" s="48"/>
      <c r="F5" s="48"/>
    </row>
    <row r="6" spans="1:6" x14ac:dyDescent="0.25">
      <c r="A6" s="50"/>
      <c r="B6" s="13"/>
      <c r="C6" s="13"/>
      <c r="D6" s="13"/>
      <c r="E6" s="13"/>
      <c r="F6" s="13"/>
    </row>
    <row r="7" spans="1:6" x14ac:dyDescent="0.25">
      <c r="A7" s="51" t="s">
        <v>35</v>
      </c>
      <c r="B7" s="46">
        <f>ROUND(DebrisBasins!$E$47/1000000,0)*1000000</f>
        <v>41000000</v>
      </c>
      <c r="C7" s="46"/>
      <c r="D7" s="46"/>
      <c r="E7" s="46"/>
      <c r="F7" s="46"/>
    </row>
    <row r="8" spans="1:6" x14ac:dyDescent="0.25">
      <c r="A8" s="50"/>
      <c r="B8" s="13"/>
      <c r="C8" s="13"/>
      <c r="D8" s="13"/>
      <c r="E8" s="13"/>
      <c r="F8" s="13"/>
    </row>
    <row r="9" spans="1:6" x14ac:dyDescent="0.25">
      <c r="A9" s="51" t="s">
        <v>82</v>
      </c>
      <c r="B9" s="46">
        <f>DebrisBasins!E49</f>
        <v>0</v>
      </c>
      <c r="C9" s="46"/>
      <c r="D9" s="46"/>
      <c r="E9" s="46"/>
      <c r="F9" s="46"/>
    </row>
    <row r="10" spans="1:6" x14ac:dyDescent="0.25">
      <c r="C10" s="13"/>
      <c r="D10" s="13"/>
      <c r="E10" s="13"/>
      <c r="F10" s="13"/>
    </row>
    <row r="11" spans="1:6" x14ac:dyDescent="0.25">
      <c r="A11" s="51" t="s">
        <v>36</v>
      </c>
      <c r="B11" s="46">
        <f>ROUND(DebrisBasins!E53/100000,0)*100000</f>
        <v>1300000</v>
      </c>
      <c r="C11" s="13"/>
      <c r="D11" s="13"/>
      <c r="E11" s="13"/>
      <c r="F11" s="13"/>
    </row>
    <row r="12" spans="1:6" x14ac:dyDescent="0.25">
      <c r="A12" s="50"/>
      <c r="B12" s="13"/>
      <c r="C12" s="13"/>
      <c r="D12" s="13"/>
      <c r="E12" s="13"/>
      <c r="F12" s="13"/>
    </row>
    <row r="13" spans="1:6" x14ac:dyDescent="0.25">
      <c r="A13" s="51" t="s">
        <v>39</v>
      </c>
      <c r="B13" s="13">
        <f>DebrisBasins!$N$4</f>
        <v>0</v>
      </c>
      <c r="C13" s="48"/>
      <c r="D13" s="48"/>
      <c r="E13" s="48"/>
      <c r="F13" s="48"/>
    </row>
    <row r="14" spans="1:6" x14ac:dyDescent="0.25">
      <c r="A14" s="50"/>
      <c r="B14" s="13"/>
      <c r="C14" s="48"/>
      <c r="D14" s="48"/>
      <c r="E14" s="48"/>
      <c r="F14" s="48"/>
    </row>
    <row r="15" spans="1:6" x14ac:dyDescent="0.25">
      <c r="A15" s="51" t="s">
        <v>38</v>
      </c>
      <c r="B15" s="48">
        <f>DebrisBasins!$B$20</f>
        <v>3270</v>
      </c>
      <c r="C15" s="48"/>
      <c r="D15" s="48"/>
      <c r="E15" s="48"/>
      <c r="F15" s="48"/>
    </row>
    <row r="16" spans="1:6" x14ac:dyDescent="0.25">
      <c r="A16" s="50"/>
      <c r="B16" s="48"/>
      <c r="C16" s="13"/>
      <c r="D16" s="13"/>
      <c r="E16" s="13"/>
      <c r="F16" s="13"/>
    </row>
    <row r="17" spans="1:6" x14ac:dyDescent="0.25">
      <c r="A17" s="51" t="s">
        <v>37</v>
      </c>
      <c r="B17" s="48">
        <f>DebrisBasins!$K$12</f>
        <v>0</v>
      </c>
      <c r="C17" s="46"/>
      <c r="D17" s="46"/>
      <c r="E17" s="46"/>
      <c r="F17" s="46"/>
    </row>
    <row r="18" spans="1:6" x14ac:dyDescent="0.25">
      <c r="A18" s="50"/>
      <c r="B18" s="13"/>
    </row>
    <row r="19" spans="1:6" x14ac:dyDescent="0.25">
      <c r="A19" s="86" t="s">
        <v>34</v>
      </c>
      <c r="B19" s="87">
        <f>86</f>
        <v>86</v>
      </c>
    </row>
    <row r="21" spans="1:6" x14ac:dyDescent="0.25">
      <c r="A21" s="6" t="s">
        <v>83</v>
      </c>
      <c r="B21" s="88">
        <f>ROUND((((-PMT(0.03375,50,$B$7+$B$9)+$B$11)/B19)/100),0)*100</f>
        <v>35000</v>
      </c>
    </row>
    <row r="23" spans="1:6" x14ac:dyDescent="0.25">
      <c r="A23" s="86" t="s">
        <v>34</v>
      </c>
      <c r="B23" s="87">
        <f>DebrisBasins!E55</f>
        <v>145</v>
      </c>
    </row>
    <row r="25" spans="1:6" x14ac:dyDescent="0.25">
      <c r="A25" s="6" t="s">
        <v>83</v>
      </c>
      <c r="B25" s="88">
        <f>ROUND((((-PMT(0.03375,50,$B$7+$B$9)+$B$11)/B23)/100),0)*100</f>
        <v>20800</v>
      </c>
      <c r="C25" s="85"/>
    </row>
    <row r="27" spans="1:6" x14ac:dyDescent="0.25">
      <c r="A27" s="86" t="s">
        <v>34</v>
      </c>
      <c r="B27" s="87">
        <f>230</f>
        <v>230</v>
      </c>
    </row>
    <row r="29" spans="1:6" x14ac:dyDescent="0.25">
      <c r="A29" s="6" t="s">
        <v>83</v>
      </c>
      <c r="B29" s="88">
        <f>ROUND((((-PMT(0.03375,50,$B$7+$B$9)+$B$11)/B27)/100),0)*100</f>
        <v>13100</v>
      </c>
    </row>
  </sheetData>
  <customSheetViews>
    <customSheetView guid="{677540D9-8F40-4EC3-92A4-0BE391DDD76E}" fitToPage="1">
      <selection activeCell="C3" sqref="C3"/>
      <pageMargins left="0.7" right="0.7" top="0.75" bottom="0.75" header="0.3" footer="0.3"/>
      <pageSetup scale="72" orientation="landscape" r:id="rId1"/>
    </customSheetView>
    <customSheetView guid="{0938481C-6147-45AE-A91B-B3C254F54487}" fitToPage="1">
      <pageMargins left="0.7" right="0.7" top="0.75" bottom="0.75" header="0.3" footer="0.3"/>
      <pageSetup scale="72" orientation="landscape" r:id="rId2"/>
    </customSheetView>
  </customSheetViews>
  <pageMargins left="0.7" right="0.7" top="0.75" bottom="0.75" header="0.3" footer="0.3"/>
  <pageSetup orientation="landscape"/>
  <headerFooter>
    <oddFooter>&amp;LLA Basin Stormwater Conservation Study_Project Costs&amp;R&amp;D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zoomScaleNormal="100" zoomScaleSheetLayoutView="50" zoomScalePageLayoutView="70" workbookViewId="0">
      <selection activeCell="B60" sqref="B60"/>
    </sheetView>
  </sheetViews>
  <sheetFormatPr defaultRowHeight="13.2" x14ac:dyDescent="0.25"/>
  <cols>
    <col min="1" max="1" width="54.6640625" customWidth="1"/>
    <col min="4" max="4" width="13.88671875" bestFit="1" customWidth="1"/>
    <col min="5" max="5" width="15.44140625" customWidth="1"/>
    <col min="10" max="10" width="18.6640625" customWidth="1"/>
    <col min="11" max="11" width="14" customWidth="1"/>
    <col min="12" max="12" width="11.88671875" customWidth="1"/>
    <col min="13" max="13" width="11.5546875" customWidth="1"/>
    <col min="14" max="14" width="13.33203125" customWidth="1"/>
    <col min="17" max="17" width="15" customWidth="1"/>
    <col min="18" max="18" width="26.33203125" customWidth="1"/>
    <col min="20" max="20" width="28.6640625" customWidth="1"/>
  </cols>
  <sheetData>
    <row r="1" spans="1:18" x14ac:dyDescent="0.25">
      <c r="A1" s="1" t="s">
        <v>10</v>
      </c>
    </row>
    <row r="2" spans="1:18" x14ac:dyDescent="0.25">
      <c r="A2" s="1" t="s">
        <v>71</v>
      </c>
    </row>
    <row r="3" spans="1:18" x14ac:dyDescent="0.25">
      <c r="A3" s="15" t="s">
        <v>84</v>
      </c>
    </row>
    <row r="5" spans="1:18" ht="13.8" thickBot="1" x14ac:dyDescent="0.3">
      <c r="A5" s="18" t="s">
        <v>67</v>
      </c>
      <c r="B5" s="19"/>
      <c r="C5" s="19"/>
      <c r="D5" s="19"/>
      <c r="E5" s="19"/>
    </row>
    <row r="7" spans="1:18" x14ac:dyDescent="0.25">
      <c r="A7" s="1" t="s">
        <v>0</v>
      </c>
      <c r="B7" s="3" t="s">
        <v>1</v>
      </c>
      <c r="C7" s="3" t="s">
        <v>2</v>
      </c>
      <c r="D7" s="4" t="s">
        <v>3</v>
      </c>
      <c r="E7" s="4" t="s">
        <v>4</v>
      </c>
      <c r="J7" s="42" t="s">
        <v>40</v>
      </c>
      <c r="K7" s="13"/>
      <c r="L7" s="13"/>
      <c r="M7" s="13"/>
    </row>
    <row r="8" spans="1:18" x14ac:dyDescent="0.25">
      <c r="A8" s="1"/>
      <c r="B8" s="1"/>
      <c r="C8" s="1"/>
      <c r="D8" s="5"/>
      <c r="E8" s="5"/>
      <c r="J8" s="13"/>
      <c r="K8" s="13"/>
      <c r="L8" s="13"/>
      <c r="M8" s="13"/>
    </row>
    <row r="9" spans="1:18" x14ac:dyDescent="0.25">
      <c r="A9" s="16" t="s">
        <v>43</v>
      </c>
      <c r="B9" s="7"/>
      <c r="C9" s="7"/>
      <c r="D9" s="8"/>
      <c r="E9" s="8"/>
      <c r="J9" s="43" t="s">
        <v>23</v>
      </c>
      <c r="K9" s="44"/>
      <c r="L9" s="39" t="s">
        <v>26</v>
      </c>
      <c r="M9" s="39" t="s">
        <v>28</v>
      </c>
    </row>
    <row r="10" spans="1:18" ht="12.75" customHeight="1" x14ac:dyDescent="0.25">
      <c r="A10" s="9" t="s">
        <v>42</v>
      </c>
      <c r="B10" s="10">
        <v>20</v>
      </c>
      <c r="C10" s="10" t="s">
        <v>5</v>
      </c>
      <c r="D10" s="11">
        <v>50000</v>
      </c>
      <c r="E10" s="2">
        <f>+B10*D10</f>
        <v>1000000</v>
      </c>
      <c r="J10" s="39" t="s">
        <v>24</v>
      </c>
      <c r="K10" s="39" t="s">
        <v>25</v>
      </c>
      <c r="L10" s="39" t="s">
        <v>27</v>
      </c>
      <c r="M10" s="39" t="s">
        <v>30</v>
      </c>
    </row>
    <row r="11" spans="1:18" ht="12.75" customHeight="1" x14ac:dyDescent="0.25">
      <c r="A11" s="9" t="s">
        <v>85</v>
      </c>
      <c r="B11" s="57">
        <v>552</v>
      </c>
      <c r="C11" s="23" t="s">
        <v>45</v>
      </c>
      <c r="D11" s="11">
        <v>20000</v>
      </c>
      <c r="E11" s="2">
        <f>+B11*D11</f>
        <v>11040000</v>
      </c>
      <c r="J11" s="13"/>
      <c r="K11" s="13"/>
      <c r="L11" s="13"/>
      <c r="M11" s="13"/>
    </row>
    <row r="12" spans="1:18" x14ac:dyDescent="0.25">
      <c r="A12" s="55" t="s">
        <v>7</v>
      </c>
      <c r="B12" s="84"/>
      <c r="C12" s="84"/>
      <c r="D12" s="37"/>
      <c r="E12" s="37">
        <f>SUM(E10:E11)</f>
        <v>12040000</v>
      </c>
      <c r="F12" s="30"/>
      <c r="J12" s="13">
        <v>0</v>
      </c>
      <c r="K12" s="40">
        <f>0.746*J12*3*30.4*24</f>
        <v>0</v>
      </c>
      <c r="L12" s="45">
        <v>0.15</v>
      </c>
      <c r="M12" s="46">
        <f>+K12*L12</f>
        <v>0</v>
      </c>
    </row>
    <row r="13" spans="1:18" x14ac:dyDescent="0.25">
      <c r="B13" s="13"/>
      <c r="C13" s="13"/>
      <c r="D13" s="2"/>
      <c r="E13" s="2"/>
      <c r="J13" s="13"/>
      <c r="K13" s="13"/>
      <c r="L13" s="13"/>
      <c r="M13" s="13"/>
      <c r="Q13" s="13"/>
      <c r="R13" s="46"/>
    </row>
    <row r="14" spans="1:18" x14ac:dyDescent="0.25">
      <c r="B14" s="13"/>
      <c r="C14" s="13"/>
      <c r="D14" s="2"/>
      <c r="E14" s="2"/>
      <c r="J14" s="39" t="s">
        <v>29</v>
      </c>
      <c r="K14" s="39" t="s">
        <v>28</v>
      </c>
      <c r="L14" s="39" t="s">
        <v>32</v>
      </c>
      <c r="N14" s="39"/>
      <c r="Q14" s="13"/>
      <c r="R14" s="46"/>
    </row>
    <row r="15" spans="1:18" x14ac:dyDescent="0.25">
      <c r="A15" s="16" t="s">
        <v>13</v>
      </c>
      <c r="B15" s="14"/>
      <c r="C15" s="14"/>
      <c r="D15" s="8"/>
      <c r="E15" s="8"/>
      <c r="J15" s="39"/>
      <c r="K15" s="39" t="s">
        <v>30</v>
      </c>
      <c r="L15" s="39" t="s">
        <v>33</v>
      </c>
      <c r="N15" s="39"/>
      <c r="Q15" s="13"/>
      <c r="R15" s="46"/>
    </row>
    <row r="16" spans="1:18" x14ac:dyDescent="0.25">
      <c r="A16" s="9" t="s">
        <v>11</v>
      </c>
      <c r="B16" s="13">
        <v>0</v>
      </c>
      <c r="C16" s="23" t="s">
        <v>12</v>
      </c>
      <c r="D16" s="11">
        <v>35000</v>
      </c>
      <c r="E16" s="11">
        <f t="shared" ref="E16" si="0">+B16*D16</f>
        <v>0</v>
      </c>
      <c r="J16" s="13"/>
      <c r="K16" s="13"/>
      <c r="L16" s="13"/>
      <c r="Q16" s="13"/>
      <c r="R16" s="46"/>
    </row>
    <row r="17" spans="1:18" x14ac:dyDescent="0.25">
      <c r="A17" s="55" t="s">
        <v>7</v>
      </c>
      <c r="B17" s="84"/>
      <c r="C17" s="84"/>
      <c r="D17" s="37"/>
      <c r="E17" s="37">
        <f>SUM(E16:E16)</f>
        <v>0</v>
      </c>
      <c r="J17" s="47"/>
      <c r="K17" s="46">
        <f>N42</f>
        <v>1282184.5048966384</v>
      </c>
      <c r="L17" s="13">
        <v>50</v>
      </c>
      <c r="N17" s="2"/>
      <c r="Q17" s="13"/>
      <c r="R17" s="46"/>
    </row>
    <row r="18" spans="1:18" x14ac:dyDescent="0.25">
      <c r="A18" s="12"/>
      <c r="B18" s="10"/>
      <c r="C18" s="10"/>
      <c r="D18" s="11"/>
      <c r="E18" s="2"/>
      <c r="F18" s="30"/>
      <c r="Q18" s="13"/>
      <c r="R18" s="46"/>
    </row>
    <row r="19" spans="1:18" x14ac:dyDescent="0.25">
      <c r="A19" s="29" t="s">
        <v>14</v>
      </c>
      <c r="B19" s="14"/>
      <c r="C19" s="14"/>
      <c r="D19" s="8"/>
      <c r="E19" s="8"/>
      <c r="J19" s="53" t="s">
        <v>44</v>
      </c>
      <c r="K19" s="89" t="s">
        <v>70</v>
      </c>
      <c r="L19" s="89"/>
      <c r="M19" s="89"/>
      <c r="N19" s="89"/>
      <c r="Q19" s="13"/>
      <c r="R19" s="46"/>
    </row>
    <row r="20" spans="1:18" x14ac:dyDescent="0.25">
      <c r="A20" s="31" t="s">
        <v>15</v>
      </c>
      <c r="B20" s="41">
        <v>3270</v>
      </c>
      <c r="C20" s="27" t="s">
        <v>6</v>
      </c>
      <c r="D20" s="28">
        <v>25</v>
      </c>
      <c r="E20" s="8">
        <f>+B20*D20</f>
        <v>81750</v>
      </c>
      <c r="J20" s="1"/>
      <c r="K20" s="89"/>
      <c r="L20" s="89"/>
      <c r="M20" s="89"/>
      <c r="N20" s="89"/>
      <c r="Q20" s="13"/>
      <c r="R20" s="46"/>
    </row>
    <row r="21" spans="1:18" x14ac:dyDescent="0.25">
      <c r="A21" t="s">
        <v>7</v>
      </c>
      <c r="B21" s="13"/>
      <c r="C21" s="13"/>
      <c r="D21" s="2"/>
      <c r="E21" s="2">
        <f>SUM(E20)</f>
        <v>81750</v>
      </c>
      <c r="J21" s="24" t="s">
        <v>69</v>
      </c>
      <c r="K21" s="24" t="s">
        <v>1</v>
      </c>
      <c r="L21" s="24" t="s">
        <v>2</v>
      </c>
      <c r="M21" s="56" t="s">
        <v>3</v>
      </c>
      <c r="N21" s="56" t="s">
        <v>4</v>
      </c>
      <c r="Q21" s="13"/>
      <c r="R21" s="46"/>
    </row>
    <row r="22" spans="1:18" x14ac:dyDescent="0.25">
      <c r="B22" s="13"/>
      <c r="C22" s="13"/>
      <c r="D22" s="2"/>
      <c r="E22" s="2"/>
      <c r="J22" t="s">
        <v>47</v>
      </c>
      <c r="K22" s="59">
        <v>277</v>
      </c>
      <c r="L22" s="23" t="s">
        <v>46</v>
      </c>
      <c r="M22" s="11">
        <v>33</v>
      </c>
      <c r="N22" s="2">
        <f>K22*M22</f>
        <v>9141</v>
      </c>
      <c r="Q22" s="13"/>
      <c r="R22" s="46"/>
    </row>
    <row r="23" spans="1:18" x14ac:dyDescent="0.25">
      <c r="A23" s="6" t="s">
        <v>41</v>
      </c>
      <c r="B23" s="14">
        <v>10</v>
      </c>
      <c r="C23" s="14" t="s">
        <v>8</v>
      </c>
      <c r="D23" s="34">
        <f>SUM(E10:E21)/2</f>
        <v>12121750</v>
      </c>
      <c r="E23" s="8">
        <f>D23*B23/100</f>
        <v>1212175</v>
      </c>
      <c r="F23" s="30"/>
      <c r="J23" t="s">
        <v>48</v>
      </c>
      <c r="K23" s="59">
        <v>824.56139533127657</v>
      </c>
      <c r="L23" s="23" t="s">
        <v>46</v>
      </c>
      <c r="M23" s="11">
        <v>33</v>
      </c>
      <c r="N23" s="2">
        <f t="shared" ref="N23:N41" si="1">K23*M23</f>
        <v>27210.526045932125</v>
      </c>
      <c r="Q23" s="13"/>
      <c r="R23" s="46"/>
    </row>
    <row r="24" spans="1:18" x14ac:dyDescent="0.25">
      <c r="A24" s="30" t="s">
        <v>41</v>
      </c>
      <c r="B24" s="13"/>
      <c r="C24" s="13"/>
      <c r="D24" s="2"/>
      <c r="E24" s="2">
        <f>SUM(E23)</f>
        <v>1212175</v>
      </c>
      <c r="J24" t="s">
        <v>49</v>
      </c>
      <c r="K24" s="59">
        <v>339.77616117961219</v>
      </c>
      <c r="L24" s="23" t="s">
        <v>46</v>
      </c>
      <c r="M24" s="11">
        <v>33</v>
      </c>
      <c r="N24" s="2">
        <f t="shared" si="1"/>
        <v>11212.613318927202</v>
      </c>
      <c r="Q24" s="13"/>
      <c r="R24" s="46"/>
    </row>
    <row r="25" spans="1:18" x14ac:dyDescent="0.25">
      <c r="B25" s="13"/>
      <c r="C25" s="13"/>
      <c r="D25" s="2"/>
      <c r="E25" s="2"/>
      <c r="J25" t="s">
        <v>50</v>
      </c>
      <c r="K25" s="59">
        <v>614.15607376398532</v>
      </c>
      <c r="L25" s="23" t="s">
        <v>46</v>
      </c>
      <c r="M25" s="11">
        <v>33</v>
      </c>
      <c r="N25" s="2">
        <f t="shared" si="1"/>
        <v>20267.150434211515</v>
      </c>
      <c r="Q25" s="13"/>
      <c r="R25" s="46"/>
    </row>
    <row r="26" spans="1:18" x14ac:dyDescent="0.25">
      <c r="A26" s="6" t="s">
        <v>9</v>
      </c>
      <c r="B26" s="14">
        <v>10</v>
      </c>
      <c r="C26" s="14" t="s">
        <v>8</v>
      </c>
      <c r="D26" s="34">
        <f>SUM(E10:E24)/2</f>
        <v>13333925</v>
      </c>
      <c r="E26" s="8">
        <f>D26*B26/100</f>
        <v>1333392.5</v>
      </c>
      <c r="J26" t="s">
        <v>51</v>
      </c>
      <c r="K26" s="59">
        <v>265.50876929667106</v>
      </c>
      <c r="L26" s="23" t="s">
        <v>46</v>
      </c>
      <c r="M26" s="11">
        <v>33</v>
      </c>
      <c r="N26" s="2">
        <f t="shared" si="1"/>
        <v>8761.7893867901457</v>
      </c>
      <c r="Q26" s="13"/>
      <c r="R26" s="46"/>
    </row>
    <row r="27" spans="1:18" x14ac:dyDescent="0.25">
      <c r="A27" t="s">
        <v>7</v>
      </c>
      <c r="B27" s="13"/>
      <c r="C27" s="13"/>
      <c r="D27" s="2"/>
      <c r="E27" s="2">
        <f>SUM(E26)</f>
        <v>1333392.5</v>
      </c>
      <c r="J27" t="s">
        <v>52</v>
      </c>
      <c r="K27" s="59">
        <v>470.56865837009053</v>
      </c>
      <c r="L27" s="23" t="s">
        <v>46</v>
      </c>
      <c r="M27" s="11">
        <v>33</v>
      </c>
      <c r="N27" s="2">
        <f t="shared" si="1"/>
        <v>15528.765726212987</v>
      </c>
      <c r="Q27" s="13"/>
      <c r="R27" s="46"/>
    </row>
    <row r="28" spans="1:18" x14ac:dyDescent="0.25">
      <c r="B28" s="13"/>
      <c r="C28" s="13"/>
      <c r="D28" s="2"/>
      <c r="E28" s="2"/>
      <c r="J28" t="s">
        <v>53</v>
      </c>
      <c r="K28" s="59">
        <v>929.65032350866954</v>
      </c>
      <c r="L28" s="23" t="s">
        <v>46</v>
      </c>
      <c r="M28" s="11">
        <v>33</v>
      </c>
      <c r="N28" s="2">
        <f t="shared" si="1"/>
        <v>30678.460675786097</v>
      </c>
      <c r="Q28" s="13"/>
      <c r="R28" s="46"/>
    </row>
    <row r="29" spans="1:18" x14ac:dyDescent="0.25">
      <c r="A29" s="6" t="s">
        <v>17</v>
      </c>
      <c r="B29" s="14"/>
      <c r="C29" s="14"/>
      <c r="D29" s="11"/>
      <c r="E29" s="11"/>
      <c r="J29" t="s">
        <v>54</v>
      </c>
      <c r="K29" s="59">
        <v>528.85018963819925</v>
      </c>
      <c r="L29" s="13" t="s">
        <v>46</v>
      </c>
      <c r="M29" s="11">
        <v>33</v>
      </c>
      <c r="N29" s="2">
        <f t="shared" si="1"/>
        <v>17452.056258060577</v>
      </c>
      <c r="Q29" s="13"/>
      <c r="R29" s="46"/>
    </row>
    <row r="30" spans="1:18" x14ac:dyDescent="0.25">
      <c r="A30" s="61" t="s">
        <v>72</v>
      </c>
      <c r="B30" s="62">
        <v>10</v>
      </c>
      <c r="C30" s="62" t="s">
        <v>8</v>
      </c>
      <c r="D30" s="36">
        <f>SUM(E10:E27)/2</f>
        <v>14667317.5</v>
      </c>
      <c r="E30" s="37">
        <f>D30*B30/100</f>
        <v>1466731.75</v>
      </c>
      <c r="J30" t="s">
        <v>55</v>
      </c>
      <c r="K30" s="59">
        <v>479.09860383903481</v>
      </c>
      <c r="L30" s="13" t="s">
        <v>46</v>
      </c>
      <c r="M30" s="11">
        <v>33</v>
      </c>
      <c r="N30" s="2">
        <f t="shared" si="1"/>
        <v>15810.253926688149</v>
      </c>
      <c r="Q30" s="13"/>
      <c r="R30" s="46"/>
    </row>
    <row r="31" spans="1:18" x14ac:dyDescent="0.25">
      <c r="A31" s="12" t="s">
        <v>73</v>
      </c>
      <c r="B31" s="57">
        <v>15</v>
      </c>
      <c r="C31" s="63" t="s">
        <v>8</v>
      </c>
      <c r="D31" s="35">
        <f>SUM(E10:E27)/2</f>
        <v>14667317.5</v>
      </c>
      <c r="E31" s="11">
        <f>D31*B31/100</f>
        <v>2200097.625</v>
      </c>
      <c r="J31" t="s">
        <v>56</v>
      </c>
      <c r="K31" s="59">
        <v>588.56623735715254</v>
      </c>
      <c r="L31" s="13" t="s">
        <v>46</v>
      </c>
      <c r="M31" s="11">
        <v>33</v>
      </c>
      <c r="N31" s="2">
        <f t="shared" si="1"/>
        <v>19422.685832786035</v>
      </c>
      <c r="Q31" s="13"/>
      <c r="R31" s="46"/>
    </row>
    <row r="32" spans="1:18" x14ac:dyDescent="0.25">
      <c r="A32" s="12" t="s">
        <v>22</v>
      </c>
      <c r="B32" s="10">
        <v>11</v>
      </c>
      <c r="C32" s="23" t="s">
        <v>8</v>
      </c>
      <c r="D32" s="35">
        <f>SUM(E10:E27)/2+SUM(D30:D31)+SUM(D33:D35)</f>
        <v>88003905</v>
      </c>
      <c r="E32" s="11">
        <f t="shared" ref="E32:E35" si="2">D32*B32/100</f>
        <v>9680429.5500000007</v>
      </c>
      <c r="J32" t="s">
        <v>57</v>
      </c>
      <c r="K32" s="59">
        <v>625.52933438924424</v>
      </c>
      <c r="L32" s="13" t="s">
        <v>46</v>
      </c>
      <c r="M32" s="11">
        <v>33</v>
      </c>
      <c r="N32" s="2">
        <f t="shared" si="1"/>
        <v>20642.46803484506</v>
      </c>
      <c r="Q32" s="13"/>
      <c r="R32" s="46"/>
    </row>
    <row r="33" spans="1:18" x14ac:dyDescent="0.25">
      <c r="A33" s="12" t="s">
        <v>18</v>
      </c>
      <c r="B33" s="10">
        <v>5</v>
      </c>
      <c r="C33" s="23" t="s">
        <v>8</v>
      </c>
      <c r="D33" s="35">
        <f>SUM(E10:E27)/2</f>
        <v>14667317.5</v>
      </c>
      <c r="E33" s="11">
        <f t="shared" si="2"/>
        <v>733365.875</v>
      </c>
      <c r="J33" t="s">
        <v>58</v>
      </c>
      <c r="K33" s="59">
        <v>8913.7930150467309</v>
      </c>
      <c r="L33" s="13" t="s">
        <v>46</v>
      </c>
      <c r="M33" s="11">
        <v>33</v>
      </c>
      <c r="N33" s="2">
        <f t="shared" si="1"/>
        <v>294155.16949654213</v>
      </c>
      <c r="Q33" s="13"/>
      <c r="R33" s="46"/>
    </row>
    <row r="34" spans="1:18" x14ac:dyDescent="0.25">
      <c r="A34" s="9" t="s">
        <v>19</v>
      </c>
      <c r="B34" s="57">
        <v>10</v>
      </c>
      <c r="C34" s="23" t="s">
        <v>8</v>
      </c>
      <c r="D34" s="35">
        <f>SUM(E10:E27)/2</f>
        <v>14667317.5</v>
      </c>
      <c r="E34" s="11">
        <f t="shared" si="2"/>
        <v>1466731.75</v>
      </c>
      <c r="J34" t="s">
        <v>59</v>
      </c>
      <c r="K34" s="59">
        <v>1124.5311443224823</v>
      </c>
      <c r="L34" s="13" t="s">
        <v>46</v>
      </c>
      <c r="M34" s="11">
        <v>33</v>
      </c>
      <c r="N34" s="2">
        <f t="shared" si="1"/>
        <v>37109.527762641919</v>
      </c>
      <c r="Q34" s="13"/>
      <c r="R34" s="46"/>
    </row>
    <row r="35" spans="1:18" x14ac:dyDescent="0.25">
      <c r="A35" s="17" t="s">
        <v>20</v>
      </c>
      <c r="B35" s="14">
        <v>10</v>
      </c>
      <c r="C35" s="24" t="s">
        <v>8</v>
      </c>
      <c r="D35" s="34">
        <f>SUM(E10:E27)/2</f>
        <v>14667317.5</v>
      </c>
      <c r="E35" s="8">
        <f t="shared" si="2"/>
        <v>1466731.75</v>
      </c>
      <c r="J35" t="s">
        <v>60</v>
      </c>
      <c r="K35" s="59">
        <v>9037.4772243464213</v>
      </c>
      <c r="L35" s="13" t="s">
        <v>46</v>
      </c>
      <c r="M35" s="11">
        <v>33</v>
      </c>
      <c r="N35" s="2">
        <f t="shared" si="1"/>
        <v>298236.74840343191</v>
      </c>
      <c r="Q35" s="13"/>
      <c r="R35" s="46"/>
    </row>
    <row r="36" spans="1:18" x14ac:dyDescent="0.25">
      <c r="A36" t="s">
        <v>7</v>
      </c>
      <c r="B36" s="13"/>
      <c r="C36" s="13"/>
      <c r="D36" s="2"/>
      <c r="E36" s="2">
        <f>SUM(E30:E35)</f>
        <v>17014088.300000001</v>
      </c>
      <c r="J36" t="s">
        <v>61</v>
      </c>
      <c r="K36" s="59">
        <v>904.12014743702252</v>
      </c>
      <c r="L36" s="13" t="s">
        <v>46</v>
      </c>
      <c r="M36" s="11">
        <v>33</v>
      </c>
      <c r="N36" s="2">
        <f t="shared" si="1"/>
        <v>29835.964865421742</v>
      </c>
      <c r="Q36" s="13"/>
      <c r="R36" s="46"/>
    </row>
    <row r="37" spans="1:18" ht="13.2" customHeight="1" x14ac:dyDescent="0.25">
      <c r="A37" s="20"/>
      <c r="B37" s="10"/>
      <c r="C37" s="10"/>
      <c r="D37" s="11"/>
      <c r="E37" s="22"/>
      <c r="J37" t="s">
        <v>62</v>
      </c>
      <c r="K37" s="59">
        <v>2160.9195187992073</v>
      </c>
      <c r="L37" s="13" t="s">
        <v>46</v>
      </c>
      <c r="M37" s="11">
        <v>33</v>
      </c>
      <c r="N37" s="2">
        <f t="shared" si="1"/>
        <v>71310.344120373833</v>
      </c>
      <c r="O37" s="60"/>
      <c r="Q37" s="13"/>
      <c r="R37" s="46"/>
    </row>
    <row r="38" spans="1:18" x14ac:dyDescent="0.25">
      <c r="A38" s="6" t="s">
        <v>21</v>
      </c>
      <c r="B38" s="32"/>
      <c r="C38" s="32"/>
      <c r="D38" s="33"/>
      <c r="E38" s="33"/>
      <c r="J38" t="s">
        <v>63</v>
      </c>
      <c r="K38" s="59">
        <v>5718.6176081380345</v>
      </c>
      <c r="L38" s="13" t="s">
        <v>46</v>
      </c>
      <c r="M38" s="11">
        <v>33</v>
      </c>
      <c r="N38" s="2">
        <f t="shared" si="1"/>
        <v>188714.38106855514</v>
      </c>
      <c r="O38" s="60"/>
      <c r="Q38" s="13"/>
      <c r="R38" s="46"/>
    </row>
    <row r="39" spans="1:18" x14ac:dyDescent="0.25">
      <c r="A39" s="25" t="s">
        <v>21</v>
      </c>
      <c r="B39" s="26">
        <v>30</v>
      </c>
      <c r="C39" s="27" t="s">
        <v>8</v>
      </c>
      <c r="D39" s="38">
        <f>SUM(E10:E36)/2</f>
        <v>31681405.799999997</v>
      </c>
      <c r="E39" s="28">
        <f>D39*B39/100</f>
        <v>9504421.7399999984</v>
      </c>
      <c r="J39" t="s">
        <v>64</v>
      </c>
      <c r="K39" s="59">
        <v>312.50238478620867</v>
      </c>
      <c r="L39" s="13" t="s">
        <v>46</v>
      </c>
      <c r="M39" s="11">
        <v>33</v>
      </c>
      <c r="N39" s="2">
        <f t="shared" si="1"/>
        <v>10312.578697944886</v>
      </c>
      <c r="Q39" s="13"/>
      <c r="R39" s="46"/>
    </row>
    <row r="40" spans="1:18" x14ac:dyDescent="0.25">
      <c r="A40" t="s">
        <v>7</v>
      </c>
      <c r="B40" s="13"/>
      <c r="C40" s="13"/>
      <c r="D40" s="2"/>
      <c r="E40" s="2">
        <f>SUM(E39)</f>
        <v>9504421.7399999984</v>
      </c>
      <c r="J40" t="s">
        <v>65</v>
      </c>
      <c r="K40" s="59">
        <v>557.46036954706915</v>
      </c>
      <c r="L40" s="13" t="s">
        <v>46</v>
      </c>
      <c r="M40" s="11">
        <v>33</v>
      </c>
      <c r="N40" s="2">
        <f t="shared" si="1"/>
        <v>18396.192195053281</v>
      </c>
      <c r="Q40" s="13"/>
      <c r="R40" s="46"/>
    </row>
    <row r="41" spans="1:18" x14ac:dyDescent="0.25">
      <c r="B41" s="10"/>
      <c r="C41" s="10"/>
      <c r="D41" s="11"/>
      <c r="E41" s="11"/>
      <c r="J41" t="s">
        <v>66</v>
      </c>
      <c r="K41" s="59">
        <v>4181.3887468616213</v>
      </c>
      <c r="L41" s="13" t="s">
        <v>46</v>
      </c>
      <c r="M41" s="11">
        <v>33</v>
      </c>
      <c r="N41" s="2">
        <f t="shared" si="1"/>
        <v>137985.82864643351</v>
      </c>
      <c r="Q41" s="13"/>
      <c r="R41" s="46"/>
    </row>
    <row r="42" spans="1:18" x14ac:dyDescent="0.25">
      <c r="A42" s="29" t="s">
        <v>74</v>
      </c>
      <c r="B42" s="65"/>
      <c r="C42" s="65"/>
      <c r="D42" s="66"/>
      <c r="E42" s="66"/>
      <c r="J42" s="54" t="s">
        <v>7</v>
      </c>
      <c r="K42" s="55"/>
      <c r="L42" s="55"/>
      <c r="M42" s="55"/>
      <c r="N42" s="37">
        <f>SUM(N22:N41)</f>
        <v>1282184.5048966384</v>
      </c>
      <c r="Q42" s="13"/>
      <c r="R42" s="46"/>
    </row>
    <row r="43" spans="1:18" x14ac:dyDescent="0.25">
      <c r="A43" s="17" t="s">
        <v>16</v>
      </c>
      <c r="B43" s="67">
        <f>Y2*74/43560</f>
        <v>0</v>
      </c>
      <c r="C43" s="68" t="s">
        <v>12</v>
      </c>
      <c r="D43" s="69">
        <v>500000</v>
      </c>
      <c r="E43" s="69">
        <f>B43*D43</f>
        <v>0</v>
      </c>
      <c r="F43" s="70" t="s">
        <v>80</v>
      </c>
      <c r="Q43" s="13"/>
      <c r="R43" s="46"/>
    </row>
    <row r="44" spans="1:18" x14ac:dyDescent="0.25">
      <c r="A44" s="70" t="s">
        <v>7</v>
      </c>
      <c r="B44" s="71"/>
      <c r="C44" s="71"/>
      <c r="D44" s="72"/>
      <c r="E44" s="72">
        <f>SUM(E43)</f>
        <v>0</v>
      </c>
      <c r="F44" s="64"/>
      <c r="G44" s="64"/>
      <c r="Q44" s="13"/>
      <c r="R44" s="46"/>
    </row>
    <row r="45" spans="1:18" x14ac:dyDescent="0.25">
      <c r="A45" s="64"/>
      <c r="B45" s="64"/>
      <c r="C45" s="64"/>
      <c r="D45" s="64"/>
      <c r="E45" s="64"/>
      <c r="G45" s="64"/>
      <c r="Q45" s="13"/>
      <c r="R45" s="46"/>
    </row>
    <row r="46" spans="1:18" x14ac:dyDescent="0.25">
      <c r="A46" s="64"/>
      <c r="B46" s="64"/>
      <c r="C46" s="64"/>
      <c r="D46" s="64"/>
      <c r="E46" s="64"/>
      <c r="F46" s="64"/>
      <c r="G46" s="64"/>
      <c r="Q46" s="13"/>
      <c r="R46" s="46"/>
    </row>
    <row r="47" spans="1:18" x14ac:dyDescent="0.25">
      <c r="A47" s="73" t="s">
        <v>75</v>
      </c>
      <c r="B47" s="57"/>
      <c r="C47" s="64"/>
      <c r="D47" s="74"/>
      <c r="E47" s="75">
        <f>SUM(E10:E40)/2</f>
        <v>41185827.539999992</v>
      </c>
      <c r="F47" s="64"/>
      <c r="G47" s="64"/>
      <c r="Q47" s="13"/>
      <c r="R47" s="46"/>
    </row>
    <row r="48" spans="1:18" x14ac:dyDescent="0.25">
      <c r="A48" s="64"/>
      <c r="B48" s="57"/>
      <c r="C48" s="57"/>
      <c r="D48" s="77"/>
      <c r="E48" s="78"/>
      <c r="F48" s="64"/>
      <c r="G48" s="64"/>
      <c r="Q48" s="13"/>
      <c r="R48" s="46"/>
    </row>
    <row r="49" spans="1:18" x14ac:dyDescent="0.25">
      <c r="A49" s="73" t="s">
        <v>76</v>
      </c>
      <c r="B49" s="79"/>
      <c r="C49" s="57"/>
      <c r="D49" s="77"/>
      <c r="E49" s="76">
        <f>E44</f>
        <v>0</v>
      </c>
      <c r="F49" s="76"/>
      <c r="G49" s="76"/>
      <c r="Q49" s="13"/>
      <c r="R49" s="46"/>
    </row>
    <row r="50" spans="1:18" x14ac:dyDescent="0.25">
      <c r="A50" s="64"/>
      <c r="B50" s="57"/>
      <c r="C50" s="57"/>
      <c r="D50" s="77"/>
      <c r="E50" s="77"/>
      <c r="F50" s="64"/>
      <c r="G50" s="64"/>
      <c r="Q50" s="13"/>
      <c r="R50" s="46"/>
    </row>
    <row r="51" spans="1:18" x14ac:dyDescent="0.25">
      <c r="A51" s="73" t="s">
        <v>77</v>
      </c>
      <c r="B51" s="64"/>
      <c r="C51" s="64"/>
      <c r="D51" s="64"/>
      <c r="E51" s="80">
        <f>+PMT(0.03375,50,-E47-E49,0)</f>
        <v>1716512.3765471072</v>
      </c>
      <c r="F51" s="70" t="s">
        <v>81</v>
      </c>
      <c r="G51" s="64"/>
      <c r="Q51" s="13"/>
      <c r="R51" s="46"/>
    </row>
    <row r="52" spans="1:18" x14ac:dyDescent="0.25">
      <c r="A52" s="64"/>
      <c r="B52" s="64"/>
      <c r="C52" s="64"/>
      <c r="D52" s="64"/>
      <c r="E52" s="64"/>
      <c r="F52" s="64"/>
      <c r="G52" s="64"/>
      <c r="Q52" s="13"/>
      <c r="R52" s="46"/>
    </row>
    <row r="53" spans="1:18" x14ac:dyDescent="0.25">
      <c r="A53" s="81" t="s">
        <v>31</v>
      </c>
      <c r="B53" s="82"/>
      <c r="C53" s="82"/>
      <c r="D53" s="77"/>
      <c r="E53" s="77">
        <f>K17+M12</f>
        <v>1282184.5048966384</v>
      </c>
      <c r="G53" s="64"/>
    </row>
    <row r="54" spans="1:18" x14ac:dyDescent="0.25">
      <c r="A54" s="73"/>
      <c r="B54" s="57"/>
      <c r="C54" s="57"/>
      <c r="D54" s="77"/>
      <c r="E54" s="77"/>
      <c r="F54" s="64"/>
      <c r="G54" s="64"/>
    </row>
    <row r="55" spans="1:18" x14ac:dyDescent="0.25">
      <c r="A55" s="81" t="s">
        <v>78</v>
      </c>
      <c r="B55" s="64"/>
      <c r="C55" s="64"/>
      <c r="D55" s="64"/>
      <c r="E55" s="83">
        <v>145</v>
      </c>
      <c r="F55" s="64"/>
      <c r="G55" s="64"/>
    </row>
    <row r="56" spans="1:18" x14ac:dyDescent="0.25">
      <c r="A56" s="82"/>
      <c r="B56" s="57"/>
      <c r="C56" s="57"/>
      <c r="D56" s="77"/>
      <c r="E56" s="77"/>
      <c r="F56" s="64"/>
      <c r="G56" s="64"/>
    </row>
    <row r="57" spans="1:18" x14ac:dyDescent="0.25">
      <c r="A57" s="73" t="s">
        <v>79</v>
      </c>
      <c r="B57" s="57"/>
      <c r="C57" s="57"/>
      <c r="D57" s="77"/>
      <c r="E57" s="77">
        <f>+(E51+E53)/E55</f>
        <v>20680.6681478879</v>
      </c>
      <c r="F57" s="64"/>
      <c r="G57" s="64"/>
    </row>
    <row r="58" spans="1:18" x14ac:dyDescent="0.25">
      <c r="A58" s="64"/>
      <c r="B58" s="64"/>
      <c r="C58" s="64"/>
      <c r="D58" s="64"/>
      <c r="E58" s="64"/>
      <c r="F58" s="64"/>
      <c r="G58" s="64"/>
    </row>
    <row r="59" spans="1:18" x14ac:dyDescent="0.25">
      <c r="A59" s="64"/>
      <c r="B59" s="64"/>
      <c r="C59" s="64"/>
      <c r="D59" s="64"/>
      <c r="E59" s="64"/>
      <c r="F59" s="64"/>
      <c r="G59" s="64"/>
    </row>
    <row r="60" spans="1:18" x14ac:dyDescent="0.25">
      <c r="A60" s="64"/>
      <c r="B60" s="64"/>
      <c r="C60" s="64"/>
      <c r="D60" s="64"/>
      <c r="E60" s="64"/>
      <c r="F60" s="64"/>
      <c r="G60" s="64"/>
    </row>
    <row r="61" spans="1:18" x14ac:dyDescent="0.25">
      <c r="F61" s="64"/>
      <c r="G61" s="64"/>
    </row>
    <row r="62" spans="1:18" x14ac:dyDescent="0.25">
      <c r="F62" s="64"/>
      <c r="G62" s="64"/>
    </row>
  </sheetData>
  <customSheetViews>
    <customSheetView guid="{677540D9-8F40-4EC3-92A4-0BE391DDD76E}" fitToPage="1" topLeftCell="A9">
      <selection activeCell="B23" sqref="B23:B24"/>
      <pageMargins left="0.75" right="0.75" top="1" bottom="1" header="0.5" footer="0.5"/>
      <pageSetup scale="27" fitToHeight="2" orientation="portrait" r:id="rId1"/>
      <headerFooter alignWithMargins="0"/>
    </customSheetView>
    <customSheetView guid="{0938481C-6147-45AE-A91B-B3C254F54487}" fitToPage="1" topLeftCell="H1">
      <selection activeCell="P4" sqref="P4"/>
      <pageMargins left="0.75" right="0.75" top="1" bottom="1" header="0.5" footer="0.5"/>
      <pageSetup scale="27" fitToHeight="2" orientation="portrait" r:id="rId2"/>
      <headerFooter alignWithMargins="0"/>
    </customSheetView>
  </customSheetViews>
  <mergeCells count="1">
    <mergeCell ref="K19:N20"/>
  </mergeCells>
  <phoneticPr fontId="0" type="noConversion"/>
  <pageMargins left="0.75" right="0.75" top="1" bottom="1" header="0.5" footer="0.5"/>
  <pageSetup scale="55" orientation="landscape"/>
  <headerFooter alignWithMargins="0">
    <oddFooter>&amp;LLA Basin Stormwater Conservation Study_Project Costs&amp;R&amp;D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DebrisBasins</vt:lpstr>
      <vt:lpstr>DebrisBasins!Print_Area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Bral</dc:creator>
  <cp:lastModifiedBy>Summerville, Nathaniel/SCO</cp:lastModifiedBy>
  <cp:lastPrinted>2015-08-07T22:59:14Z</cp:lastPrinted>
  <dcterms:created xsi:type="dcterms:W3CDTF">2002-10-09T16:06:11Z</dcterms:created>
  <dcterms:modified xsi:type="dcterms:W3CDTF">2015-10-13T15:46:23Z</dcterms:modified>
</cp:coreProperties>
</file>