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HERON\Projects\Los Angeles County DPW\477376WatershedCall\LABasinStormwaterCaptureStudy\Report\AppendixD_Cost\"/>
    </mc:Choice>
  </mc:AlternateContent>
  <bookViews>
    <workbookView xWindow="360" yWindow="108" windowWidth="11340" windowHeight="8328" activeTab="9"/>
  </bookViews>
  <sheets>
    <sheet name="Title" sheetId="31" r:id="rId1"/>
    <sheet name="Summary" sheetId="8" r:id="rId2"/>
    <sheet name="Reach 0" sheetId="3" r:id="rId3"/>
    <sheet name="Reach 1" sheetId="24" r:id="rId4"/>
    <sheet name="Reach 2" sheetId="25" r:id="rId5"/>
    <sheet name="Reach 3" sheetId="26" r:id="rId6"/>
    <sheet name="Reach 4" sheetId="27" r:id="rId7"/>
    <sheet name="Reach 5" sheetId="28" r:id="rId8"/>
    <sheet name="Reach 6" sheetId="29" r:id="rId9"/>
    <sheet name="Reach 7" sheetId="30" r:id="rId10"/>
  </sheets>
  <definedNames>
    <definedName name="_xlnm.Print_Area" localSheetId="2">'Reach 0'!$A$1:$R$76</definedName>
    <definedName name="_xlnm.Print_Area" localSheetId="3">'Reach 1'!$A$1:$Q$64</definedName>
    <definedName name="_xlnm.Print_Area" localSheetId="4">'Reach 2'!$A$1:$R$66</definedName>
    <definedName name="_xlnm.Print_Area" localSheetId="5">'Reach 3'!$A$1:$Q$64</definedName>
    <definedName name="_xlnm.Print_Area" localSheetId="6">'Reach 4'!$A$1:$R$64</definedName>
    <definedName name="_xlnm.Print_Area" localSheetId="7">'Reach 5'!$A$1:$Q$64</definedName>
    <definedName name="_xlnm.Print_Area" localSheetId="8">'Reach 6'!$A$1:$Q$64</definedName>
    <definedName name="_xlnm.Print_Area" localSheetId="9">'Reach 7'!$A$1:$Q$64</definedName>
    <definedName name="_xlnm.Print_Area" localSheetId="1">Summary!$A$1:$K$25</definedName>
  </definedNames>
  <calcPr calcId="152511"/>
</workbook>
</file>

<file path=xl/calcChain.xml><?xml version="1.0" encoding="utf-8"?>
<calcChain xmlns="http://schemas.openxmlformats.org/spreadsheetml/2006/main">
  <c r="B26" i="30" l="1"/>
  <c r="B26" i="29"/>
  <c r="B26" i="28"/>
  <c r="B26" i="27"/>
  <c r="B26" i="26"/>
  <c r="B28" i="25"/>
  <c r="B26" i="24"/>
  <c r="B38" i="3"/>
  <c r="B20" i="31" l="1"/>
  <c r="B28" i="31"/>
  <c r="B53" i="26" l="1"/>
  <c r="B53" i="29"/>
  <c r="E77" i="3" l="1"/>
  <c r="E71" i="3"/>
  <c r="K13" i="8" l="1"/>
  <c r="I13" i="8"/>
  <c r="H13" i="8"/>
  <c r="F13" i="8"/>
  <c r="E13" i="8"/>
  <c r="D13" i="8"/>
  <c r="E62" i="25" l="1"/>
  <c r="E65" i="24"/>
  <c r="E59" i="24"/>
  <c r="B65" i="3"/>
  <c r="E53" i="30" l="1"/>
  <c r="E54" i="30" s="1"/>
  <c r="E59" i="30" s="1"/>
  <c r="E53" i="29"/>
  <c r="E54" i="29" s="1"/>
  <c r="E59" i="29" s="1"/>
  <c r="J13" i="8" s="1"/>
  <c r="E65" i="3" l="1"/>
  <c r="E66" i="3" s="1"/>
  <c r="E68" i="25" l="1"/>
  <c r="B53" i="30" l="1"/>
  <c r="B53" i="28" l="1"/>
  <c r="E53" i="28" s="1"/>
  <c r="E54" i="28" s="1"/>
  <c r="E59" i="28" s="1"/>
  <c r="B53" i="27"/>
  <c r="E53" i="27" s="1"/>
  <c r="E54" i="27" s="1"/>
  <c r="E59" i="27" s="1"/>
  <c r="E53" i="26"/>
  <c r="E54" i="26" s="1"/>
  <c r="E59" i="26" s="1"/>
  <c r="G13" i="8" s="1"/>
  <c r="B10" i="31" s="1"/>
  <c r="B56" i="25"/>
  <c r="E56" i="25" s="1"/>
  <c r="E57" i="25" s="1"/>
  <c r="B53" i="24"/>
  <c r="E53" i="24" s="1"/>
  <c r="E54" i="24" s="1"/>
  <c r="B42" i="3"/>
  <c r="E22" i="27"/>
  <c r="E30" i="26"/>
  <c r="A2" i="24" l="1"/>
  <c r="A2" i="25"/>
  <c r="A2" i="26"/>
  <c r="A2" i="27"/>
  <c r="A2" i="28"/>
  <c r="A2" i="29"/>
  <c r="A2" i="30"/>
  <c r="A2" i="3"/>
  <c r="E65" i="28"/>
  <c r="E65" i="30"/>
  <c r="E65" i="29"/>
  <c r="E65" i="27"/>
  <c r="E65" i="26"/>
  <c r="A1" i="30" l="1"/>
  <c r="A3" i="30"/>
  <c r="A1" i="29"/>
  <c r="A3" i="29"/>
  <c r="A1" i="28"/>
  <c r="A3" i="28"/>
  <c r="A1" i="27"/>
  <c r="A3" i="27"/>
  <c r="A1" i="26"/>
  <c r="A3" i="26"/>
  <c r="A1" i="25"/>
  <c r="A3" i="25"/>
  <c r="A1" i="24"/>
  <c r="A3" i="24"/>
  <c r="A1" i="3"/>
  <c r="A3" i="3"/>
  <c r="I7" i="8" l="1"/>
  <c r="H7" i="8"/>
  <c r="F7" i="8"/>
  <c r="K7" i="8"/>
  <c r="D7" i="8"/>
  <c r="K19" i="8"/>
  <c r="J19" i="8"/>
  <c r="I19" i="8"/>
  <c r="H19" i="8"/>
  <c r="G19" i="8"/>
  <c r="F19" i="8"/>
  <c r="E19" i="8"/>
  <c r="K17" i="8"/>
  <c r="J17" i="8"/>
  <c r="I17" i="8"/>
  <c r="H17" i="8"/>
  <c r="G17" i="8"/>
  <c r="F17" i="8"/>
  <c r="E17" i="8"/>
  <c r="D17" i="8"/>
  <c r="G7" i="8"/>
  <c r="E7" i="8"/>
  <c r="K5" i="8"/>
  <c r="J5" i="8"/>
  <c r="I5" i="8"/>
  <c r="H5" i="8"/>
  <c r="G5" i="8"/>
  <c r="F5" i="8"/>
  <c r="E5" i="8"/>
  <c r="E22" i="30"/>
  <c r="E21" i="30"/>
  <c r="E20" i="30"/>
  <c r="E19" i="30"/>
  <c r="E18" i="30"/>
  <c r="E17" i="30"/>
  <c r="E16" i="30"/>
  <c r="E15" i="30"/>
  <c r="E14" i="30"/>
  <c r="E13" i="30"/>
  <c r="E12" i="30"/>
  <c r="E11" i="30"/>
  <c r="E10" i="30"/>
  <c r="N10" i="30" s="1"/>
  <c r="O10" i="30" s="1"/>
  <c r="E9" i="30"/>
  <c r="E22" i="29"/>
  <c r="E21" i="29"/>
  <c r="E20" i="29"/>
  <c r="E19" i="29"/>
  <c r="E18" i="29"/>
  <c r="E17" i="29"/>
  <c r="E16" i="29"/>
  <c r="E15" i="29"/>
  <c r="E14" i="29"/>
  <c r="E13" i="29"/>
  <c r="N10" i="29" s="1"/>
  <c r="O10" i="29" s="1"/>
  <c r="E12" i="29"/>
  <c r="E11" i="29"/>
  <c r="E10" i="29"/>
  <c r="E9" i="29"/>
  <c r="E30" i="30"/>
  <c r="E31" i="30" s="1"/>
  <c r="N26" i="30"/>
  <c r="K21" i="8" s="1"/>
  <c r="E26" i="30"/>
  <c r="E30" i="29"/>
  <c r="E31" i="29" s="1"/>
  <c r="N26" i="29"/>
  <c r="J21" i="8" s="1"/>
  <c r="E26" i="29"/>
  <c r="E22" i="28"/>
  <c r="E21" i="28"/>
  <c r="E20" i="28"/>
  <c r="E19" i="28"/>
  <c r="E18" i="28"/>
  <c r="E17" i="28"/>
  <c r="E16" i="28"/>
  <c r="E15" i="28"/>
  <c r="E14" i="28"/>
  <c r="E13" i="28"/>
  <c r="N11" i="28" s="1"/>
  <c r="O11" i="28" s="1"/>
  <c r="E12" i="28"/>
  <c r="E11" i="28"/>
  <c r="E10" i="28"/>
  <c r="E9" i="28"/>
  <c r="E30" i="28"/>
  <c r="E31" i="28" s="1"/>
  <c r="N26" i="28"/>
  <c r="P26" i="28" s="1"/>
  <c r="E26" i="28"/>
  <c r="E21" i="27"/>
  <c r="E20" i="27"/>
  <c r="E19" i="27"/>
  <c r="E18" i="27"/>
  <c r="E17" i="27"/>
  <c r="E16" i="27"/>
  <c r="E15" i="27"/>
  <c r="E14" i="27"/>
  <c r="E13" i="27"/>
  <c r="N10" i="27" s="1"/>
  <c r="O10" i="27" s="1"/>
  <c r="E12" i="27"/>
  <c r="E11" i="27"/>
  <c r="E10" i="27"/>
  <c r="E9" i="27"/>
  <c r="E30" i="27"/>
  <c r="E31" i="27" s="1"/>
  <c r="N26" i="27"/>
  <c r="P26" i="27" s="1"/>
  <c r="E26" i="27"/>
  <c r="E22" i="26"/>
  <c r="E21" i="26"/>
  <c r="E20" i="26"/>
  <c r="E19" i="26"/>
  <c r="E18" i="26"/>
  <c r="E17" i="26"/>
  <c r="E16" i="26"/>
  <c r="E15" i="26"/>
  <c r="E14" i="26"/>
  <c r="E13" i="26"/>
  <c r="N10" i="26" s="1"/>
  <c r="O10" i="26" s="1"/>
  <c r="E12" i="26"/>
  <c r="E11" i="26"/>
  <c r="E10" i="26"/>
  <c r="E9" i="26"/>
  <c r="E31" i="26"/>
  <c r="E26" i="26"/>
  <c r="N26" i="26"/>
  <c r="P26" i="26" s="1"/>
  <c r="E24" i="25"/>
  <c r="E23" i="25"/>
  <c r="E22" i="25"/>
  <c r="E21" i="25"/>
  <c r="E20" i="25"/>
  <c r="E19" i="25"/>
  <c r="E18" i="25"/>
  <c r="E17" i="25"/>
  <c r="E16" i="25"/>
  <c r="E15" i="25"/>
  <c r="E14" i="25"/>
  <c r="E13" i="25"/>
  <c r="N10" i="25" s="1"/>
  <c r="E12" i="25"/>
  <c r="E11" i="25"/>
  <c r="E10" i="25"/>
  <c r="E9" i="25"/>
  <c r="E33" i="25"/>
  <c r="E32" i="25"/>
  <c r="N26" i="25"/>
  <c r="P26" i="25" s="1"/>
  <c r="E28" i="25"/>
  <c r="E22" i="24"/>
  <c r="E21" i="24"/>
  <c r="E20" i="24"/>
  <c r="E19" i="24"/>
  <c r="E18" i="24"/>
  <c r="E17" i="24"/>
  <c r="E16" i="24"/>
  <c r="E15" i="24"/>
  <c r="E14" i="24"/>
  <c r="E13" i="24"/>
  <c r="N11" i="24" s="1"/>
  <c r="O11" i="24" s="1"/>
  <c r="E12" i="24"/>
  <c r="E11" i="24"/>
  <c r="E10" i="24"/>
  <c r="E9" i="24"/>
  <c r="E30" i="24"/>
  <c r="E26" i="24"/>
  <c r="N26" i="24"/>
  <c r="P26" i="24" s="1"/>
  <c r="E38" i="3"/>
  <c r="B14" i="31" l="1"/>
  <c r="E27" i="29"/>
  <c r="E23" i="27"/>
  <c r="E23" i="26"/>
  <c r="E34" i="25"/>
  <c r="O10" i="25"/>
  <c r="E31" i="24"/>
  <c r="E23" i="24"/>
  <c r="E25" i="25"/>
  <c r="E21" i="8"/>
  <c r="E23" i="28"/>
  <c r="E23" i="29"/>
  <c r="E23" i="30"/>
  <c r="P26" i="30"/>
  <c r="P26" i="29"/>
  <c r="E27" i="26"/>
  <c r="E27" i="30"/>
  <c r="J7" i="8"/>
  <c r="B24" i="31" s="1"/>
  <c r="I21" i="8"/>
  <c r="H21" i="8"/>
  <c r="G21" i="8"/>
  <c r="F21" i="8"/>
  <c r="D19" i="8"/>
  <c r="B16" i="31" s="1"/>
  <c r="E27" i="28"/>
  <c r="E27" i="27"/>
  <c r="E29" i="25"/>
  <c r="E27" i="24"/>
  <c r="E42" i="3"/>
  <c r="E43" i="3" s="1"/>
  <c r="E39" i="3"/>
  <c r="D33" i="30" l="1"/>
  <c r="E33" i="30" s="1"/>
  <c r="E34" i="30" s="1"/>
  <c r="N31" i="30" s="1"/>
  <c r="E63" i="30" s="1"/>
  <c r="D33" i="26"/>
  <c r="E33" i="26" s="1"/>
  <c r="D33" i="28"/>
  <c r="E33" i="28" s="1"/>
  <c r="D33" i="29"/>
  <c r="E33" i="29" s="1"/>
  <c r="E34" i="29" s="1"/>
  <c r="D33" i="27"/>
  <c r="E33" i="27" s="1"/>
  <c r="D36" i="25"/>
  <c r="E36" i="25" s="1"/>
  <c r="E37" i="25" s="1"/>
  <c r="D33" i="24"/>
  <c r="E33" i="24" s="1"/>
  <c r="E34" i="26" l="1"/>
  <c r="D36" i="26" s="1"/>
  <c r="E36" i="26" s="1"/>
  <c r="E37" i="26" s="1"/>
  <c r="D36" i="30"/>
  <c r="E36" i="30" s="1"/>
  <c r="E37" i="30" s="1"/>
  <c r="D45" i="30" s="1"/>
  <c r="E45" i="30" s="1"/>
  <c r="D39" i="25"/>
  <c r="E39" i="25" s="1"/>
  <c r="E40" i="25" s="1"/>
  <c r="D44" i="25" s="1"/>
  <c r="N31" i="26"/>
  <c r="E63" i="26" s="1"/>
  <c r="E34" i="28"/>
  <c r="E34" i="27"/>
  <c r="D36" i="27" s="1"/>
  <c r="E36" i="27" s="1"/>
  <c r="E37" i="27" s="1"/>
  <c r="N31" i="25"/>
  <c r="E66" i="25" s="1"/>
  <c r="E34" i="24"/>
  <c r="D43" i="30" l="1"/>
  <c r="E43" i="30" s="1"/>
  <c r="D40" i="30"/>
  <c r="E40" i="30" s="1"/>
  <c r="D40" i="27"/>
  <c r="E40" i="27" s="1"/>
  <c r="D45" i="26"/>
  <c r="E45" i="26" s="1"/>
  <c r="D41" i="26"/>
  <c r="E41" i="26" s="1"/>
  <c r="D44" i="26"/>
  <c r="E44" i="26" s="1"/>
  <c r="D43" i="26"/>
  <c r="E43" i="26" s="1"/>
  <c r="D40" i="26"/>
  <c r="E40" i="26" s="1"/>
  <c r="D43" i="25"/>
  <c r="E43" i="25" s="1"/>
  <c r="D44" i="30"/>
  <c r="E44" i="30" s="1"/>
  <c r="D41" i="30"/>
  <c r="E41" i="30" s="1"/>
  <c r="D36" i="24"/>
  <c r="E36" i="24" s="1"/>
  <c r="E37" i="24" s="1"/>
  <c r="D46" i="25"/>
  <c r="D48" i="25"/>
  <c r="E48" i="25" s="1"/>
  <c r="D47" i="25"/>
  <c r="E47" i="25" s="1"/>
  <c r="D43" i="27"/>
  <c r="E43" i="27" s="1"/>
  <c r="D44" i="27"/>
  <c r="E44" i="27" s="1"/>
  <c r="D45" i="27"/>
  <c r="E45" i="27" s="1"/>
  <c r="D41" i="27"/>
  <c r="N31" i="28"/>
  <c r="E63" i="28" s="1"/>
  <c r="D36" i="28"/>
  <c r="E36" i="28" s="1"/>
  <c r="E37" i="28" s="1"/>
  <c r="D44" i="28" s="1"/>
  <c r="E44" i="28" s="1"/>
  <c r="D36" i="29"/>
  <c r="E36" i="29" s="1"/>
  <c r="N31" i="29"/>
  <c r="E63" i="29" s="1"/>
  <c r="N31" i="27"/>
  <c r="E63" i="27" s="1"/>
  <c r="E44" i="25"/>
  <c r="N31" i="24"/>
  <c r="E63" i="24" s="1"/>
  <c r="D42" i="30" l="1"/>
  <c r="E42" i="30" s="1"/>
  <c r="E46" i="30" s="1"/>
  <c r="D49" i="30" s="1"/>
  <c r="E49" i="30" s="1"/>
  <c r="E50" i="30" s="1"/>
  <c r="E57" i="30" s="1"/>
  <c r="E61" i="30" s="1"/>
  <c r="E37" i="29"/>
  <c r="D44" i="29" s="1"/>
  <c r="E44" i="29" s="1"/>
  <c r="D40" i="28"/>
  <c r="E40" i="28" s="1"/>
  <c r="D42" i="27"/>
  <c r="E42" i="27" s="1"/>
  <c r="D42" i="26"/>
  <c r="E42" i="26" s="1"/>
  <c r="E46" i="26" s="1"/>
  <c r="D40" i="24"/>
  <c r="E40" i="24" s="1"/>
  <c r="E46" i="25"/>
  <c r="D45" i="25"/>
  <c r="E45" i="25" s="1"/>
  <c r="D43" i="28"/>
  <c r="E43" i="28" s="1"/>
  <c r="F15" i="8"/>
  <c r="D41" i="24"/>
  <c r="E41" i="24" s="1"/>
  <c r="D45" i="24"/>
  <c r="E45" i="24" s="1"/>
  <c r="D43" i="24"/>
  <c r="E43" i="24" s="1"/>
  <c r="D44" i="24"/>
  <c r="E44" i="24" s="1"/>
  <c r="G15" i="8"/>
  <c r="D41" i="28"/>
  <c r="E41" i="28" s="1"/>
  <c r="D45" i="28"/>
  <c r="E45" i="28" s="1"/>
  <c r="I15" i="8"/>
  <c r="K15" i="8"/>
  <c r="E41" i="27"/>
  <c r="D41" i="29" l="1"/>
  <c r="E41" i="29" s="1"/>
  <c r="D49" i="26"/>
  <c r="E49" i="26" s="1"/>
  <c r="E50" i="26" s="1"/>
  <c r="E57" i="26" s="1"/>
  <c r="E61" i="26" s="1"/>
  <c r="E67" i="26" s="1"/>
  <c r="G23" i="8" s="1"/>
  <c r="D40" i="29"/>
  <c r="E40" i="29" s="1"/>
  <c r="D42" i="28"/>
  <c r="E42" i="28" s="1"/>
  <c r="E46" i="28" s="1"/>
  <c r="D49" i="28" s="1"/>
  <c r="E49" i="28" s="1"/>
  <c r="E50" i="28" s="1"/>
  <c r="E46" i="27"/>
  <c r="D49" i="27" s="1"/>
  <c r="E49" i="27" s="1"/>
  <c r="E50" i="27" s="1"/>
  <c r="E49" i="25"/>
  <c r="D52" i="25" s="1"/>
  <c r="E52" i="25" s="1"/>
  <c r="E53" i="25" s="1"/>
  <c r="D42" i="24"/>
  <c r="E42" i="24" s="1"/>
  <c r="E46" i="24" s="1"/>
  <c r="D49" i="24" s="1"/>
  <c r="K9" i="8"/>
  <c r="D45" i="29"/>
  <c r="E45" i="29" s="1"/>
  <c r="D43" i="29"/>
  <c r="E43" i="29" s="1"/>
  <c r="G9" i="8" l="1"/>
  <c r="D42" i="29"/>
  <c r="E42" i="29" s="1"/>
  <c r="E46" i="29" s="1"/>
  <c r="E60" i="25"/>
  <c r="E67" i="30"/>
  <c r="K23" i="8" s="1"/>
  <c r="K11" i="8"/>
  <c r="G11" i="8"/>
  <c r="E57" i="28"/>
  <c r="E61" i="28" s="1"/>
  <c r="E49" i="24"/>
  <c r="E50" i="24" s="1"/>
  <c r="E57" i="24" s="1"/>
  <c r="E61" i="24" s="1"/>
  <c r="E67" i="24" s="1"/>
  <c r="E23" i="8" s="1"/>
  <c r="E15" i="8"/>
  <c r="J15" i="8"/>
  <c r="H15" i="8"/>
  <c r="E57" i="27"/>
  <c r="E61" i="27" s="1"/>
  <c r="E64" i="25" l="1"/>
  <c r="E70" i="25" s="1"/>
  <c r="F23" i="8" s="1"/>
  <c r="D49" i="29"/>
  <c r="E49" i="29" s="1"/>
  <c r="E50" i="29" s="1"/>
  <c r="F9" i="8"/>
  <c r="I9" i="8"/>
  <c r="H11" i="8"/>
  <c r="H9" i="8"/>
  <c r="F11" i="8" l="1"/>
  <c r="E57" i="29"/>
  <c r="E67" i="28"/>
  <c r="I23" i="8" s="1"/>
  <c r="I11" i="8"/>
  <c r="E67" i="27"/>
  <c r="H23" i="8" s="1"/>
  <c r="E11" i="8"/>
  <c r="E9" i="8"/>
  <c r="E61" i="29" l="1"/>
  <c r="J11" i="8" s="1"/>
  <c r="J9" i="8"/>
  <c r="E10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N10" i="3" s="1"/>
  <c r="O10" i="3" s="1"/>
  <c r="E21" i="3"/>
  <c r="N9" i="3" s="1"/>
  <c r="E20" i="3"/>
  <c r="E19" i="3"/>
  <c r="E18" i="3"/>
  <c r="E17" i="3"/>
  <c r="E16" i="3"/>
  <c r="E15" i="3"/>
  <c r="E14" i="3"/>
  <c r="E13" i="3"/>
  <c r="E12" i="3"/>
  <c r="E11" i="3"/>
  <c r="E9" i="3"/>
  <c r="E67" i="29" l="1"/>
  <c r="J23" i="8" s="1"/>
  <c r="O9" i="3"/>
  <c r="O11" i="3" s="1"/>
  <c r="E35" i="3"/>
  <c r="D45" i="3" s="1"/>
  <c r="E45" i="3" s="1"/>
  <c r="E46" i="3" l="1"/>
  <c r="D48" i="3" s="1"/>
  <c r="D5" i="8"/>
  <c r="N18" i="3" l="1"/>
  <c r="P29" i="3" s="1"/>
  <c r="D21" i="8" l="1"/>
  <c r="B18" i="31" s="1"/>
  <c r="E48" i="3" l="1"/>
  <c r="E49" i="3" l="1"/>
  <c r="D56" i="3" s="1"/>
  <c r="D52" i="3" l="1"/>
  <c r="E52" i="3" s="1"/>
  <c r="D53" i="3"/>
  <c r="E53" i="3" s="1"/>
  <c r="D57" i="3"/>
  <c r="E57" i="3" s="1"/>
  <c r="D55" i="3"/>
  <c r="E55" i="3" s="1"/>
  <c r="N23" i="3"/>
  <c r="E75" i="3" s="1"/>
  <c r="E56" i="3"/>
  <c r="D54" i="3" l="1"/>
  <c r="E54" i="3" s="1"/>
  <c r="E58" i="3" s="1"/>
  <c r="D61" i="3" l="1"/>
  <c r="E61" i="3" s="1"/>
  <c r="E62" i="3" s="1"/>
  <c r="E69" i="3" s="1"/>
  <c r="E73" i="3" s="1"/>
  <c r="E79" i="3" s="1"/>
  <c r="D11" i="8" l="1"/>
  <c r="D9" i="8"/>
  <c r="B8" i="31" s="1"/>
  <c r="D23" i="8" l="1"/>
  <c r="D15" i="8"/>
  <c r="B12" i="31" s="1"/>
  <c r="B22" i="31" s="1"/>
  <c r="B26" i="31" l="1"/>
  <c r="B30" i="31"/>
</calcChain>
</file>

<file path=xl/sharedStrings.xml><?xml version="1.0" encoding="utf-8"?>
<sst xmlns="http://schemas.openxmlformats.org/spreadsheetml/2006/main" count="927" uniqueCount="160">
  <si>
    <t>Description</t>
  </si>
  <si>
    <t>Quantity</t>
  </si>
  <si>
    <t>Unit</t>
  </si>
  <si>
    <t>Unit Cost</t>
  </si>
  <si>
    <t>Total Cost</t>
  </si>
  <si>
    <t>feet</t>
  </si>
  <si>
    <t>SUBTOTAL</t>
  </si>
  <si>
    <t>%</t>
  </si>
  <si>
    <t>GENERAL CONDITIONS</t>
  </si>
  <si>
    <t>LACDPW Basin Study</t>
  </si>
  <si>
    <t>Engineering, Legal, Permitting</t>
  </si>
  <si>
    <t>Legal</t>
  </si>
  <si>
    <t>Permitting</t>
  </si>
  <si>
    <t>Construction Management</t>
  </si>
  <si>
    <t>Contingency</t>
  </si>
  <si>
    <t>Project Management</t>
  </si>
  <si>
    <t>Power</t>
  </si>
  <si>
    <t>(hp)</t>
  </si>
  <si>
    <t>(kw-hr)</t>
  </si>
  <si>
    <t>Power Cost</t>
  </si>
  <si>
    <t>($/kw-hr)</t>
  </si>
  <si>
    <t>Annual Cost</t>
  </si>
  <si>
    <t>O&amp;M Costs</t>
  </si>
  <si>
    <t>% Construction</t>
  </si>
  <si>
    <t>($)</t>
  </si>
  <si>
    <t>Annual Operating Cost</t>
  </si>
  <si>
    <t>Project Life</t>
  </si>
  <si>
    <t>(yrs)</t>
  </si>
  <si>
    <t>Annual Volume of Stormwater Conserved (acre-ft/yr)</t>
  </si>
  <si>
    <t>Total Capital Costs ($)</t>
  </si>
  <si>
    <t>Operations and Maintenance costs ($/yr)</t>
  </si>
  <si>
    <t>Annual Cost per acre-ft Recharged ($/yr)</t>
  </si>
  <si>
    <t>Energy Consumption (kw-hr/yr)</t>
  </si>
  <si>
    <t>Recreation Opportunities (linear feet of trail)</t>
  </si>
  <si>
    <t>Habitat Improvements (acres)</t>
  </si>
  <si>
    <t>Annual Recharge (acre-ft/yr)</t>
  </si>
  <si>
    <t>Operations</t>
  </si>
  <si>
    <t>LA Forebay Reach 0</t>
  </si>
  <si>
    <t>Channel Intake Modifications</t>
  </si>
  <si>
    <t>LS</t>
  </si>
  <si>
    <t>Connection Pipeline - 48-Inch</t>
  </si>
  <si>
    <t>LF</t>
  </si>
  <si>
    <t>Connection Pipeline Railroad Jack - 60 inch Casing</t>
  </si>
  <si>
    <t>Connection Pipeline Isolation Valve &amp; Vault</t>
  </si>
  <si>
    <t>Connection Pipeline Flow Meter &amp; Vault</t>
  </si>
  <si>
    <t>Pump Station Excavation</t>
  </si>
  <si>
    <t>CY</t>
  </si>
  <si>
    <t>Pump Station Excavation Shoring</t>
  </si>
  <si>
    <t>SF</t>
  </si>
  <si>
    <t>Pump Station Granular Backfill</t>
  </si>
  <si>
    <t>Pump Station Compacted Backfill</t>
  </si>
  <si>
    <t>Pump Station Excavated Material Disposal</t>
  </si>
  <si>
    <t>Pump Station Concrete</t>
  </si>
  <si>
    <t>Pump Station Hatches &amp; Miscellaneous Metals</t>
  </si>
  <si>
    <t>Pump Station Pumps w/ 200Hp Motors</t>
  </si>
  <si>
    <t>EA</t>
  </si>
  <si>
    <t>Pump Station Pumps VFD Drives</t>
  </si>
  <si>
    <t>Pump Station Discharge Piping &amp; Vaving</t>
  </si>
  <si>
    <t>Pump Station Outdoor Electrical Panel</t>
  </si>
  <si>
    <t>Pump Station SCADA Package</t>
  </si>
  <si>
    <t>SCE Electrical Service</t>
  </si>
  <si>
    <t>Extraction Well Piping</t>
  </si>
  <si>
    <t>Vadose Zone Injection Wells</t>
  </si>
  <si>
    <t>Vadose Zone Well Piping</t>
  </si>
  <si>
    <t>Reach Site Electrical</t>
  </si>
  <si>
    <t>Reach Recharge Area Clearing &amp; Grubbing</t>
  </si>
  <si>
    <t>SY</t>
  </si>
  <si>
    <t>Reach Recharge Area Excavation w/ Grading &amp; Disposal</t>
  </si>
  <si>
    <t>Bentonite Cutoff Walls - Three Transverse Walls</t>
  </si>
  <si>
    <t>Extraction Wells with 50 Hp Pumps</t>
  </si>
  <si>
    <t>Habitat Improvements</t>
  </si>
  <si>
    <t>Wetland Construction</t>
  </si>
  <si>
    <t>acres</t>
  </si>
  <si>
    <t>Property Acquisition</t>
  </si>
  <si>
    <t>Recreation Improvements</t>
  </si>
  <si>
    <t>Landscaped Trail</t>
  </si>
  <si>
    <t>LA Forebay Reach 1</t>
  </si>
  <si>
    <t>1. Area from northernmost triangular area to first railroad crossing.</t>
  </si>
  <si>
    <t>2. Calculated infiltration area = 1.5 acre. Aggregate infiltration area = 5.3 acres.</t>
  </si>
  <si>
    <t>Bentonite Cutoff Walls - 3 Transverse Walls @ 85 Ft/Ea.</t>
  </si>
  <si>
    <t>3. Reach length = 1,255 feet</t>
  </si>
  <si>
    <t>Tower Base Channel, Grading &amp; Rip-Rap Protection</t>
  </si>
  <si>
    <t>4. Electrical service an extension of the Reach 0 electrical service.</t>
  </si>
  <si>
    <t>5. One set of extraction and injection wells.</t>
  </si>
  <si>
    <t>Extraction Well Site Electrical Service</t>
  </si>
  <si>
    <t>Extraction &amp; Vadose Well MCC Panels &amp; SCADA Package</t>
  </si>
  <si>
    <t>Reach Electrical Service Extension</t>
  </si>
  <si>
    <t>Reach Outlet Pipe Structure</t>
  </si>
  <si>
    <t>Outlet Pipeline - 48-Inch</t>
  </si>
  <si>
    <t>Outlet Pipeline Railroad Track Jack - 60-Inch Casing</t>
  </si>
  <si>
    <t>1. Large triangular shaped area just south of Atlantic Avenue.</t>
  </si>
  <si>
    <t>2. Calculated useable area = 171,500 sf = 3.9 acres.</t>
  </si>
  <si>
    <t>3. Calculated infiltration area = 163,600 sf = 3.8 acres.</t>
  </si>
  <si>
    <t>5. Two sets of extraction wells (2 each set) and injection wells (4 each set).</t>
  </si>
  <si>
    <t>10% of useable area</t>
  </si>
  <si>
    <t>Reach length</t>
  </si>
  <si>
    <t>1. Area from railroad crossing to Slauson Avenue</t>
  </si>
  <si>
    <t>2. Calculated infiltration area = 2.4 acres. Aggregate infiltration area = 7.7 acres.</t>
  </si>
  <si>
    <t>Bentonite Cutoff Walls - 3 Transverse Walls @ 135 Ft/Ea.</t>
  </si>
  <si>
    <t>3. Reach length = 1,230 feet.</t>
  </si>
  <si>
    <t>4. One electrical feed from Slauson Ave.</t>
  </si>
  <si>
    <t>SCE Electrical Service from Slauson Avenue</t>
  </si>
  <si>
    <t>Access Roadway Modifications</t>
  </si>
  <si>
    <t>Outlet Pipeline Slauson Ave Jack - 60-Inch Casing</t>
  </si>
  <si>
    <t>LA Forebay Reach 2</t>
  </si>
  <si>
    <t>1. Area from Slauson Ave to next railroad crossing.</t>
  </si>
  <si>
    <t>2. Calculated infiltration area = 5.1 acres. Aggregte infiltration area = 12.8 acres.</t>
  </si>
  <si>
    <t>Bentonite Cutoff Walls - 4 Transverse Walls @ 140 Ft/Ea.</t>
  </si>
  <si>
    <t>3. Reach length = 2,530 feet.</t>
  </si>
  <si>
    <t>4. One electrical feed from Slauson w/ increased wire size for extra length.</t>
  </si>
  <si>
    <t>5. Three sets of extraction wells (2 each set) and injection wells (4 each set).</t>
  </si>
  <si>
    <t>LA Forebay Reach 3</t>
  </si>
  <si>
    <t>LA Forebay Reach 4</t>
  </si>
  <si>
    <t>1. Area from railroad crossing to Gage Avenue.</t>
  </si>
  <si>
    <t>2. Calculated infiltration area = 2.7 acres. Aggregte infiltration area = 15.5 acres.</t>
  </si>
  <si>
    <t>Bentonite Cutoff Walls - Two Transverse Walls @ 160 Ft/Ea.</t>
  </si>
  <si>
    <t>3. Reach length = 1,170 feet.</t>
  </si>
  <si>
    <t>4. One electrical feed from Gage Ave.</t>
  </si>
  <si>
    <t>LA Forebay Reach 5</t>
  </si>
  <si>
    <t>1. Area from Gage Avenue to Florence Avenue.</t>
  </si>
  <si>
    <t>2. Calculated infiltration area = 2.5 acres. Aggregte infiltration area = 18.0 acres.</t>
  </si>
  <si>
    <t>Bentonite Cutoff Walls - Four Transverse Walls @ 90 Ft/Ea.</t>
  </si>
  <si>
    <t>3. Reach length = 2,600 feet.</t>
  </si>
  <si>
    <t>4. Two electrical feeds, one from Gage Ave &amp; other from Florence Ave.</t>
  </si>
  <si>
    <t>1. Area from Florence Avenue to Clara Street.</t>
  </si>
  <si>
    <t>2. Calculated infiltration area = 1.4 acres. Aggregte infiltration area = 19.4 acres.</t>
  </si>
  <si>
    <t>Bentonite Cutoff Walls - Three Transverse Walls @ 95 Ft/Ea.</t>
  </si>
  <si>
    <t>3. Reach length = 1,355 feet.</t>
  </si>
  <si>
    <t>4. One electrical feed from Florence Ave.</t>
  </si>
  <si>
    <t>1. Area between 1st &amp; 2nd towers south of Clara Street.</t>
  </si>
  <si>
    <t>2. Calculated infiltration area = 0.7 acres. Aggregte infiltration area = 20.1 acres.</t>
  </si>
  <si>
    <t>Bentonite Cutoff Walls - Two Transverse Walls @ 100 Ft/Ea.</t>
  </si>
  <si>
    <t>4. One electrical feed from Clara Ave.</t>
  </si>
  <si>
    <t>Overflow Pipe Structure</t>
  </si>
  <si>
    <t>Overflow Pipeline - 48-Inch</t>
  </si>
  <si>
    <t>Channel Overflow Pipe Discharge Modifications</t>
  </si>
  <si>
    <t>LA Forebay Reach 6</t>
  </si>
  <si>
    <t>LA Forebay Reach 7</t>
  </si>
  <si>
    <t>Mobilization/Demobilization</t>
  </si>
  <si>
    <t>Cost Estimate of Regional Alternative Capture</t>
  </si>
  <si>
    <t>Regional Alternative Capture</t>
  </si>
  <si>
    <t>Based on 277.98 ac-ft/ac/yr</t>
  </si>
  <si>
    <t>N Summerville</t>
  </si>
  <si>
    <t>Included Above</t>
  </si>
  <si>
    <t>Extraction Wells with Pumps</t>
  </si>
  <si>
    <t>Annual Capital Cost ($/yr)</t>
  </si>
  <si>
    <t>Replacement Costs at 25 Years</t>
  </si>
  <si>
    <t>Replacement Items</t>
  </si>
  <si>
    <t>Feasibility Studies, Surveys &amp; Design Data</t>
  </si>
  <si>
    <t>Engineering Designs &amp; Specifications</t>
  </si>
  <si>
    <t>Acquire Gross Area (Assumed Gross Area=Infiltration Area/0.6)</t>
  </si>
  <si>
    <t>Land Acquisition Cost</t>
  </si>
  <si>
    <t>Unit cost includes management and acquisition costs and contingency</t>
  </si>
  <si>
    <t>Total Estimated Capital Cost</t>
  </si>
  <si>
    <t>Total Estimated Land Cost</t>
  </si>
  <si>
    <t>Annual Capital and Land Cost</t>
  </si>
  <si>
    <t>Based on 3.375% annual discount rate and 50 yr project life</t>
  </si>
  <si>
    <t>Cost of Recharge ($/acre-ft)</t>
  </si>
  <si>
    <t>Total Land Costs ($)</t>
  </si>
  <si>
    <t>Cost per acre-ft Recharged ($/acre-ft)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</si>
</sst>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&quot;$&quot;#,##0.00"/>
    <numFmt numFmtId="166" formatCode="0.0"/>
  </numFmts>
  <fonts count="1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8"/>
      <color rgb="FFFFFFFF"/>
      <name val="Calibri"/>
      <family val="2"/>
    </font>
    <font>
      <sz val="8"/>
      <color rgb="FF000000"/>
      <name val="Calibri"/>
      <family val="2"/>
    </font>
    <font>
      <sz val="10"/>
      <color rgb="FF000000"/>
      <name val="Arial"/>
      <family val="2"/>
    </font>
    <font>
      <b/>
      <u/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b/>
      <sz val="14"/>
      <name val="Arial"/>
      <family val="2"/>
    </font>
    <font>
      <sz val="11"/>
      <color rgb="FF9C65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1" fillId="2" borderId="0" applyNumberFormat="0" applyBorder="0" applyAlignment="0" applyProtection="0"/>
  </cellStyleXfs>
  <cellXfs count="153">
    <xf numFmtId="0" fontId="0" fillId="0" borderId="0" xfId="0"/>
    <xf numFmtId="0" fontId="1" fillId="0" borderId="0" xfId="0" applyFont="1"/>
    <xf numFmtId="164" fontId="0" fillId="0" borderId="0" xfId="0" applyNumberForma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1" xfId="0" applyNumberFormat="1" applyBorder="1"/>
    <xf numFmtId="0" fontId="2" fillId="0" borderId="0" xfId="0" applyFont="1" applyBorder="1"/>
    <xf numFmtId="0" fontId="0" fillId="0" borderId="0" xfId="0" applyBorder="1" applyAlignment="1">
      <alignment horizontal="center"/>
    </xf>
    <xf numFmtId="164" fontId="0" fillId="0" borderId="0" xfId="0" applyNumberFormat="1" applyBorder="1"/>
    <xf numFmtId="0" fontId="2" fillId="0" borderId="0" xfId="0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14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wrapText="1"/>
    </xf>
    <xf numFmtId="0" fontId="2" fillId="0" borderId="1" xfId="0" applyFont="1" applyFill="1" applyBorder="1"/>
    <xf numFmtId="0" fontId="1" fillId="0" borderId="2" xfId="0" applyFont="1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/>
    <xf numFmtId="164" fontId="0" fillId="0" borderId="4" xfId="0" applyNumberFormat="1" applyBorder="1"/>
    <xf numFmtId="0" fontId="6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7" fillId="0" borderId="0" xfId="0" applyFont="1" applyAlignment="1">
      <alignment horizontal="left"/>
    </xf>
    <xf numFmtId="0" fontId="2" fillId="0" borderId="1" xfId="0" applyFont="1" applyBorder="1" applyAlignment="1">
      <alignment horizontal="centerContinuous"/>
    </xf>
    <xf numFmtId="0" fontId="0" fillId="0" borderId="1" xfId="0" applyBorder="1" applyAlignment="1">
      <alignment horizontal="centerContinuous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" fontId="0" fillId="0" borderId="0" xfId="0" applyNumberFormat="1"/>
    <xf numFmtId="3" fontId="0" fillId="0" borderId="0" xfId="0" applyNumberFormat="1"/>
    <xf numFmtId="3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wrapText="1"/>
    </xf>
    <xf numFmtId="0" fontId="0" fillId="0" borderId="0" xfId="0" applyFill="1" applyBorder="1"/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5" fillId="0" borderId="0" xfId="0" applyFont="1" applyFill="1" applyBorder="1" applyAlignment="1">
      <alignment vertical="center" wrapText="1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1" fontId="8" fillId="0" borderId="0" xfId="0" applyNumberFormat="1" applyFont="1" applyBorder="1"/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1" fontId="0" fillId="0" borderId="0" xfId="0" applyNumberFormat="1" applyFont="1" applyBorder="1"/>
    <xf numFmtId="0" fontId="0" fillId="0" borderId="0" xfId="0" applyFont="1" applyBorder="1" applyAlignment="1">
      <alignment horizontal="left"/>
    </xf>
    <xf numFmtId="1" fontId="0" fillId="0" borderId="0" xfId="0" applyNumberFormat="1" applyFont="1" applyBorder="1" applyAlignment="1">
      <alignment horizontal="center"/>
    </xf>
    <xf numFmtId="0" fontId="1" fillId="0" borderId="0" xfId="0" applyFont="1" applyFill="1" applyBorder="1"/>
    <xf numFmtId="0" fontId="9" fillId="0" borderId="0" xfId="0" applyFont="1"/>
    <xf numFmtId="0" fontId="9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0" fontId="1" fillId="0" borderId="0" xfId="0" applyFont="1" applyBorder="1" applyAlignment="1">
      <alignment wrapText="1"/>
    </xf>
    <xf numFmtId="3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/>
    <xf numFmtId="165" fontId="2" fillId="0" borderId="0" xfId="0" applyNumberFormat="1" applyFont="1" applyBorder="1" applyAlignment="1">
      <alignment horizontal="center"/>
    </xf>
    <xf numFmtId="0" fontId="2" fillId="0" borderId="4" xfId="0" applyFont="1" applyFill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3" fontId="2" fillId="0" borderId="4" xfId="0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164" fontId="2" fillId="0" borderId="4" xfId="0" applyNumberFormat="1" applyFont="1" applyBorder="1"/>
    <xf numFmtId="2" fontId="0" fillId="0" borderId="0" xfId="0" applyNumberFormat="1" applyAlignment="1">
      <alignment horizontal="center"/>
    </xf>
    <xf numFmtId="0" fontId="10" fillId="0" borderId="0" xfId="0" applyFont="1"/>
    <xf numFmtId="166" fontId="0" fillId="0" borderId="0" xfId="0" applyNumberFormat="1"/>
    <xf numFmtId="165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8" fontId="0" fillId="0" borderId="0" xfId="0" applyNumberFormat="1"/>
    <xf numFmtId="8" fontId="2" fillId="0" borderId="0" xfId="0" applyNumberFormat="1" applyFont="1"/>
    <xf numFmtId="0" fontId="7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/>
    <xf numFmtId="0" fontId="0" fillId="0" borderId="0" xfId="0" applyFill="1"/>
    <xf numFmtId="0" fontId="2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Alignment="1">
      <alignment horizontal="center" vertical="center"/>
    </xf>
    <xf numFmtId="164" fontId="0" fillId="0" borderId="0" xfId="0" applyNumberFormat="1" applyFill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8" fontId="0" fillId="0" borderId="4" xfId="0" applyNumberFormat="1" applyBorder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1" applyNumberFormat="1" applyFont="1" applyFill="1" applyBorder="1" applyAlignment="1" applyProtection="1"/>
    <xf numFmtId="0" fontId="0" fillId="0" borderId="0" xfId="1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>
      <alignment horizontal="center"/>
    </xf>
    <xf numFmtId="6" fontId="0" fillId="0" borderId="0" xfId="0" applyNumberForma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Border="1" applyAlignment="1">
      <alignment wrapText="1"/>
    </xf>
    <xf numFmtId="164" fontId="0" fillId="0" borderId="0" xfId="0" applyNumberFormat="1" applyFill="1" applyBorder="1"/>
    <xf numFmtId="3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/>
    <xf numFmtId="0" fontId="2" fillId="0" borderId="0" xfId="0" applyFont="1" applyFill="1"/>
    <xf numFmtId="0" fontId="0" fillId="0" borderId="4" xfId="0" applyFill="1" applyBorder="1"/>
    <xf numFmtId="0" fontId="0" fillId="0" borderId="4" xfId="0" applyFill="1" applyBorder="1" applyAlignment="1">
      <alignment horizontal="center"/>
    </xf>
    <xf numFmtId="164" fontId="0" fillId="0" borderId="4" xfId="0" applyNumberFormat="1" applyFill="1" applyBorder="1"/>
    <xf numFmtId="0" fontId="0" fillId="0" borderId="0" xfId="0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/>
    <xf numFmtId="164" fontId="0" fillId="0" borderId="0" xfId="0" applyNumberFormat="1" applyFill="1"/>
    <xf numFmtId="1" fontId="2" fillId="0" borderId="4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64" fontId="2" fillId="0" borderId="4" xfId="0" applyNumberFormat="1" applyFont="1" applyFill="1" applyBorder="1"/>
    <xf numFmtId="164" fontId="2" fillId="0" borderId="0" xfId="0" applyNumberFormat="1" applyFont="1" applyFill="1"/>
    <xf numFmtId="0" fontId="1" fillId="0" borderId="1" xfId="0" applyFont="1" applyFill="1" applyBorder="1"/>
    <xf numFmtId="0" fontId="2" fillId="0" borderId="1" xfId="0" applyFont="1" applyFill="1" applyBorder="1" applyAlignment="1">
      <alignment horizontal="center"/>
    </xf>
    <xf numFmtId="3" fontId="2" fillId="0" borderId="1" xfId="0" applyNumberFormat="1" applyFont="1" applyFill="1" applyBorder="1"/>
    <xf numFmtId="164" fontId="2" fillId="0" borderId="1" xfId="0" applyNumberFormat="1" applyFont="1" applyFill="1" applyBorder="1"/>
    <xf numFmtId="0" fontId="9" fillId="0" borderId="0" xfId="0" applyFont="1" applyFill="1"/>
    <xf numFmtId="3" fontId="2" fillId="0" borderId="4" xfId="0" applyNumberFormat="1" applyFont="1" applyFill="1" applyBorder="1"/>
    <xf numFmtId="3" fontId="2" fillId="0" borderId="0" xfId="0" applyNumberFormat="1" applyFont="1" applyFill="1" applyBorder="1"/>
    <xf numFmtId="0" fontId="0" fillId="0" borderId="0" xfId="0" applyFill="1" applyAlignment="1">
      <alignment horizontal="center"/>
    </xf>
    <xf numFmtId="164" fontId="1" fillId="0" borderId="0" xfId="0" applyNumberFormat="1" applyFont="1" applyFill="1" applyBorder="1"/>
    <xf numFmtId="0" fontId="1" fillId="0" borderId="1" xfId="0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2" fillId="0" borderId="3" xfId="0" applyFont="1" applyFill="1" applyBorder="1"/>
    <xf numFmtId="0" fontId="0" fillId="0" borderId="3" xfId="0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3" fontId="0" fillId="0" borderId="3" xfId="0" applyNumberFormat="1" applyFill="1" applyBorder="1"/>
    <xf numFmtId="164" fontId="0" fillId="0" borderId="3" xfId="0" applyNumberFormat="1" applyFill="1" applyBorder="1"/>
    <xf numFmtId="166" fontId="2" fillId="0" borderId="1" xfId="0" applyNumberFormat="1" applyFont="1" applyFill="1" applyBorder="1" applyAlignment="1">
      <alignment horizontal="center"/>
    </xf>
    <xf numFmtId="5" fontId="2" fillId="0" borderId="0" xfId="0" applyNumberFormat="1" applyFont="1" applyFill="1" applyBorder="1"/>
    <xf numFmtId="164" fontId="0" fillId="0" borderId="0" xfId="0" applyNumberFormat="1" applyFill="1" applyBorder="1" applyAlignment="1">
      <alignment horizontal="right"/>
    </xf>
    <xf numFmtId="9" fontId="0" fillId="0" borderId="0" xfId="0" applyNumberFormat="1" applyFill="1" applyBorder="1" applyAlignment="1">
      <alignment horizontal="center"/>
    </xf>
    <xf numFmtId="6" fontId="0" fillId="0" borderId="0" xfId="0" applyNumberFormat="1" applyFill="1"/>
    <xf numFmtId="0" fontId="1" fillId="0" borderId="0" xfId="0" applyFont="1" applyFill="1"/>
    <xf numFmtId="3" fontId="0" fillId="0" borderId="0" xfId="0" applyNumberFormat="1" applyFill="1"/>
    <xf numFmtId="0" fontId="1" fillId="0" borderId="2" xfId="0" applyFont="1" applyFill="1" applyBorder="1" applyAlignment="1">
      <alignment horizontal="centerContinuous"/>
    </xf>
    <xf numFmtId="0" fontId="0" fillId="0" borderId="2" xfId="0" applyFill="1" applyBorder="1" applyAlignment="1">
      <alignment horizontal="centerContinuous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1" fontId="0" fillId="0" borderId="4" xfId="0" applyNumberFormat="1" applyFill="1" applyBorder="1" applyAlignment="1">
      <alignment horizontal="center"/>
    </xf>
    <xf numFmtId="3" fontId="2" fillId="0" borderId="4" xfId="0" applyNumberFormat="1" applyFont="1" applyFill="1" applyBorder="1" applyAlignment="1">
      <alignment horizontal="center"/>
    </xf>
    <xf numFmtId="165" fontId="2" fillId="0" borderId="4" xfId="0" applyNumberFormat="1" applyFon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3" fontId="9" fillId="0" borderId="1" xfId="0" applyNumberFormat="1" applyFont="1" applyFill="1" applyBorder="1"/>
    <xf numFmtId="164" fontId="9" fillId="0" borderId="1" xfId="0" applyNumberFormat="1" applyFont="1" applyFill="1" applyBorder="1"/>
    <xf numFmtId="3" fontId="0" fillId="0" borderId="4" xfId="0" applyNumberFormat="1" applyFill="1" applyBorder="1"/>
    <xf numFmtId="3" fontId="0" fillId="0" borderId="0" xfId="0" applyNumberFormat="1" applyFill="1" applyBorder="1"/>
    <xf numFmtId="3" fontId="0" fillId="0" borderId="1" xfId="0" applyNumberFormat="1" applyFill="1" applyBorder="1"/>
    <xf numFmtId="3" fontId="2" fillId="0" borderId="3" xfId="0" applyNumberFormat="1" applyFont="1" applyFill="1" applyBorder="1"/>
    <xf numFmtId="164" fontId="2" fillId="0" borderId="3" xfId="0" applyNumberFormat="1" applyFont="1" applyFill="1" applyBorder="1"/>
    <xf numFmtId="166" fontId="0" fillId="0" borderId="0" xfId="0" applyNumberFormat="1" applyFill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3" fontId="0" fillId="0" borderId="4" xfId="0" applyNumberFormat="1" applyBorder="1"/>
    <xf numFmtId="0" fontId="1" fillId="0" borderId="1" xfId="0" applyFont="1" applyBorder="1"/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view="pageLayout" zoomScaleNormal="100" workbookViewId="0">
      <selection activeCell="A18" sqref="A18"/>
    </sheetView>
  </sheetViews>
  <sheetFormatPr defaultRowHeight="13.2" x14ac:dyDescent="0.25"/>
  <cols>
    <col min="1" max="1" width="59.44140625" bestFit="1" customWidth="1"/>
    <col min="2" max="2" width="26.44140625" bestFit="1" customWidth="1"/>
  </cols>
  <sheetData>
    <row r="1" spans="1:2" ht="17.399999999999999" x14ac:dyDescent="0.3">
      <c r="A1" s="70" t="s">
        <v>139</v>
      </c>
    </row>
    <row r="4" spans="1:2" x14ac:dyDescent="0.25">
      <c r="B4" s="1" t="s">
        <v>140</v>
      </c>
    </row>
    <row r="7" spans="1:2" x14ac:dyDescent="0.25">
      <c r="A7" s="36"/>
    </row>
    <row r="8" spans="1:2" x14ac:dyDescent="0.25">
      <c r="A8" s="37" t="s">
        <v>29</v>
      </c>
      <c r="B8" s="2">
        <f>ROUND(SUM(Summary!D9:K9)/1000000,0)*1000000</f>
        <v>135000000</v>
      </c>
    </row>
    <row r="9" spans="1:2" x14ac:dyDescent="0.25">
      <c r="A9" s="36"/>
    </row>
    <row r="10" spans="1:2" x14ac:dyDescent="0.25">
      <c r="A10" s="1" t="s">
        <v>158</v>
      </c>
      <c r="B10" s="2">
        <f>ROUND(SUM(Summary!D13:K13)/1000000,0)*1000000</f>
        <v>17000000</v>
      </c>
    </row>
    <row r="12" spans="1:2" x14ac:dyDescent="0.25">
      <c r="A12" s="37" t="s">
        <v>30</v>
      </c>
      <c r="B12" s="2">
        <f>ROUND(SUM(Summary!D15:K15)/1000000,0)*1000000</f>
        <v>3000000</v>
      </c>
    </row>
    <row r="13" spans="1:2" x14ac:dyDescent="0.25">
      <c r="A13" s="36"/>
    </row>
    <row r="14" spans="1:2" x14ac:dyDescent="0.25">
      <c r="A14" s="37" t="s">
        <v>34</v>
      </c>
      <c r="B14" s="71">
        <f>SUM(Summary!D17:K17)</f>
        <v>2.0099999999999998</v>
      </c>
    </row>
    <row r="15" spans="1:2" x14ac:dyDescent="0.25">
      <c r="A15" s="36"/>
    </row>
    <row r="16" spans="1:2" x14ac:dyDescent="0.25">
      <c r="A16" s="37" t="s">
        <v>33</v>
      </c>
      <c r="B16" s="33">
        <f>ROUND(SUM(Summary!D19:K19)/1000,0)*1000</f>
        <v>12000</v>
      </c>
    </row>
    <row r="17" spans="1:4" x14ac:dyDescent="0.25">
      <c r="A17" s="36"/>
    </row>
    <row r="18" spans="1:4" x14ac:dyDescent="0.25">
      <c r="A18" s="37" t="s">
        <v>32</v>
      </c>
      <c r="B18" s="33">
        <f>ROUND(SUM(Summary!D21:K21)/1000,0)*1000</f>
        <v>2939000</v>
      </c>
    </row>
    <row r="19" spans="1:4" x14ac:dyDescent="0.25">
      <c r="A19" s="36"/>
    </row>
    <row r="20" spans="1:4" x14ac:dyDescent="0.25">
      <c r="A20" s="150" t="s">
        <v>28</v>
      </c>
      <c r="B20" s="151">
        <f>3847</f>
        <v>3847</v>
      </c>
    </row>
    <row r="22" spans="1:4" x14ac:dyDescent="0.25">
      <c r="A22" s="152" t="s">
        <v>159</v>
      </c>
      <c r="B22" s="5">
        <f>ROUND((-PMT(0.03375,50,$B$8+$B$10)+$B$12)/B20/100,0)*100</f>
        <v>2400</v>
      </c>
    </row>
    <row r="23" spans="1:4" x14ac:dyDescent="0.25">
      <c r="C23" s="74"/>
      <c r="D23" s="74"/>
    </row>
    <row r="24" spans="1:4" x14ac:dyDescent="0.25">
      <c r="A24" s="150" t="s">
        <v>28</v>
      </c>
      <c r="B24" s="151">
        <f>SUM(Summary!D7:K7)</f>
        <v>5587.3980000000001</v>
      </c>
      <c r="D24" s="71"/>
    </row>
    <row r="26" spans="1:4" x14ac:dyDescent="0.25">
      <c r="A26" s="152" t="s">
        <v>159</v>
      </c>
      <c r="B26" s="5">
        <f>ROUND((-PMT(0.03375,50,$B$8+$B$10)+$B$12)/B24/100,0)*100</f>
        <v>1700</v>
      </c>
    </row>
    <row r="28" spans="1:4" x14ac:dyDescent="0.25">
      <c r="A28" s="150" t="s">
        <v>28</v>
      </c>
      <c r="B28" s="151">
        <f>6884</f>
        <v>6884</v>
      </c>
    </row>
    <row r="30" spans="1:4" x14ac:dyDescent="0.25">
      <c r="A30" s="152" t="s">
        <v>159</v>
      </c>
      <c r="B30" s="5">
        <f>ROUND((-PMT(0.03375,50,$B$8+$B$10)+$B$12)/B28/100,0)*100</f>
        <v>1400</v>
      </c>
    </row>
  </sheetData>
  <pageMargins left="0.7" right="0.7" top="0.75" bottom="0.75" header="0.3" footer="0.3"/>
  <pageSetup orientation="landscape"/>
  <headerFooter>
    <oddFooter>&amp;LLA Basin Stormwater Conservation Study_Project Costs&amp;R&amp;D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2"/>
  <sheetViews>
    <sheetView tabSelected="1" zoomScaleNormal="100" zoomScaleSheetLayoutView="80" workbookViewId="0">
      <selection activeCell="L19" sqref="L19"/>
    </sheetView>
  </sheetViews>
  <sheetFormatPr defaultRowHeight="13.2" x14ac:dyDescent="0.25"/>
  <cols>
    <col min="1" max="1" width="54.6640625" customWidth="1"/>
    <col min="4" max="4" width="13.88671875" bestFit="1" customWidth="1"/>
    <col min="5" max="5" width="15.44140625" customWidth="1"/>
    <col min="12" max="12" width="13.33203125" customWidth="1"/>
    <col min="13" max="13" width="29.44140625" customWidth="1"/>
    <col min="14" max="14" width="14" customWidth="1"/>
    <col min="15" max="15" width="17.109375" customWidth="1"/>
    <col min="16" max="16" width="16.5546875" customWidth="1"/>
    <col min="17" max="17" width="17.109375" customWidth="1"/>
    <col min="18" max="18" width="19.33203125" customWidth="1"/>
    <col min="19" max="19" width="11.44140625" customWidth="1"/>
    <col min="20" max="20" width="15" customWidth="1"/>
    <col min="21" max="21" width="26.33203125" customWidth="1"/>
    <col min="23" max="23" width="28.6640625" customWidth="1"/>
  </cols>
  <sheetData>
    <row r="1" spans="1:24" ht="14.4" x14ac:dyDescent="0.3">
      <c r="A1" s="1" t="str">
        <f>Summary!A1</f>
        <v>LACDPW Basin Study</v>
      </c>
      <c r="M1" s="45"/>
      <c r="N1" s="46"/>
      <c r="O1" s="45"/>
      <c r="P1" s="47"/>
      <c r="Q1" s="47"/>
      <c r="R1" s="47"/>
      <c r="S1" s="48"/>
    </row>
    <row r="2" spans="1:24" x14ac:dyDescent="0.25">
      <c r="A2" s="1" t="str">
        <f>Summary!A2</f>
        <v>N Summerville</v>
      </c>
      <c r="M2" s="49"/>
      <c r="N2" s="50"/>
      <c r="O2" s="49"/>
      <c r="P2" s="50"/>
      <c r="Q2" s="50"/>
      <c r="R2" s="50"/>
      <c r="S2" s="51"/>
    </row>
    <row r="3" spans="1:24" x14ac:dyDescent="0.25">
      <c r="A3" s="13">
        <f>Summary!A3</f>
        <v>42275</v>
      </c>
      <c r="M3" s="49"/>
      <c r="N3" s="49"/>
      <c r="O3" s="49"/>
      <c r="P3" s="51"/>
      <c r="Q3" s="51"/>
      <c r="R3" s="51"/>
      <c r="S3" s="51"/>
      <c r="T3" s="32"/>
      <c r="U3" s="32"/>
      <c r="V3" s="32"/>
    </row>
    <row r="4" spans="1:24" x14ac:dyDescent="0.25">
      <c r="A4" s="78"/>
      <c r="B4" s="78"/>
      <c r="C4" s="78"/>
      <c r="D4" s="78"/>
      <c r="E4" s="78"/>
      <c r="F4" s="78"/>
      <c r="M4" s="49"/>
      <c r="N4" s="50"/>
      <c r="O4" s="52"/>
      <c r="P4" s="53"/>
      <c r="Q4" s="53"/>
      <c r="R4" s="53"/>
      <c r="S4" s="51"/>
      <c r="T4" s="32"/>
      <c r="U4" s="32"/>
      <c r="V4" s="32"/>
    </row>
    <row r="5" spans="1:24" ht="13.8" thickBot="1" x14ac:dyDescent="0.3">
      <c r="A5" s="132" t="s">
        <v>137</v>
      </c>
      <c r="B5" s="133"/>
      <c r="C5" s="133"/>
      <c r="D5" s="133"/>
      <c r="E5" s="133"/>
      <c r="F5" s="78"/>
      <c r="M5" s="76" t="s">
        <v>146</v>
      </c>
      <c r="N5" s="77"/>
      <c r="O5" s="78"/>
      <c r="P5" s="53"/>
      <c r="Q5" s="53"/>
      <c r="R5" s="53"/>
      <c r="S5" s="51"/>
      <c r="T5" s="32"/>
      <c r="U5" s="32"/>
      <c r="V5" s="32"/>
    </row>
    <row r="6" spans="1:24" x14ac:dyDescent="0.25">
      <c r="A6" s="78"/>
      <c r="B6" s="78"/>
      <c r="C6" s="78"/>
      <c r="D6" s="78"/>
      <c r="E6" s="78"/>
      <c r="F6" s="78"/>
      <c r="M6" s="78"/>
      <c r="N6" s="78"/>
      <c r="O6" s="77"/>
      <c r="P6" s="53"/>
      <c r="Q6" s="53"/>
      <c r="R6" s="53"/>
      <c r="S6" s="51"/>
      <c r="T6" s="32"/>
      <c r="U6" s="32"/>
      <c r="V6" s="32"/>
    </row>
    <row r="7" spans="1:24" x14ac:dyDescent="0.25">
      <c r="A7" s="130" t="s">
        <v>0</v>
      </c>
      <c r="B7" s="134" t="s">
        <v>1</v>
      </c>
      <c r="C7" s="134" t="s">
        <v>2</v>
      </c>
      <c r="D7" s="135" t="s">
        <v>3</v>
      </c>
      <c r="E7" s="135" t="s">
        <v>4</v>
      </c>
      <c r="F7" s="78"/>
      <c r="M7" s="79" t="s">
        <v>147</v>
      </c>
      <c r="N7" s="80" t="s">
        <v>4</v>
      </c>
      <c r="O7" s="91" t="s">
        <v>21</v>
      </c>
      <c r="P7" s="53"/>
      <c r="Q7" s="53"/>
      <c r="R7" s="53"/>
      <c r="S7" s="51"/>
      <c r="T7" s="32"/>
      <c r="U7" s="32"/>
      <c r="V7" s="32"/>
    </row>
    <row r="8" spans="1:24" x14ac:dyDescent="0.25">
      <c r="A8" s="92"/>
      <c r="B8" s="39"/>
      <c r="C8" s="39"/>
      <c r="D8" s="93"/>
      <c r="E8" s="93"/>
      <c r="F8" s="39"/>
      <c r="M8" s="78"/>
      <c r="N8" s="81" t="s">
        <v>24</v>
      </c>
      <c r="O8" s="81" t="s">
        <v>24</v>
      </c>
      <c r="P8" s="53"/>
      <c r="Q8" s="53"/>
      <c r="R8" s="53"/>
      <c r="S8" s="51"/>
      <c r="T8" s="32"/>
      <c r="U8" s="32"/>
      <c r="V8" s="32"/>
    </row>
    <row r="9" spans="1:24" x14ac:dyDescent="0.25">
      <c r="A9" s="63" t="s">
        <v>65</v>
      </c>
      <c r="B9" s="106" t="s">
        <v>66</v>
      </c>
      <c r="C9" s="137">
        <v>5560</v>
      </c>
      <c r="D9" s="138">
        <v>2.25</v>
      </c>
      <c r="E9" s="107">
        <f t="shared" ref="E9:E22" si="0">ROUND(D9*C9,-3)</f>
        <v>13000</v>
      </c>
      <c r="F9" s="9" t="s">
        <v>129</v>
      </c>
      <c r="M9" s="78"/>
      <c r="N9" s="78"/>
      <c r="O9" s="78"/>
      <c r="P9" s="53"/>
      <c r="Q9" s="53"/>
      <c r="R9" s="53"/>
      <c r="S9" s="51"/>
      <c r="T9" s="32"/>
      <c r="U9" s="32"/>
      <c r="V9" s="32"/>
    </row>
    <row r="10" spans="1:24" ht="12.75" customHeight="1" x14ac:dyDescent="0.25">
      <c r="A10" s="9" t="s">
        <v>67</v>
      </c>
      <c r="B10" s="89" t="s">
        <v>46</v>
      </c>
      <c r="C10" s="94">
        <v>8960</v>
      </c>
      <c r="D10" s="72">
        <v>25</v>
      </c>
      <c r="E10" s="95">
        <f t="shared" si="0"/>
        <v>224000</v>
      </c>
      <c r="F10" s="9" t="s">
        <v>130</v>
      </c>
      <c r="M10" s="6" t="s">
        <v>69</v>
      </c>
      <c r="N10" s="82">
        <f>E10</f>
        <v>224000</v>
      </c>
      <c r="O10" s="90">
        <f>+PMT(0.03375,50,-N10,0)</f>
        <v>9335.7058802114352</v>
      </c>
      <c r="P10" s="53"/>
      <c r="Q10" s="53"/>
      <c r="R10" s="53"/>
      <c r="S10" s="51"/>
      <c r="T10" s="32"/>
      <c r="U10" s="32"/>
      <c r="V10" s="32"/>
    </row>
    <row r="11" spans="1:24" x14ac:dyDescent="0.25">
      <c r="A11" s="9" t="s">
        <v>131</v>
      </c>
      <c r="B11" s="89" t="s">
        <v>41</v>
      </c>
      <c r="C11" s="94">
        <v>200</v>
      </c>
      <c r="D11" s="72">
        <v>40</v>
      </c>
      <c r="E11" s="95">
        <f t="shared" si="0"/>
        <v>8000</v>
      </c>
      <c r="F11" s="9" t="s">
        <v>127</v>
      </c>
      <c r="M11" s="49"/>
      <c r="N11" s="50"/>
      <c r="O11" s="52"/>
      <c r="P11" s="53"/>
      <c r="Q11" s="53"/>
      <c r="R11" s="53"/>
      <c r="S11" s="51"/>
      <c r="T11" s="32"/>
      <c r="U11" s="32"/>
      <c r="V11" s="32"/>
    </row>
    <row r="12" spans="1:24" x14ac:dyDescent="0.25">
      <c r="A12" s="9" t="s">
        <v>69</v>
      </c>
      <c r="B12" s="89" t="s">
        <v>55</v>
      </c>
      <c r="C12" s="94">
        <v>2</v>
      </c>
      <c r="D12" s="73">
        <v>350000</v>
      </c>
      <c r="E12" s="95">
        <f t="shared" si="0"/>
        <v>700000</v>
      </c>
      <c r="F12" s="9" t="s">
        <v>132</v>
      </c>
      <c r="M12" s="49"/>
      <c r="N12" s="50"/>
      <c r="O12" s="52"/>
      <c r="P12" s="53"/>
      <c r="Q12" s="53"/>
      <c r="R12" s="53"/>
      <c r="S12" s="51"/>
      <c r="T12" s="32"/>
      <c r="U12" s="32"/>
      <c r="V12" s="32"/>
    </row>
    <row r="13" spans="1:24" x14ac:dyDescent="0.25">
      <c r="A13" s="9" t="s">
        <v>61</v>
      </c>
      <c r="B13" s="89" t="s">
        <v>55</v>
      </c>
      <c r="C13" s="94">
        <v>2</v>
      </c>
      <c r="D13" s="73">
        <v>15000</v>
      </c>
      <c r="E13" s="95">
        <f t="shared" si="0"/>
        <v>30000</v>
      </c>
      <c r="F13" s="9" t="s">
        <v>83</v>
      </c>
      <c r="M13" s="49"/>
      <c r="N13" s="50"/>
      <c r="O13" s="52"/>
      <c r="P13" s="53"/>
      <c r="Q13" s="53"/>
      <c r="R13" s="53"/>
      <c r="S13" s="51"/>
      <c r="T13" s="32"/>
      <c r="U13" s="32"/>
      <c r="V13" s="32"/>
    </row>
    <row r="14" spans="1:24" x14ac:dyDescent="0.25">
      <c r="A14" s="9" t="s">
        <v>62</v>
      </c>
      <c r="B14" s="89" t="s">
        <v>55</v>
      </c>
      <c r="C14" s="94">
        <v>4</v>
      </c>
      <c r="D14" s="73">
        <v>450000</v>
      </c>
      <c r="E14" s="95">
        <f t="shared" si="0"/>
        <v>1800000</v>
      </c>
      <c r="F14" s="9"/>
      <c r="M14" s="49"/>
      <c r="N14" s="50"/>
      <c r="O14" s="52"/>
      <c r="P14" s="53"/>
      <c r="Q14" s="53"/>
      <c r="R14" s="53"/>
      <c r="S14" s="51"/>
      <c r="T14" s="32"/>
      <c r="U14" s="32"/>
      <c r="V14" s="32"/>
    </row>
    <row r="15" spans="1:24" x14ac:dyDescent="0.25">
      <c r="A15" s="9" t="s">
        <v>63</v>
      </c>
      <c r="B15" s="89" t="s">
        <v>55</v>
      </c>
      <c r="C15" s="94">
        <v>4</v>
      </c>
      <c r="D15" s="72">
        <v>5000</v>
      </c>
      <c r="E15" s="95">
        <f t="shared" si="0"/>
        <v>20000</v>
      </c>
      <c r="F15" s="9"/>
      <c r="M15" s="49"/>
      <c r="N15" s="50"/>
      <c r="O15" s="52"/>
      <c r="P15" s="53"/>
      <c r="Q15" s="53"/>
      <c r="R15" s="53"/>
      <c r="S15" s="51"/>
      <c r="T15" s="32"/>
      <c r="U15" s="32"/>
      <c r="V15" s="32"/>
    </row>
    <row r="16" spans="1:24" x14ac:dyDescent="0.25">
      <c r="A16" s="9" t="s">
        <v>60</v>
      </c>
      <c r="B16" s="89" t="s">
        <v>39</v>
      </c>
      <c r="C16" s="94">
        <v>1</v>
      </c>
      <c r="D16" s="73">
        <v>50000</v>
      </c>
      <c r="E16" s="95">
        <f t="shared" si="0"/>
        <v>50000</v>
      </c>
      <c r="F16" s="9"/>
      <c r="L16" s="40"/>
      <c r="M16" s="49"/>
      <c r="N16" s="50"/>
      <c r="O16" s="52"/>
      <c r="P16" s="53"/>
      <c r="Q16" s="53"/>
      <c r="R16" s="53"/>
      <c r="S16" s="51"/>
      <c r="T16" s="32"/>
      <c r="U16" s="32"/>
      <c r="V16" s="32"/>
      <c r="X16" s="39"/>
    </row>
    <row r="17" spans="1:24" x14ac:dyDescent="0.25">
      <c r="A17" s="9" t="s">
        <v>86</v>
      </c>
      <c r="B17" s="89" t="s">
        <v>39</v>
      </c>
      <c r="C17" s="94">
        <v>1</v>
      </c>
      <c r="D17" s="73">
        <v>35000</v>
      </c>
      <c r="E17" s="95">
        <f t="shared" si="0"/>
        <v>35000</v>
      </c>
      <c r="F17" s="9"/>
      <c r="L17" s="40"/>
      <c r="M17" s="49"/>
      <c r="N17" s="50"/>
      <c r="O17" s="52"/>
      <c r="P17" s="53"/>
      <c r="Q17" s="53"/>
      <c r="R17" s="53"/>
      <c r="S17" s="51"/>
      <c r="T17" s="32"/>
      <c r="U17" s="32"/>
      <c r="V17" s="32"/>
      <c r="X17" s="39"/>
    </row>
    <row r="18" spans="1:24" x14ac:dyDescent="0.25">
      <c r="A18" s="9" t="s">
        <v>85</v>
      </c>
      <c r="B18" s="89" t="s">
        <v>39</v>
      </c>
      <c r="C18" s="94">
        <v>1</v>
      </c>
      <c r="D18" s="73">
        <v>40000</v>
      </c>
      <c r="E18" s="95">
        <f t="shared" si="0"/>
        <v>40000</v>
      </c>
      <c r="F18" s="9"/>
      <c r="L18" s="40"/>
      <c r="M18" s="49"/>
      <c r="N18" s="50"/>
      <c r="O18" s="52"/>
      <c r="P18" s="53"/>
      <c r="Q18" s="53"/>
      <c r="R18" s="53"/>
      <c r="S18" s="51"/>
      <c r="T18" s="41"/>
      <c r="U18" s="32"/>
      <c r="V18" s="32"/>
      <c r="X18" s="39"/>
    </row>
    <row r="19" spans="1:24" ht="14.4" x14ac:dyDescent="0.3">
      <c r="A19" s="9" t="s">
        <v>102</v>
      </c>
      <c r="B19" s="89" t="s">
        <v>39</v>
      </c>
      <c r="C19" s="94">
        <v>1</v>
      </c>
      <c r="D19" s="73">
        <v>30000</v>
      </c>
      <c r="E19" s="95">
        <f t="shared" si="0"/>
        <v>30000</v>
      </c>
      <c r="F19" s="9"/>
      <c r="L19" s="41"/>
      <c r="U19" s="42"/>
      <c r="V19" s="41"/>
      <c r="W19" s="43"/>
      <c r="X19" s="39"/>
    </row>
    <row r="20" spans="1:24" x14ac:dyDescent="0.25">
      <c r="A20" s="9" t="s">
        <v>133</v>
      </c>
      <c r="B20" s="89" t="s">
        <v>39</v>
      </c>
      <c r="C20" s="94">
        <v>1</v>
      </c>
      <c r="D20" s="73">
        <v>15000</v>
      </c>
      <c r="E20" s="95">
        <f t="shared" si="0"/>
        <v>15000</v>
      </c>
      <c r="F20" s="9"/>
      <c r="L20" s="41"/>
      <c r="M20" s="42"/>
      <c r="N20" s="41"/>
      <c r="O20" s="41"/>
      <c r="P20" s="41"/>
      <c r="Q20" s="41"/>
      <c r="R20" s="41"/>
      <c r="S20" s="41"/>
      <c r="T20" s="41"/>
      <c r="U20" s="42"/>
      <c r="V20" s="41"/>
      <c r="W20" s="42"/>
      <c r="X20" s="39"/>
    </row>
    <row r="21" spans="1:24" ht="14.4" x14ac:dyDescent="0.3">
      <c r="A21" s="9" t="s">
        <v>134</v>
      </c>
      <c r="B21" s="89" t="s">
        <v>41</v>
      </c>
      <c r="C21" s="94">
        <v>150</v>
      </c>
      <c r="D21" s="72">
        <v>216</v>
      </c>
      <c r="E21" s="95">
        <f t="shared" si="0"/>
        <v>32000</v>
      </c>
      <c r="F21" s="9"/>
      <c r="L21" s="41"/>
      <c r="M21" s="26" t="s">
        <v>36</v>
      </c>
      <c r="N21" s="10"/>
      <c r="O21" s="10"/>
      <c r="P21" s="10"/>
      <c r="R21" s="41"/>
      <c r="S21" s="41"/>
      <c r="T21" s="21"/>
      <c r="U21" s="23"/>
      <c r="V21" s="41"/>
      <c r="W21" s="43"/>
      <c r="X21" s="39"/>
    </row>
    <row r="22" spans="1:24" x14ac:dyDescent="0.25">
      <c r="A22" s="9" t="s">
        <v>135</v>
      </c>
      <c r="B22" s="89" t="s">
        <v>39</v>
      </c>
      <c r="C22" s="94">
        <v>1</v>
      </c>
      <c r="D22" s="73">
        <v>75000</v>
      </c>
      <c r="E22" s="95">
        <f t="shared" si="0"/>
        <v>75000</v>
      </c>
      <c r="F22" s="9"/>
      <c r="L22" s="41"/>
      <c r="M22" s="10"/>
      <c r="N22" s="10"/>
      <c r="O22" s="10"/>
      <c r="P22" s="10"/>
      <c r="R22" s="41"/>
      <c r="S22" s="41"/>
      <c r="V22" s="41"/>
      <c r="W22" s="44"/>
      <c r="X22" s="39"/>
    </row>
    <row r="23" spans="1:24" x14ac:dyDescent="0.25">
      <c r="A23" s="97" t="s">
        <v>6</v>
      </c>
      <c r="B23" s="98"/>
      <c r="C23" s="98"/>
      <c r="D23" s="99"/>
      <c r="E23" s="99">
        <f>SUM(E9:E22)</f>
        <v>3072000</v>
      </c>
      <c r="F23" s="78"/>
      <c r="L23" s="41"/>
      <c r="M23" s="27" t="s">
        <v>16</v>
      </c>
      <c r="N23" s="28"/>
      <c r="O23" s="24" t="s">
        <v>19</v>
      </c>
      <c r="P23" s="24" t="s">
        <v>21</v>
      </c>
      <c r="R23" s="41"/>
      <c r="S23" s="41"/>
      <c r="T23" s="10"/>
      <c r="U23" s="30"/>
      <c r="V23" s="41"/>
      <c r="W23" s="42"/>
      <c r="X23" s="39"/>
    </row>
    <row r="24" spans="1:24" x14ac:dyDescent="0.25">
      <c r="A24" s="78"/>
      <c r="B24" s="100"/>
      <c r="C24" s="100"/>
      <c r="D24" s="93"/>
      <c r="E24" s="93"/>
      <c r="F24" s="39"/>
      <c r="M24" s="24" t="s">
        <v>17</v>
      </c>
      <c r="N24" s="24" t="s">
        <v>18</v>
      </c>
      <c r="O24" s="24" t="s">
        <v>20</v>
      </c>
      <c r="P24" s="24" t="s">
        <v>24</v>
      </c>
      <c r="T24" s="10"/>
      <c r="U24" s="30"/>
    </row>
    <row r="25" spans="1:24" x14ac:dyDescent="0.25">
      <c r="A25" s="101" t="s">
        <v>70</v>
      </c>
      <c r="B25" s="102"/>
      <c r="C25" s="102"/>
      <c r="D25" s="103"/>
      <c r="E25" s="103"/>
      <c r="F25" s="78"/>
      <c r="M25" s="10"/>
      <c r="N25" s="10"/>
      <c r="O25" s="10"/>
      <c r="P25" s="10"/>
      <c r="T25" s="10"/>
      <c r="U25" s="30"/>
    </row>
    <row r="26" spans="1:24" x14ac:dyDescent="0.25">
      <c r="A26" s="9" t="s">
        <v>71</v>
      </c>
      <c r="B26" s="148">
        <f>B53*0.1*0.6</f>
        <v>7.0000000000000007E-2</v>
      </c>
      <c r="C26" s="89" t="s">
        <v>72</v>
      </c>
      <c r="D26" s="93">
        <v>35000</v>
      </c>
      <c r="E26" s="93">
        <f t="shared" ref="E26" si="1">+B26*D26</f>
        <v>2450.0000000000005</v>
      </c>
      <c r="F26" s="96" t="s">
        <v>94</v>
      </c>
      <c r="M26" s="10">
        <v>100</v>
      </c>
      <c r="N26" s="25">
        <f>0.746*M26*3*30.4*24</f>
        <v>163284.47999999998</v>
      </c>
      <c r="O26" s="29">
        <v>0.15</v>
      </c>
      <c r="P26" s="30">
        <f>+N26*O26</f>
        <v>24492.671999999995</v>
      </c>
      <c r="T26" s="10"/>
      <c r="U26" s="30"/>
    </row>
    <row r="27" spans="1:24" x14ac:dyDescent="0.25">
      <c r="A27" s="97" t="s">
        <v>6</v>
      </c>
      <c r="B27" s="98"/>
      <c r="C27" s="98"/>
      <c r="D27" s="99"/>
      <c r="E27" s="99">
        <f>SUM(E26:E26)</f>
        <v>2450.0000000000005</v>
      </c>
      <c r="F27" s="78"/>
      <c r="M27" s="10"/>
      <c r="N27" s="10"/>
      <c r="O27" s="10"/>
      <c r="P27" s="10"/>
      <c r="T27" s="10"/>
      <c r="U27" s="30"/>
    </row>
    <row r="28" spans="1:24" x14ac:dyDescent="0.25">
      <c r="A28" s="9"/>
      <c r="B28" s="100"/>
      <c r="C28" s="100"/>
      <c r="D28" s="93"/>
      <c r="E28" s="104"/>
      <c r="F28" s="78"/>
      <c r="M28" s="24" t="s">
        <v>22</v>
      </c>
      <c r="N28" s="24" t="s">
        <v>21</v>
      </c>
      <c r="O28" s="24" t="s">
        <v>26</v>
      </c>
      <c r="Q28" s="24"/>
      <c r="T28" s="10"/>
      <c r="U28" s="30"/>
    </row>
    <row r="29" spans="1:24" x14ac:dyDescent="0.25">
      <c r="A29" s="54" t="s">
        <v>74</v>
      </c>
      <c r="B29" s="100"/>
      <c r="C29" s="100"/>
      <c r="D29" s="93"/>
      <c r="E29" s="93"/>
      <c r="F29" s="78"/>
      <c r="M29" s="24" t="s">
        <v>23</v>
      </c>
      <c r="N29" s="24" t="s">
        <v>24</v>
      </c>
      <c r="O29" s="24" t="s">
        <v>27</v>
      </c>
      <c r="Q29" s="24"/>
      <c r="T29" s="10"/>
      <c r="U29" s="30"/>
    </row>
    <row r="30" spans="1:24" x14ac:dyDescent="0.25">
      <c r="A30" s="63" t="s">
        <v>75</v>
      </c>
      <c r="B30" s="136">
        <v>1355</v>
      </c>
      <c r="C30" s="106" t="s">
        <v>5</v>
      </c>
      <c r="D30" s="99">
        <v>25</v>
      </c>
      <c r="E30" s="99">
        <f>+B30*D30</f>
        <v>33875</v>
      </c>
      <c r="F30" s="96" t="s">
        <v>95</v>
      </c>
      <c r="M30" s="10"/>
      <c r="N30" s="10"/>
      <c r="O30" s="10"/>
      <c r="T30" s="10"/>
      <c r="U30" s="30"/>
    </row>
    <row r="31" spans="1:24" x14ac:dyDescent="0.25">
      <c r="A31" s="97" t="s">
        <v>6</v>
      </c>
      <c r="B31" s="98"/>
      <c r="C31" s="98"/>
      <c r="D31" s="99"/>
      <c r="E31" s="99">
        <f>SUM(E30)</f>
        <v>33875</v>
      </c>
      <c r="F31" s="78"/>
      <c r="M31" s="31">
        <v>0.05</v>
      </c>
      <c r="N31" s="29">
        <f>+M31*SUM(E9:E34)/2</f>
        <v>170957.875</v>
      </c>
      <c r="O31" s="10">
        <v>50</v>
      </c>
      <c r="Q31" s="2"/>
      <c r="T31" s="56"/>
      <c r="U31" s="30"/>
    </row>
    <row r="32" spans="1:24" x14ac:dyDescent="0.25">
      <c r="A32" s="113"/>
      <c r="B32" s="96"/>
      <c r="C32" s="96"/>
      <c r="D32" s="96"/>
      <c r="E32" s="96"/>
      <c r="F32" s="96"/>
      <c r="T32" s="10"/>
      <c r="U32" s="30"/>
    </row>
    <row r="33" spans="1:21" x14ac:dyDescent="0.25">
      <c r="A33" s="109" t="s">
        <v>138</v>
      </c>
      <c r="B33" s="110">
        <v>10</v>
      </c>
      <c r="C33" s="110" t="s">
        <v>7</v>
      </c>
      <c r="D33" s="111">
        <f>SUM(E9:E31)/2</f>
        <v>3108325</v>
      </c>
      <c r="E33" s="112">
        <f>D33*B33/100</f>
        <v>310832.5</v>
      </c>
      <c r="F33" s="78"/>
      <c r="T33" s="10"/>
      <c r="U33" s="30"/>
    </row>
    <row r="34" spans="1:21" x14ac:dyDescent="0.25">
      <c r="A34" s="78" t="s">
        <v>6</v>
      </c>
      <c r="B34" s="91"/>
      <c r="C34" s="91"/>
      <c r="D34" s="108"/>
      <c r="E34" s="108">
        <f>SUM(E33)</f>
        <v>310832.5</v>
      </c>
      <c r="F34" s="96"/>
      <c r="T34" s="10"/>
      <c r="U34" s="30"/>
    </row>
    <row r="35" spans="1:21" x14ac:dyDescent="0.25">
      <c r="A35" s="113"/>
      <c r="B35" s="91"/>
      <c r="C35" s="91"/>
      <c r="D35" s="108"/>
      <c r="E35" s="108"/>
      <c r="F35" s="96"/>
      <c r="T35" s="10"/>
      <c r="U35" s="30"/>
    </row>
    <row r="36" spans="1:21" x14ac:dyDescent="0.25">
      <c r="A36" s="109" t="s">
        <v>8</v>
      </c>
      <c r="B36" s="110">
        <v>10</v>
      </c>
      <c r="C36" s="110" t="s">
        <v>7</v>
      </c>
      <c r="D36" s="111">
        <f>SUM(E9:E34)/2</f>
        <v>3419157.5</v>
      </c>
      <c r="E36" s="112">
        <f>D36*B36/100</f>
        <v>341915.75</v>
      </c>
      <c r="F36" s="96"/>
      <c r="T36" s="10"/>
      <c r="U36" s="30"/>
    </row>
    <row r="37" spans="1:21" x14ac:dyDescent="0.25">
      <c r="A37" s="78" t="s">
        <v>6</v>
      </c>
      <c r="B37" s="91"/>
      <c r="C37" s="91"/>
      <c r="D37" s="108"/>
      <c r="E37" s="108">
        <f>SUM(E36)</f>
        <v>341915.75</v>
      </c>
      <c r="F37" s="96"/>
      <c r="T37" s="10"/>
      <c r="U37" s="30"/>
    </row>
    <row r="38" spans="1:21" x14ac:dyDescent="0.25">
      <c r="A38" s="78"/>
      <c r="B38" s="91"/>
      <c r="C38" s="91"/>
      <c r="D38" s="108"/>
      <c r="E38" s="108"/>
      <c r="F38" s="96"/>
      <c r="T38" s="10"/>
      <c r="U38" s="30"/>
    </row>
    <row r="39" spans="1:21" x14ac:dyDescent="0.25">
      <c r="A39" s="109" t="s">
        <v>10</v>
      </c>
      <c r="B39" s="110"/>
      <c r="C39" s="110"/>
      <c r="D39" s="95"/>
      <c r="E39" s="95"/>
      <c r="F39" s="96"/>
      <c r="T39" s="10"/>
      <c r="U39" s="30"/>
    </row>
    <row r="40" spans="1:21" x14ac:dyDescent="0.25">
      <c r="A40" s="87" t="s">
        <v>148</v>
      </c>
      <c r="B40" s="88">
        <v>10</v>
      </c>
      <c r="C40" s="88" t="s">
        <v>7</v>
      </c>
      <c r="D40" s="114">
        <f>SUM(E9:E37)/2</f>
        <v>3761073.25</v>
      </c>
      <c r="E40" s="107">
        <f>D40*B40/100</f>
        <v>376107.32500000001</v>
      </c>
      <c r="F40" s="96"/>
      <c r="T40" s="10"/>
      <c r="U40" s="30"/>
    </row>
    <row r="41" spans="1:21" x14ac:dyDescent="0.25">
      <c r="A41" s="9" t="s">
        <v>149</v>
      </c>
      <c r="B41" s="100">
        <v>15</v>
      </c>
      <c r="C41" s="89" t="s">
        <v>7</v>
      </c>
      <c r="D41" s="115">
        <f>SUM(E9:E37)/2</f>
        <v>3761073.25</v>
      </c>
      <c r="E41" s="95">
        <f>D41*B41/100</f>
        <v>564160.98750000005</v>
      </c>
      <c r="F41" s="96"/>
      <c r="T41" s="10"/>
      <c r="U41" s="30"/>
    </row>
    <row r="42" spans="1:21" x14ac:dyDescent="0.25">
      <c r="A42" s="9" t="s">
        <v>15</v>
      </c>
      <c r="B42" s="100">
        <v>11</v>
      </c>
      <c r="C42" s="89" t="s">
        <v>7</v>
      </c>
      <c r="D42" s="115">
        <f>SUM(E9:E37)/2+SUM(D40:D41)+SUM(D43:D45)</f>
        <v>22566439.5</v>
      </c>
      <c r="E42" s="95">
        <f t="shared" ref="E42:E45" si="2">D42*B42/100</f>
        <v>2482308.3450000002</v>
      </c>
      <c r="F42" s="78"/>
      <c r="T42" s="10"/>
      <c r="U42" s="30"/>
    </row>
    <row r="43" spans="1:21" x14ac:dyDescent="0.25">
      <c r="A43" s="9" t="s">
        <v>11</v>
      </c>
      <c r="B43" s="100">
        <v>5</v>
      </c>
      <c r="C43" s="89" t="s">
        <v>7</v>
      </c>
      <c r="D43" s="115">
        <f>SUM(E9:E37)/2</f>
        <v>3761073.25</v>
      </c>
      <c r="E43" s="95">
        <f t="shared" si="2"/>
        <v>188053.66250000001</v>
      </c>
      <c r="F43" s="96"/>
      <c r="T43" s="10"/>
      <c r="U43" s="30"/>
    </row>
    <row r="44" spans="1:21" x14ac:dyDescent="0.25">
      <c r="A44" s="9" t="s">
        <v>12</v>
      </c>
      <c r="B44" s="100">
        <v>10</v>
      </c>
      <c r="C44" s="89" t="s">
        <v>7</v>
      </c>
      <c r="D44" s="115">
        <f>SUM(E9:E37)/2</f>
        <v>3761073.25</v>
      </c>
      <c r="E44" s="95">
        <f t="shared" si="2"/>
        <v>376107.32500000001</v>
      </c>
      <c r="F44" s="96"/>
      <c r="T44" s="10"/>
      <c r="U44" s="30"/>
    </row>
    <row r="45" spans="1:21" x14ac:dyDescent="0.25">
      <c r="A45" s="15" t="s">
        <v>13</v>
      </c>
      <c r="B45" s="102">
        <v>10</v>
      </c>
      <c r="C45" s="110" t="s">
        <v>7</v>
      </c>
      <c r="D45" s="111">
        <f>SUM(E9:E37)/2</f>
        <v>3761073.25</v>
      </c>
      <c r="E45" s="112">
        <f t="shared" si="2"/>
        <v>376107.32500000001</v>
      </c>
      <c r="F45" s="96"/>
      <c r="T45" s="10"/>
      <c r="U45" s="30"/>
    </row>
    <row r="46" spans="1:21" x14ac:dyDescent="0.25">
      <c r="A46" s="78" t="s">
        <v>6</v>
      </c>
      <c r="B46" s="91"/>
      <c r="C46" s="91"/>
      <c r="D46" s="108"/>
      <c r="E46" s="108">
        <f>SUM(E40:E45)</f>
        <v>4362844.9700000007</v>
      </c>
      <c r="F46" s="96"/>
      <c r="M46" s="24"/>
      <c r="N46" s="24"/>
      <c r="O46" s="24"/>
      <c r="P46" s="10"/>
      <c r="T46" s="10"/>
      <c r="U46" s="30"/>
    </row>
    <row r="47" spans="1:21" x14ac:dyDescent="0.25">
      <c r="A47" s="54"/>
      <c r="B47" s="89"/>
      <c r="C47" s="89"/>
      <c r="D47" s="95"/>
      <c r="E47" s="117"/>
      <c r="F47" s="96"/>
      <c r="M47" s="24"/>
      <c r="N47" s="24"/>
      <c r="O47" s="24"/>
      <c r="P47" s="10"/>
      <c r="T47" s="10"/>
      <c r="U47" s="30"/>
    </row>
    <row r="48" spans="1:21" x14ac:dyDescent="0.25">
      <c r="A48" s="109" t="s">
        <v>14</v>
      </c>
      <c r="B48" s="118"/>
      <c r="C48" s="118"/>
      <c r="D48" s="119"/>
      <c r="E48" s="119"/>
      <c r="F48" s="96"/>
      <c r="M48" s="24"/>
      <c r="N48" s="24"/>
      <c r="O48" s="24"/>
      <c r="P48" s="10"/>
      <c r="T48" s="10"/>
      <c r="U48" s="30"/>
    </row>
    <row r="49" spans="1:21" x14ac:dyDescent="0.25">
      <c r="A49" s="120" t="s">
        <v>14</v>
      </c>
      <c r="B49" s="122">
        <v>30</v>
      </c>
      <c r="C49" s="122" t="s">
        <v>7</v>
      </c>
      <c r="D49" s="146">
        <f>SUM(E9:E46)/2</f>
        <v>8123918.2199999997</v>
      </c>
      <c r="E49" s="147">
        <f>D49*B49/100</f>
        <v>2437175.466</v>
      </c>
      <c r="F49" s="96"/>
      <c r="M49" s="24"/>
      <c r="N49" s="24"/>
      <c r="O49" s="24"/>
      <c r="P49" s="10"/>
      <c r="T49" s="10"/>
      <c r="U49" s="30"/>
    </row>
    <row r="50" spans="1:21" x14ac:dyDescent="0.25">
      <c r="A50" s="78" t="s">
        <v>6</v>
      </c>
      <c r="B50" s="91"/>
      <c r="C50" s="91"/>
      <c r="D50" s="108"/>
      <c r="E50" s="108">
        <f>SUM(E49)</f>
        <v>2437175.466</v>
      </c>
      <c r="F50" s="96"/>
      <c r="M50" s="24"/>
      <c r="N50" s="24"/>
      <c r="O50" s="24"/>
      <c r="P50" s="10"/>
      <c r="T50" s="10"/>
      <c r="U50" s="30"/>
    </row>
    <row r="51" spans="1:21" x14ac:dyDescent="0.25">
      <c r="A51" s="78"/>
      <c r="B51" s="78"/>
      <c r="C51" s="78"/>
      <c r="D51" s="78"/>
      <c r="E51" s="78"/>
      <c r="F51" s="78"/>
      <c r="M51" s="24"/>
      <c r="N51" s="24"/>
      <c r="O51" s="24"/>
      <c r="P51" s="10"/>
      <c r="T51" s="10"/>
      <c r="U51" s="30"/>
    </row>
    <row r="52" spans="1:21" s="55" customFormat="1" x14ac:dyDescent="0.25">
      <c r="A52" s="109" t="s">
        <v>151</v>
      </c>
      <c r="B52" s="118"/>
      <c r="C52" s="118"/>
      <c r="D52" s="119"/>
      <c r="E52" s="119"/>
      <c r="F52" s="78"/>
      <c r="M52" s="56"/>
      <c r="N52" s="56"/>
      <c r="O52" s="56"/>
      <c r="P52" s="56"/>
      <c r="T52" s="10"/>
      <c r="U52" s="30"/>
    </row>
    <row r="53" spans="1:21" x14ac:dyDescent="0.25">
      <c r="A53" s="15" t="s">
        <v>73</v>
      </c>
      <c r="B53" s="125">
        <f>0.7/0.6</f>
        <v>1.1666666666666667</v>
      </c>
      <c r="C53" s="110" t="s">
        <v>72</v>
      </c>
      <c r="D53" s="112">
        <v>500000</v>
      </c>
      <c r="E53" s="112">
        <f>B53*D53</f>
        <v>583333.33333333337</v>
      </c>
      <c r="F53" s="96" t="s">
        <v>152</v>
      </c>
      <c r="M53" s="10"/>
      <c r="N53" s="25"/>
      <c r="O53" s="19"/>
      <c r="P53" s="10"/>
      <c r="T53" s="10"/>
      <c r="U53" s="30"/>
    </row>
    <row r="54" spans="1:21" x14ac:dyDescent="0.25">
      <c r="A54" s="96" t="s">
        <v>6</v>
      </c>
      <c r="B54" s="91"/>
      <c r="C54" s="91"/>
      <c r="D54" s="108"/>
      <c r="E54" s="108">
        <f>SUM(E53)</f>
        <v>583333.33333333337</v>
      </c>
      <c r="F54" s="96" t="s">
        <v>150</v>
      </c>
      <c r="M54" s="10"/>
      <c r="N54" s="10"/>
      <c r="O54" s="10"/>
      <c r="P54" s="10"/>
      <c r="T54" s="10"/>
      <c r="U54" s="30"/>
    </row>
    <row r="55" spans="1:21" x14ac:dyDescent="0.25">
      <c r="A55" s="78"/>
      <c r="B55" s="78"/>
      <c r="C55" s="78"/>
      <c r="D55" s="78"/>
      <c r="E55" s="78"/>
      <c r="F55" s="78"/>
      <c r="T55" s="10"/>
      <c r="U55" s="30"/>
    </row>
    <row r="56" spans="1:21" x14ac:dyDescent="0.25">
      <c r="A56" s="78"/>
      <c r="B56" s="78"/>
      <c r="C56" s="78"/>
      <c r="D56" s="78"/>
      <c r="E56" s="78"/>
      <c r="F56" s="78"/>
      <c r="T56" s="10"/>
      <c r="U56" s="30"/>
    </row>
    <row r="57" spans="1:21" x14ac:dyDescent="0.25">
      <c r="A57" s="54" t="s">
        <v>153</v>
      </c>
      <c r="B57" s="100"/>
      <c r="C57" s="78"/>
      <c r="D57" s="116"/>
      <c r="E57" s="126">
        <f>SUM(E9:E50)/2</f>
        <v>10561093.686000001</v>
      </c>
      <c r="F57" s="104"/>
      <c r="T57" s="10"/>
      <c r="U57" s="30"/>
    </row>
    <row r="58" spans="1:21" x14ac:dyDescent="0.25">
      <c r="A58" s="78"/>
      <c r="B58" s="100"/>
      <c r="C58" s="100"/>
      <c r="D58" s="93"/>
      <c r="E58" s="127"/>
      <c r="F58" s="78"/>
      <c r="T58" s="10"/>
      <c r="U58" s="30"/>
    </row>
    <row r="59" spans="1:21" x14ac:dyDescent="0.25">
      <c r="A59" s="54" t="s">
        <v>154</v>
      </c>
      <c r="B59" s="128"/>
      <c r="C59" s="100"/>
      <c r="D59" s="93"/>
      <c r="E59" s="104">
        <f>E54</f>
        <v>583333.33333333337</v>
      </c>
      <c r="F59" s="78"/>
      <c r="T59" s="10"/>
      <c r="U59" s="30"/>
    </row>
    <row r="60" spans="1:21" x14ac:dyDescent="0.25">
      <c r="A60" s="78"/>
      <c r="B60" s="100"/>
      <c r="C60" s="100"/>
      <c r="D60" s="93"/>
      <c r="E60" s="93"/>
      <c r="F60" s="78"/>
      <c r="T60" s="10"/>
      <c r="U60" s="30"/>
    </row>
    <row r="61" spans="1:21" x14ac:dyDescent="0.25">
      <c r="A61" s="54" t="s">
        <v>155</v>
      </c>
      <c r="B61" s="78"/>
      <c r="C61" s="78"/>
      <c r="D61" s="78"/>
      <c r="E61" s="129">
        <f>+PMT(0.03375,50,-E57-E59,0)</f>
        <v>464469.16453561344</v>
      </c>
      <c r="F61" s="96" t="s">
        <v>156</v>
      </c>
      <c r="T61" s="10"/>
      <c r="U61" s="30"/>
    </row>
    <row r="62" spans="1:21" x14ac:dyDescent="0.25">
      <c r="A62" s="78"/>
      <c r="B62" s="78"/>
      <c r="C62" s="78"/>
      <c r="D62" s="78"/>
      <c r="E62" s="78"/>
      <c r="F62" s="78"/>
      <c r="T62" s="10"/>
      <c r="U62" s="30"/>
    </row>
    <row r="63" spans="1:21" x14ac:dyDescent="0.25">
      <c r="A63" s="130" t="s">
        <v>25</v>
      </c>
      <c r="B63" s="39"/>
      <c r="C63" s="39"/>
      <c r="D63" s="93"/>
      <c r="E63" s="93">
        <f>N31+P26+O10</f>
        <v>204786.25288021142</v>
      </c>
      <c r="F63" s="78"/>
      <c r="T63" s="10"/>
      <c r="U63" s="30"/>
    </row>
    <row r="64" spans="1:21" x14ac:dyDescent="0.25">
      <c r="A64" s="54"/>
      <c r="B64" s="100"/>
      <c r="C64" s="100"/>
      <c r="D64" s="93"/>
      <c r="E64" s="93"/>
      <c r="F64" s="78"/>
      <c r="T64" s="10"/>
      <c r="U64" s="30"/>
    </row>
    <row r="65" spans="1:21" x14ac:dyDescent="0.25">
      <c r="A65" s="130" t="s">
        <v>35</v>
      </c>
      <c r="B65" s="78"/>
      <c r="C65" s="78"/>
      <c r="D65" s="78"/>
      <c r="E65" s="131">
        <f>0.7*277.98</f>
        <v>194.58600000000001</v>
      </c>
      <c r="F65" s="96" t="s">
        <v>141</v>
      </c>
      <c r="T65" s="10"/>
      <c r="U65" s="30"/>
    </row>
    <row r="66" spans="1:21" x14ac:dyDescent="0.25">
      <c r="A66" s="39"/>
      <c r="B66" s="100"/>
      <c r="C66" s="100"/>
      <c r="D66" s="93"/>
      <c r="E66" s="93"/>
      <c r="F66" s="78"/>
      <c r="T66" s="10"/>
      <c r="U66" s="30"/>
    </row>
    <row r="67" spans="1:21" x14ac:dyDescent="0.25">
      <c r="A67" s="54" t="s">
        <v>157</v>
      </c>
      <c r="B67" s="100"/>
      <c r="C67" s="100"/>
      <c r="D67" s="93"/>
      <c r="E67" s="93">
        <f>+(E61+E63)/E65</f>
        <v>3439.3811343869793</v>
      </c>
      <c r="F67" s="78"/>
      <c r="T67" s="10"/>
      <c r="U67" s="30"/>
    </row>
    <row r="68" spans="1:21" x14ac:dyDescent="0.25">
      <c r="A68" s="78"/>
      <c r="B68" s="78"/>
      <c r="C68" s="78"/>
      <c r="D68" s="78"/>
      <c r="E68" s="78"/>
      <c r="F68" s="78"/>
      <c r="T68" s="10"/>
      <c r="U68" s="30"/>
    </row>
    <row r="69" spans="1:21" x14ac:dyDescent="0.25">
      <c r="A69" s="78"/>
      <c r="B69" s="78"/>
      <c r="C69" s="78"/>
      <c r="D69" s="78"/>
      <c r="E69" s="78"/>
      <c r="F69" s="78"/>
      <c r="T69" s="10"/>
      <c r="U69" s="30"/>
    </row>
    <row r="70" spans="1:21" x14ac:dyDescent="0.25">
      <c r="T70" s="10"/>
      <c r="U70" s="30"/>
    </row>
    <row r="71" spans="1:21" x14ac:dyDescent="0.25">
      <c r="T71" s="10"/>
      <c r="U71" s="30"/>
    </row>
    <row r="72" spans="1:21" x14ac:dyDescent="0.25">
      <c r="T72" s="10"/>
      <c r="U72" s="30"/>
    </row>
  </sheetData>
  <pageMargins left="0.75" right="0.75" top="1" bottom="1" header="0.5" footer="0.5"/>
  <pageSetup scale="46" orientation="landscape"/>
  <headerFooter alignWithMargins="0">
    <oddFooter>&amp;LLA Basin Stormwater Conservation Study_Project Costs&amp;R&amp;D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9"/>
  <sheetViews>
    <sheetView view="pageBreakPreview" zoomScale="80" zoomScaleNormal="80" zoomScaleSheetLayoutView="80" workbookViewId="0">
      <selection activeCell="A15" sqref="A15"/>
    </sheetView>
  </sheetViews>
  <sheetFormatPr defaultRowHeight="13.2" x14ac:dyDescent="0.25"/>
  <cols>
    <col min="1" max="1" width="11.44140625" bestFit="1" customWidth="1"/>
    <col min="3" max="3" width="47.33203125" customWidth="1"/>
    <col min="4" max="4" width="13.44140625" customWidth="1"/>
    <col min="5" max="5" width="13.5546875" customWidth="1"/>
    <col min="6" max="6" width="12.33203125" customWidth="1"/>
    <col min="7" max="7" width="12.44140625" customWidth="1"/>
    <col min="8" max="8" width="12.88671875" customWidth="1"/>
    <col min="9" max="9" width="13.44140625" customWidth="1"/>
    <col min="10" max="10" width="13.33203125" customWidth="1"/>
    <col min="11" max="11" width="11.6640625" customWidth="1"/>
    <col min="12" max="12" width="20.6640625" customWidth="1"/>
    <col min="13" max="21" width="15.6640625" customWidth="1"/>
  </cols>
  <sheetData>
    <row r="1" spans="1:21" x14ac:dyDescent="0.25">
      <c r="A1" s="1" t="s">
        <v>9</v>
      </c>
      <c r="D1" s="12"/>
      <c r="E1" s="12"/>
      <c r="F1" s="12"/>
      <c r="G1" s="12"/>
    </row>
    <row r="2" spans="1:21" x14ac:dyDescent="0.25">
      <c r="A2" s="1" t="s">
        <v>142</v>
      </c>
      <c r="D2" s="18"/>
      <c r="E2" s="18"/>
      <c r="F2" s="18"/>
      <c r="G2" s="18"/>
    </row>
    <row r="3" spans="1:21" x14ac:dyDescent="0.25">
      <c r="A3" s="13">
        <v>42275</v>
      </c>
      <c r="D3" s="18"/>
      <c r="E3" s="18"/>
      <c r="F3" s="18"/>
      <c r="G3" s="18"/>
    </row>
    <row r="4" spans="1:21" x14ac:dyDescent="0.25">
      <c r="D4" s="7"/>
      <c r="E4" s="7"/>
      <c r="F4" s="7"/>
      <c r="G4" s="7"/>
    </row>
    <row r="5" spans="1:21" s="35" customFormat="1" ht="25.2" customHeight="1" x14ac:dyDescent="0.25">
      <c r="D5" s="38" t="str">
        <f>'Reach 0'!$A$5</f>
        <v>LA Forebay Reach 0</v>
      </c>
      <c r="E5" s="38" t="str">
        <f>'Reach 1'!$A$5</f>
        <v>LA Forebay Reach 1</v>
      </c>
      <c r="F5" s="38" t="str">
        <f>'Reach 2'!$A$5</f>
        <v>LA Forebay Reach 2</v>
      </c>
      <c r="G5" s="38" t="str">
        <f>'Reach 3'!$A$5</f>
        <v>LA Forebay Reach 3</v>
      </c>
      <c r="H5" s="38" t="str">
        <f>'Reach 4'!$A$5</f>
        <v>LA Forebay Reach 4</v>
      </c>
      <c r="I5" s="38" t="str">
        <f>'Reach 5'!$A$5</f>
        <v>LA Forebay Reach 5</v>
      </c>
      <c r="J5" s="38" t="str">
        <f>'Reach 6'!$A$5</f>
        <v>LA Forebay Reach 6</v>
      </c>
      <c r="K5" s="38" t="str">
        <f>'Reach 7'!$A$5</f>
        <v>LA Forebay Reach 7</v>
      </c>
      <c r="S5" s="38"/>
      <c r="T5" s="38"/>
      <c r="U5" s="38"/>
    </row>
    <row r="6" spans="1:21" x14ac:dyDescent="0.25">
      <c r="C6" s="36"/>
      <c r="D6" s="10"/>
      <c r="E6" s="10"/>
      <c r="F6" s="10"/>
      <c r="G6" s="10"/>
      <c r="H6" s="10"/>
      <c r="I6" s="10"/>
      <c r="J6" s="10"/>
      <c r="K6" s="10"/>
      <c r="S6" s="10"/>
      <c r="T6" s="10"/>
      <c r="U6" s="10"/>
    </row>
    <row r="7" spans="1:21" x14ac:dyDescent="0.25">
      <c r="A7" s="33"/>
      <c r="C7" s="37" t="s">
        <v>28</v>
      </c>
      <c r="D7" s="34">
        <f>'Reach 0'!$E$77</f>
        <v>1056.3240000000001</v>
      </c>
      <c r="E7" s="34">
        <f>'Reach 1'!$E$65</f>
        <v>416.97</v>
      </c>
      <c r="F7" s="34">
        <f>'Reach 2'!$E$68</f>
        <v>667.15200000000004</v>
      </c>
      <c r="G7" s="34">
        <f>'Reach 3'!$E$65</f>
        <v>1417.6980000000001</v>
      </c>
      <c r="H7" s="34">
        <f>'Reach 4'!$E$65</f>
        <v>750.54600000000005</v>
      </c>
      <c r="I7" s="34">
        <f>'Reach 5'!$E$65</f>
        <v>694.95</v>
      </c>
      <c r="J7" s="34">
        <f>'Reach 6'!$E$65</f>
        <v>389.17200000000003</v>
      </c>
      <c r="K7" s="34">
        <f>'Reach 7'!$E$65</f>
        <v>194.58600000000001</v>
      </c>
      <c r="S7" s="34"/>
      <c r="T7" s="34"/>
      <c r="U7" s="34"/>
    </row>
    <row r="8" spans="1:21" x14ac:dyDescent="0.25">
      <c r="C8" s="36"/>
      <c r="D8" s="10"/>
      <c r="E8" s="10"/>
      <c r="F8" s="10"/>
      <c r="G8" s="10"/>
      <c r="H8" s="10"/>
      <c r="I8" s="10"/>
      <c r="J8" s="10"/>
      <c r="K8" s="10"/>
      <c r="S8" s="10"/>
      <c r="T8" s="10"/>
      <c r="U8" s="10"/>
    </row>
    <row r="9" spans="1:21" x14ac:dyDescent="0.25">
      <c r="A9" s="2"/>
      <c r="C9" s="37" t="s">
        <v>29</v>
      </c>
      <c r="D9" s="30">
        <f>'Reach 0'!$E$69</f>
        <v>23334136.501198787</v>
      </c>
      <c r="E9" s="30">
        <f>'Reach 1'!$E$57</f>
        <v>11955161.790000003</v>
      </c>
      <c r="F9" s="30">
        <f>'Reach 2'!$E$60</f>
        <v>12813160.932</v>
      </c>
      <c r="G9" s="30">
        <f>'Reach 3'!$E$57</f>
        <v>32203550.808000006</v>
      </c>
      <c r="H9" s="30">
        <f>'Reach 4'!$E$57</f>
        <v>17683905.096000001</v>
      </c>
      <c r="I9" s="30">
        <f>'Reach 5'!$E$57</f>
        <v>13668017.220000001</v>
      </c>
      <c r="J9" s="30">
        <f>'Reach 6'!$E$57</f>
        <v>13273971.282000002</v>
      </c>
      <c r="K9" s="30">
        <f>'Reach 7'!$E$57</f>
        <v>10561093.686000001</v>
      </c>
      <c r="S9" s="30"/>
      <c r="T9" s="30"/>
      <c r="U9" s="30"/>
    </row>
    <row r="10" spans="1:21" hidden="1" x14ac:dyDescent="0.25">
      <c r="C10" s="36"/>
      <c r="D10" s="10"/>
      <c r="E10" s="10"/>
      <c r="F10" s="10"/>
      <c r="G10" s="10"/>
      <c r="H10" s="10"/>
      <c r="I10" s="10"/>
      <c r="J10" s="10"/>
      <c r="K10" s="10"/>
      <c r="S10" s="10"/>
      <c r="T10" s="10"/>
      <c r="U10" s="10"/>
    </row>
    <row r="11" spans="1:21" hidden="1" x14ac:dyDescent="0.25">
      <c r="A11" s="2"/>
      <c r="C11" s="1" t="s">
        <v>145</v>
      </c>
      <c r="D11" s="30">
        <f>'Reach 0'!$E$73</f>
        <v>1104480.8212703899</v>
      </c>
      <c r="E11" s="30">
        <f>'Reach 1'!$E$61</f>
        <v>550354.94005377858</v>
      </c>
      <c r="F11" s="30">
        <f>'Reach 2'!$E$64</f>
        <v>617371.93579192273</v>
      </c>
      <c r="G11" s="30">
        <f>'Reach 3'!$E$61</f>
        <v>1519284.0563965715</v>
      </c>
      <c r="H11" s="30">
        <f>'Reach 4'!$E$61</f>
        <v>830790.51348349964</v>
      </c>
      <c r="I11" s="30">
        <f>'Reach 5'!$E$61</f>
        <v>656473.10706261452</v>
      </c>
      <c r="J11" s="30">
        <f>'Reach 6'!$E$61</f>
        <v>601846.19915790984</v>
      </c>
      <c r="K11" s="30">
        <f>'Reach 7'!$E$61</f>
        <v>464469.16453561344</v>
      </c>
      <c r="S11" s="30"/>
      <c r="T11" s="30"/>
      <c r="U11" s="30"/>
    </row>
    <row r="12" spans="1:21" x14ac:dyDescent="0.25">
      <c r="C12" s="36"/>
      <c r="D12" s="10"/>
      <c r="E12" s="10"/>
      <c r="F12" s="10"/>
      <c r="G12" s="10"/>
      <c r="H12" s="10"/>
      <c r="I12" s="10"/>
      <c r="J12" s="10"/>
      <c r="K12" s="10"/>
      <c r="S12" s="10"/>
      <c r="T12" s="10"/>
      <c r="U12" s="10"/>
    </row>
    <row r="13" spans="1:21" x14ac:dyDescent="0.25">
      <c r="A13" s="2"/>
      <c r="C13" s="1" t="s">
        <v>158</v>
      </c>
      <c r="D13" s="30">
        <f>'Reach 0'!E71</f>
        <v>3166666.6666666665</v>
      </c>
      <c r="E13" s="30">
        <f>'Reach 1'!E59</f>
        <v>1250000</v>
      </c>
      <c r="F13" s="30">
        <f>'Reach 2'!E62</f>
        <v>2000000</v>
      </c>
      <c r="G13" s="30">
        <f>'Reach 3'!E59</f>
        <v>4250000</v>
      </c>
      <c r="H13" s="30">
        <f>'Reach 4'!E59</f>
        <v>2250000.0000000005</v>
      </c>
      <c r="I13" s="30">
        <f>'Reach 5'!E59</f>
        <v>2083333.3333333335</v>
      </c>
      <c r="J13" s="30">
        <f>'Reach 6'!E59</f>
        <v>1166666.6666666667</v>
      </c>
      <c r="K13" s="30">
        <f>'Reach 7'!E59</f>
        <v>583333.33333333337</v>
      </c>
      <c r="S13" s="30"/>
      <c r="T13" s="30"/>
      <c r="U13" s="30"/>
    </row>
    <row r="14" spans="1:21" x14ac:dyDescent="0.25">
      <c r="S14" s="10"/>
      <c r="T14" s="10"/>
      <c r="U14" s="10"/>
    </row>
    <row r="15" spans="1:21" x14ac:dyDescent="0.25">
      <c r="C15" s="37" t="s">
        <v>30</v>
      </c>
      <c r="D15" s="30">
        <f>'Reach 0'!$E$75</f>
        <v>619770.71124711481</v>
      </c>
      <c r="E15" s="30">
        <f>'Reach 1'!$E$63</f>
        <v>247191.12787566072</v>
      </c>
      <c r="F15" s="30">
        <f>'Reach 2'!$E$66</f>
        <v>261080.00287566072</v>
      </c>
      <c r="G15" s="30">
        <f>'Reach 3'!$E$63</f>
        <v>682295.75862698222</v>
      </c>
      <c r="H15" s="30">
        <f>'Reach 4'!$E$63</f>
        <v>376921.10239380103</v>
      </c>
      <c r="I15" s="30">
        <f>'Reach 5'!$E$63</f>
        <v>274918.00287566072</v>
      </c>
      <c r="J15" s="30">
        <f>'Reach 6'!$E$63</f>
        <v>268539.37787566072</v>
      </c>
      <c r="K15" s="30">
        <f>'Reach 7'!$E$63</f>
        <v>204786.25288021142</v>
      </c>
      <c r="S15" s="57"/>
      <c r="T15" s="57"/>
      <c r="U15" s="57"/>
    </row>
    <row r="16" spans="1:21" x14ac:dyDescent="0.25">
      <c r="C16" s="75"/>
      <c r="D16" s="10"/>
      <c r="E16" s="10"/>
      <c r="F16" s="10"/>
      <c r="G16" s="10"/>
      <c r="H16" s="10"/>
      <c r="I16" s="10"/>
      <c r="J16" s="10"/>
      <c r="K16" s="10"/>
      <c r="S16" s="10"/>
      <c r="T16" s="10"/>
      <c r="U16" s="10"/>
    </row>
    <row r="17" spans="3:21" x14ac:dyDescent="0.25">
      <c r="C17" s="37" t="s">
        <v>34</v>
      </c>
      <c r="D17" s="69">
        <f>'Reach 0'!$B$38</f>
        <v>0.37999999999999995</v>
      </c>
      <c r="E17" s="69">
        <f>'Reach 1'!$B$26</f>
        <v>0.15</v>
      </c>
      <c r="F17" s="69">
        <f>'Reach 2'!$B$28</f>
        <v>0.24</v>
      </c>
      <c r="G17" s="69">
        <f>'Reach 3'!$B$26</f>
        <v>0.51</v>
      </c>
      <c r="H17" s="69">
        <f>'Reach 4'!$B$26</f>
        <v>0.27000000000000007</v>
      </c>
      <c r="I17" s="69">
        <f>'Reach 5'!$B$26</f>
        <v>0.25000000000000006</v>
      </c>
      <c r="J17" s="69">
        <f>'Reach 6'!$B$26</f>
        <v>0.14000000000000001</v>
      </c>
      <c r="K17" s="69">
        <f>'Reach 7'!$B$26</f>
        <v>7.0000000000000007E-2</v>
      </c>
      <c r="S17" s="34"/>
      <c r="T17" s="34"/>
      <c r="U17" s="34"/>
    </row>
    <row r="18" spans="3:21" x14ac:dyDescent="0.25">
      <c r="C18" s="36"/>
      <c r="D18" s="10"/>
      <c r="E18" s="10"/>
      <c r="F18" s="10"/>
      <c r="G18" s="10"/>
      <c r="H18" s="10"/>
      <c r="I18" s="10"/>
      <c r="J18" s="10"/>
      <c r="K18" s="10"/>
      <c r="S18" s="34"/>
      <c r="T18" s="34"/>
      <c r="U18" s="34"/>
    </row>
    <row r="19" spans="3:21" x14ac:dyDescent="0.25">
      <c r="C19" s="37" t="s">
        <v>33</v>
      </c>
      <c r="D19" s="34">
        <f>'Reach 0'!$B$42</f>
        <v>412.16986789429427</v>
      </c>
      <c r="E19" s="34">
        <f>'Reach 1'!$B$30</f>
        <v>1255</v>
      </c>
      <c r="F19" s="34">
        <f>'Reach 2'!$B$32</f>
        <v>1230</v>
      </c>
      <c r="G19" s="34">
        <f>'Reach 3'!$B$30</f>
        <v>2530</v>
      </c>
      <c r="H19" s="34">
        <f>'Reach 4'!$B$30</f>
        <v>1170</v>
      </c>
      <c r="I19" s="34">
        <f>'Reach 5'!$B$30</f>
        <v>2600</v>
      </c>
      <c r="J19" s="34">
        <f>'Reach 6'!$B$30</f>
        <v>1355</v>
      </c>
      <c r="K19" s="34">
        <f>'Reach 7'!$B$30</f>
        <v>1355</v>
      </c>
      <c r="S19" s="34"/>
      <c r="T19" s="34"/>
      <c r="U19" s="34"/>
    </row>
    <row r="20" spans="3:21" x14ac:dyDescent="0.25">
      <c r="C20" s="36"/>
      <c r="D20" s="34"/>
      <c r="E20" s="34"/>
      <c r="F20" s="34"/>
      <c r="G20" s="34"/>
      <c r="H20" s="34"/>
      <c r="I20" s="34"/>
      <c r="J20" s="34"/>
      <c r="K20" s="34"/>
      <c r="S20" s="10"/>
      <c r="T20" s="10"/>
      <c r="U20" s="10"/>
    </row>
    <row r="21" spans="3:21" x14ac:dyDescent="0.25">
      <c r="C21" s="37" t="s">
        <v>32</v>
      </c>
      <c r="D21" s="34">
        <f>'Reach 0'!$N$18</f>
        <v>1306275.8399999999</v>
      </c>
      <c r="E21" s="34">
        <f>'Reach 1'!$N$26</f>
        <v>163284.47999999998</v>
      </c>
      <c r="F21" s="34">
        <f>'Reach 2'!$N$26</f>
        <v>163284.47999999998</v>
      </c>
      <c r="G21" s="34">
        <f>'Reach 3'!$N$26</f>
        <v>489853.44000000006</v>
      </c>
      <c r="H21" s="34">
        <f>'Reach 4'!$N$26</f>
        <v>326568.95999999996</v>
      </c>
      <c r="I21" s="34">
        <f>'Reach 5'!$N$26</f>
        <v>163284.47999999998</v>
      </c>
      <c r="J21" s="34">
        <f>'Reach 6'!$N$26</f>
        <v>163284.47999999998</v>
      </c>
      <c r="K21" s="34">
        <f>'Reach 7'!$N$26</f>
        <v>163284.47999999998</v>
      </c>
      <c r="S21" s="30"/>
      <c r="T21" s="30"/>
      <c r="U21" s="30"/>
    </row>
    <row r="22" spans="3:21" x14ac:dyDescent="0.25">
      <c r="C22" s="36"/>
      <c r="D22" s="10"/>
      <c r="E22" s="10"/>
      <c r="F22" s="10"/>
      <c r="G22" s="10"/>
      <c r="H22" s="10"/>
      <c r="I22" s="10"/>
      <c r="J22" s="10"/>
      <c r="K22" s="10"/>
    </row>
    <row r="23" spans="3:21" x14ac:dyDescent="0.25">
      <c r="C23" s="1" t="s">
        <v>31</v>
      </c>
      <c r="D23" s="30">
        <f>'Reach 0'!$E$79</f>
        <v>1632.3131279015763</v>
      </c>
      <c r="E23" s="30">
        <f>'Reach 1'!$E$67</f>
        <v>1912.7181042507596</v>
      </c>
      <c r="F23" s="30">
        <f>'Reach 2'!$E$70</f>
        <v>1316.719336324531</v>
      </c>
      <c r="G23" s="30">
        <f>'Reach 3'!$E$67</f>
        <v>1552.9258100269262</v>
      </c>
      <c r="H23" s="30">
        <f>'Reach 4'!$E$67</f>
        <v>1609.1107218975262</v>
      </c>
      <c r="I23" s="30">
        <f>'Reach 5'!$E$67</f>
        <v>1340.227512681884</v>
      </c>
      <c r="J23" s="30">
        <f>'Reach 6'!$E$67</f>
        <v>2236.5061644557431</v>
      </c>
      <c r="K23" s="30">
        <f>'Reach 7'!$E$67</f>
        <v>3439.3811343869793</v>
      </c>
    </row>
    <row r="25" spans="3:21" x14ac:dyDescent="0.25">
      <c r="C25" s="37"/>
      <c r="D25" s="34"/>
      <c r="E25" s="34"/>
      <c r="F25" s="34"/>
      <c r="G25" s="34"/>
      <c r="H25" s="34"/>
      <c r="I25" s="34"/>
      <c r="J25" s="34"/>
    </row>
    <row r="26" spans="3:21" x14ac:dyDescent="0.25">
      <c r="C26" s="36"/>
      <c r="D26" s="10"/>
      <c r="E26" s="10"/>
      <c r="F26" s="10"/>
      <c r="G26" s="10"/>
      <c r="H26" s="10"/>
      <c r="I26" s="10"/>
      <c r="J26" s="10"/>
    </row>
    <row r="27" spans="3:21" x14ac:dyDescent="0.25">
      <c r="C27" s="37"/>
      <c r="D27" s="30"/>
      <c r="E27" s="30"/>
      <c r="F27" s="30"/>
      <c r="G27" s="30"/>
      <c r="H27" s="30"/>
      <c r="I27" s="30"/>
      <c r="J27" s="30"/>
    </row>
    <row r="28" spans="3:21" x14ac:dyDescent="0.25">
      <c r="C28" s="36"/>
      <c r="D28" s="10"/>
      <c r="E28" s="10"/>
      <c r="F28" s="10"/>
      <c r="G28" s="10"/>
      <c r="H28" s="10"/>
      <c r="I28" s="10"/>
      <c r="J28" s="10"/>
    </row>
    <row r="29" spans="3:21" x14ac:dyDescent="0.25">
      <c r="C29" s="37"/>
      <c r="D29" s="30"/>
      <c r="E29" s="30"/>
      <c r="F29" s="30"/>
      <c r="G29" s="30"/>
      <c r="H29" s="30"/>
      <c r="I29" s="30"/>
      <c r="J29" s="30"/>
    </row>
    <row r="30" spans="3:21" x14ac:dyDescent="0.25">
      <c r="C30" s="36"/>
      <c r="D30" s="10"/>
      <c r="E30" s="10"/>
      <c r="F30" s="10"/>
      <c r="G30" s="10"/>
      <c r="H30" s="10"/>
      <c r="I30" s="10"/>
      <c r="J30" s="10"/>
    </row>
    <row r="31" spans="3:21" x14ac:dyDescent="0.25">
      <c r="C31" s="37"/>
      <c r="D31" s="57"/>
      <c r="E31" s="57"/>
      <c r="F31" s="57"/>
      <c r="G31" s="57"/>
      <c r="H31" s="57"/>
      <c r="I31" s="57"/>
      <c r="J31" s="57"/>
    </row>
    <row r="32" spans="3:21" x14ac:dyDescent="0.25">
      <c r="C32" s="36"/>
      <c r="D32" s="10"/>
      <c r="E32" s="10"/>
      <c r="F32" s="10"/>
      <c r="G32" s="10"/>
      <c r="H32" s="10"/>
      <c r="I32" s="10"/>
      <c r="J32" s="10"/>
    </row>
    <row r="33" spans="3:10" x14ac:dyDescent="0.25">
      <c r="C33" s="37"/>
      <c r="D33" s="34"/>
      <c r="E33" s="34"/>
      <c r="F33" s="34"/>
      <c r="G33" s="34"/>
      <c r="H33" s="34"/>
      <c r="I33" s="34"/>
      <c r="J33" s="34"/>
    </row>
    <row r="34" spans="3:10" x14ac:dyDescent="0.25">
      <c r="C34" s="36"/>
      <c r="D34" s="34"/>
      <c r="E34" s="34"/>
      <c r="F34" s="34"/>
      <c r="G34" s="34"/>
      <c r="H34" s="34"/>
      <c r="I34" s="34"/>
      <c r="J34" s="34"/>
    </row>
    <row r="35" spans="3:10" x14ac:dyDescent="0.25">
      <c r="C35" s="37"/>
      <c r="D35" s="34"/>
      <c r="E35" s="34"/>
      <c r="F35" s="34"/>
      <c r="G35" s="34"/>
      <c r="H35" s="34"/>
      <c r="I35" s="34"/>
      <c r="J35" s="34"/>
    </row>
    <row r="36" spans="3:10" x14ac:dyDescent="0.25">
      <c r="C36" s="36"/>
      <c r="D36" s="10"/>
      <c r="E36" s="10"/>
      <c r="F36" s="10"/>
      <c r="G36" s="10"/>
      <c r="H36" s="10"/>
      <c r="I36" s="10"/>
      <c r="J36" s="10"/>
    </row>
    <row r="37" spans="3:10" x14ac:dyDescent="0.25">
      <c r="C37" s="37"/>
      <c r="D37" s="24"/>
      <c r="E37" s="24"/>
      <c r="F37" s="24"/>
      <c r="G37" s="24"/>
      <c r="H37" s="24"/>
      <c r="I37" s="24"/>
      <c r="J37" s="24"/>
    </row>
    <row r="38" spans="3:10" x14ac:dyDescent="0.25">
      <c r="C38" s="1"/>
      <c r="D38" s="10"/>
      <c r="E38" s="10"/>
      <c r="F38" s="10"/>
      <c r="G38" s="10"/>
      <c r="H38" s="10"/>
      <c r="I38" s="10"/>
      <c r="J38" s="10"/>
    </row>
    <row r="39" spans="3:10" x14ac:dyDescent="0.25">
      <c r="C39" s="1"/>
      <c r="D39" s="30"/>
      <c r="E39" s="30"/>
      <c r="F39" s="30"/>
      <c r="G39" s="30"/>
      <c r="H39" s="30"/>
      <c r="I39" s="30"/>
      <c r="J39" s="30"/>
    </row>
  </sheetData>
  <pageMargins left="0.7" right="0.7" top="0.75" bottom="0.75" header="0.3" footer="0.3"/>
  <pageSetup scale="73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4"/>
  <sheetViews>
    <sheetView topLeftCell="A9" zoomScaleNormal="100" zoomScaleSheetLayoutView="80" workbookViewId="0">
      <selection activeCell="B39" sqref="B39"/>
    </sheetView>
  </sheetViews>
  <sheetFormatPr defaultRowHeight="13.2" x14ac:dyDescent="0.25"/>
  <cols>
    <col min="1" max="1" width="54.6640625" customWidth="1"/>
    <col min="4" max="4" width="13.88671875" bestFit="1" customWidth="1"/>
    <col min="5" max="5" width="15.44140625" customWidth="1"/>
    <col min="9" max="9" width="9.109375" bestFit="1" customWidth="1"/>
    <col min="13" max="13" width="38.6640625" customWidth="1"/>
    <col min="14" max="14" width="14" customWidth="1"/>
    <col min="15" max="15" width="17.109375" customWidth="1"/>
    <col min="16" max="16" width="16.5546875" customWidth="1"/>
    <col min="17" max="17" width="17.109375" customWidth="1"/>
    <col min="18" max="18" width="19.33203125" customWidth="1"/>
    <col min="19" max="19" width="11.44140625" customWidth="1"/>
    <col min="20" max="20" width="15" customWidth="1"/>
    <col min="21" max="21" width="26.33203125" customWidth="1"/>
    <col min="23" max="23" width="28.6640625" customWidth="1"/>
  </cols>
  <sheetData>
    <row r="1" spans="1:24" ht="14.4" x14ac:dyDescent="0.3">
      <c r="A1" s="1" t="str">
        <f>Summary!A1</f>
        <v>LACDPW Basin Study</v>
      </c>
      <c r="M1" s="45"/>
      <c r="N1" s="46"/>
      <c r="O1" s="45"/>
      <c r="P1" s="47"/>
      <c r="Q1" s="47"/>
      <c r="R1" s="47"/>
      <c r="S1" s="48"/>
    </row>
    <row r="2" spans="1:24" x14ac:dyDescent="0.25">
      <c r="A2" s="1" t="str">
        <f>Summary!A2</f>
        <v>N Summerville</v>
      </c>
      <c r="M2" s="49"/>
      <c r="N2" s="50"/>
      <c r="O2" s="49"/>
      <c r="P2" s="50"/>
      <c r="Q2" s="50"/>
      <c r="R2" s="50"/>
      <c r="S2" s="51"/>
    </row>
    <row r="3" spans="1:24" x14ac:dyDescent="0.25">
      <c r="A3" s="13">
        <f>Summary!A3</f>
        <v>42275</v>
      </c>
      <c r="M3" s="49"/>
      <c r="N3" s="49"/>
      <c r="O3" s="49"/>
      <c r="P3" s="51"/>
      <c r="Q3" s="51"/>
      <c r="R3" s="51"/>
      <c r="S3" s="51"/>
      <c r="T3" s="32"/>
      <c r="U3" s="32"/>
      <c r="V3" s="32"/>
    </row>
    <row r="4" spans="1:24" x14ac:dyDescent="0.25">
      <c r="M4" s="49"/>
      <c r="N4" s="50"/>
      <c r="O4" s="52"/>
      <c r="P4" s="53"/>
      <c r="Q4" s="53"/>
      <c r="R4" s="53"/>
      <c r="S4" s="51"/>
      <c r="T4" s="32"/>
      <c r="U4" s="32"/>
      <c r="V4" s="32"/>
    </row>
    <row r="5" spans="1:24" ht="13.8" thickBot="1" x14ac:dyDescent="0.3">
      <c r="A5" s="16" t="s">
        <v>37</v>
      </c>
      <c r="B5" s="17"/>
      <c r="C5" s="17"/>
      <c r="D5" s="17"/>
      <c r="E5" s="17"/>
      <c r="M5" s="76" t="s">
        <v>146</v>
      </c>
      <c r="N5" s="77"/>
      <c r="O5" s="78"/>
      <c r="P5" s="53"/>
      <c r="Q5" s="53"/>
      <c r="R5" s="53"/>
      <c r="S5" s="51"/>
      <c r="T5" s="32"/>
      <c r="U5" s="32"/>
      <c r="V5" s="32"/>
    </row>
    <row r="6" spans="1:24" x14ac:dyDescent="0.25">
      <c r="F6" s="6" t="s">
        <v>90</v>
      </c>
      <c r="M6" s="78"/>
      <c r="N6" s="78"/>
      <c r="O6" s="77"/>
      <c r="P6" s="53"/>
      <c r="Q6" s="53"/>
      <c r="R6" s="53"/>
      <c r="S6" s="51"/>
      <c r="T6" s="32"/>
      <c r="U6" s="32"/>
      <c r="V6" s="32"/>
    </row>
    <row r="7" spans="1:24" x14ac:dyDescent="0.25">
      <c r="A7" s="1" t="s">
        <v>0</v>
      </c>
      <c r="B7" s="3" t="s">
        <v>1</v>
      </c>
      <c r="C7" s="3" t="s">
        <v>2</v>
      </c>
      <c r="D7" s="4" t="s">
        <v>3</v>
      </c>
      <c r="E7" s="4" t="s">
        <v>4</v>
      </c>
      <c r="F7" s="6" t="s">
        <v>91</v>
      </c>
      <c r="M7" s="79" t="s">
        <v>147</v>
      </c>
      <c r="N7" s="80" t="s">
        <v>4</v>
      </c>
      <c r="O7" s="81" t="s">
        <v>21</v>
      </c>
      <c r="P7" s="53"/>
      <c r="Q7" s="53"/>
      <c r="R7" s="53"/>
      <c r="S7" s="51"/>
      <c r="T7" s="32"/>
      <c r="U7" s="32"/>
      <c r="V7" s="32"/>
    </row>
    <row r="8" spans="1:24" x14ac:dyDescent="0.25">
      <c r="A8" s="92"/>
      <c r="B8" s="39"/>
      <c r="C8" s="39"/>
      <c r="D8" s="93"/>
      <c r="E8" s="93"/>
      <c r="F8" s="9" t="s">
        <v>92</v>
      </c>
      <c r="G8" s="78"/>
      <c r="M8" s="78"/>
      <c r="N8" s="81" t="s">
        <v>24</v>
      </c>
      <c r="O8" s="81" t="s">
        <v>24</v>
      </c>
      <c r="P8" s="53"/>
      <c r="Q8" s="53"/>
      <c r="R8" s="53"/>
      <c r="S8" s="51"/>
      <c r="T8" s="32"/>
      <c r="U8" s="32"/>
      <c r="V8" s="32"/>
    </row>
    <row r="9" spans="1:24" x14ac:dyDescent="0.25">
      <c r="A9" s="9" t="s">
        <v>38</v>
      </c>
      <c r="B9" s="89" t="s">
        <v>39</v>
      </c>
      <c r="C9" s="94">
        <v>1</v>
      </c>
      <c r="D9" s="73">
        <v>125000</v>
      </c>
      <c r="E9" s="95">
        <f>ROUND(D9*C9,-3)</f>
        <v>125000</v>
      </c>
      <c r="F9" s="9" t="s">
        <v>93</v>
      </c>
      <c r="G9" s="78"/>
      <c r="M9" s="6" t="s">
        <v>54</v>
      </c>
      <c r="N9" s="30">
        <f>E21</f>
        <v>150000</v>
      </c>
      <c r="O9" s="86">
        <f>+PMT(0.03375,50,-N9,0)</f>
        <v>6251.5887590701577</v>
      </c>
      <c r="P9" s="53"/>
      <c r="Q9" s="53"/>
      <c r="R9" s="53"/>
      <c r="S9" s="51"/>
      <c r="T9" s="32"/>
      <c r="U9" s="32"/>
      <c r="V9" s="32"/>
    </row>
    <row r="10" spans="1:24" ht="12.75" customHeight="1" x14ac:dyDescent="0.25">
      <c r="A10" s="9" t="s">
        <v>40</v>
      </c>
      <c r="B10" s="89" t="s">
        <v>41</v>
      </c>
      <c r="C10" s="94">
        <v>450</v>
      </c>
      <c r="D10" s="72">
        <v>216</v>
      </c>
      <c r="E10" s="95">
        <f>ROUND(D10*C10,-3)</f>
        <v>97000</v>
      </c>
      <c r="F10" s="78"/>
      <c r="G10" s="78"/>
      <c r="M10" s="6" t="s">
        <v>56</v>
      </c>
      <c r="N10" s="30">
        <f>E22</f>
        <v>50000</v>
      </c>
      <c r="O10" s="86">
        <f>+PMT(0.03375,50,-N10,0)</f>
        <v>2083.8629196900524</v>
      </c>
      <c r="P10" s="53"/>
      <c r="Q10" s="53"/>
      <c r="R10" s="53"/>
      <c r="S10" s="51"/>
      <c r="T10" s="32"/>
      <c r="U10" s="32"/>
      <c r="V10" s="32"/>
    </row>
    <row r="11" spans="1:24" x14ac:dyDescent="0.25">
      <c r="A11" s="9" t="s">
        <v>42</v>
      </c>
      <c r="B11" s="89" t="s">
        <v>41</v>
      </c>
      <c r="C11" s="94">
        <v>100</v>
      </c>
      <c r="D11" s="72">
        <v>2000</v>
      </c>
      <c r="E11" s="95">
        <f t="shared" ref="E11:E34" si="0">ROUND(D11*C11,-3)</f>
        <v>200000</v>
      </c>
      <c r="F11" s="96"/>
      <c r="G11" s="78"/>
      <c r="M11" s="83" t="s">
        <v>6</v>
      </c>
      <c r="N11" s="84"/>
      <c r="O11" s="85">
        <f>SUM(O9:O10)</f>
        <v>8335.4516787602097</v>
      </c>
      <c r="P11" s="53"/>
      <c r="Q11" s="53"/>
      <c r="R11" s="53"/>
      <c r="S11" s="51"/>
      <c r="T11" s="32"/>
      <c r="U11" s="32"/>
      <c r="V11" s="32"/>
    </row>
    <row r="12" spans="1:24" x14ac:dyDescent="0.25">
      <c r="A12" s="9" t="s">
        <v>43</v>
      </c>
      <c r="B12" s="89" t="s">
        <v>39</v>
      </c>
      <c r="C12" s="94">
        <v>1</v>
      </c>
      <c r="D12" s="73">
        <v>30000</v>
      </c>
      <c r="E12" s="95">
        <f t="shared" si="0"/>
        <v>30000</v>
      </c>
      <c r="F12" s="96"/>
      <c r="G12" s="78"/>
      <c r="P12" s="53"/>
      <c r="Q12" s="53"/>
      <c r="R12" s="53"/>
      <c r="S12" s="51"/>
      <c r="T12" s="32"/>
      <c r="U12" s="32"/>
      <c r="V12" s="32"/>
    </row>
    <row r="13" spans="1:24" x14ac:dyDescent="0.25">
      <c r="A13" s="9" t="s">
        <v>44</v>
      </c>
      <c r="B13" s="89" t="s">
        <v>39</v>
      </c>
      <c r="C13" s="94">
        <v>1</v>
      </c>
      <c r="D13" s="73">
        <v>40000</v>
      </c>
      <c r="E13" s="95">
        <f t="shared" si="0"/>
        <v>40000</v>
      </c>
      <c r="F13" s="78"/>
      <c r="G13" s="78"/>
      <c r="M13" s="26" t="s">
        <v>36</v>
      </c>
      <c r="P13" s="53"/>
      <c r="Q13" s="53"/>
      <c r="R13" s="53"/>
      <c r="S13" s="51"/>
      <c r="T13" s="32"/>
      <c r="U13" s="32"/>
      <c r="V13" s="32"/>
    </row>
    <row r="14" spans="1:24" x14ac:dyDescent="0.25">
      <c r="A14" s="9" t="s">
        <v>45</v>
      </c>
      <c r="B14" s="89" t="s">
        <v>46</v>
      </c>
      <c r="C14" s="94">
        <v>2467</v>
      </c>
      <c r="D14" s="72">
        <v>25</v>
      </c>
      <c r="E14" s="95">
        <f t="shared" si="0"/>
        <v>62000</v>
      </c>
      <c r="F14" s="78"/>
      <c r="G14" s="78"/>
      <c r="P14" s="53"/>
      <c r="Q14" s="53"/>
      <c r="R14" s="53"/>
      <c r="S14" s="51"/>
      <c r="T14" s="32"/>
      <c r="U14" s="32"/>
      <c r="V14" s="32"/>
    </row>
    <row r="15" spans="1:24" x14ac:dyDescent="0.25">
      <c r="A15" s="9" t="s">
        <v>47</v>
      </c>
      <c r="B15" s="89" t="s">
        <v>48</v>
      </c>
      <c r="C15" s="94">
        <v>5194</v>
      </c>
      <c r="D15" s="72">
        <v>2.5</v>
      </c>
      <c r="E15" s="95">
        <f t="shared" si="0"/>
        <v>13000</v>
      </c>
      <c r="F15" s="78"/>
      <c r="G15" s="78"/>
      <c r="M15" s="27" t="s">
        <v>16</v>
      </c>
      <c r="N15" s="28"/>
      <c r="O15" s="24" t="s">
        <v>19</v>
      </c>
      <c r="P15" s="53"/>
      <c r="Q15" s="53"/>
      <c r="R15" s="53"/>
      <c r="S15" s="51"/>
      <c r="T15" s="32"/>
      <c r="U15" s="32"/>
      <c r="V15" s="32"/>
    </row>
    <row r="16" spans="1:24" x14ac:dyDescent="0.25">
      <c r="A16" s="9" t="s">
        <v>49</v>
      </c>
      <c r="B16" s="89" t="s">
        <v>46</v>
      </c>
      <c r="C16" s="94">
        <v>386</v>
      </c>
      <c r="D16" s="72">
        <v>25</v>
      </c>
      <c r="E16" s="95">
        <f t="shared" si="0"/>
        <v>10000</v>
      </c>
      <c r="F16" s="96"/>
      <c r="G16" s="78"/>
      <c r="L16" s="40"/>
      <c r="M16" s="24" t="s">
        <v>17</v>
      </c>
      <c r="N16" s="24" t="s">
        <v>18</v>
      </c>
      <c r="O16" s="24" t="s">
        <v>20</v>
      </c>
      <c r="P16" s="53"/>
      <c r="Q16" s="53"/>
      <c r="R16" s="53"/>
      <c r="S16" s="51"/>
      <c r="T16" s="32"/>
      <c r="U16" s="32"/>
      <c r="V16" s="32"/>
      <c r="X16" s="39"/>
    </row>
    <row r="17" spans="1:24" x14ac:dyDescent="0.25">
      <c r="A17" s="9" t="s">
        <v>50</v>
      </c>
      <c r="B17" s="89" t="s">
        <v>46</v>
      </c>
      <c r="C17" s="94">
        <v>977</v>
      </c>
      <c r="D17" s="72">
        <v>15</v>
      </c>
      <c r="E17" s="95">
        <f t="shared" si="0"/>
        <v>15000</v>
      </c>
      <c r="F17" s="96"/>
      <c r="G17" s="78"/>
      <c r="L17" s="40"/>
      <c r="M17" s="10"/>
      <c r="N17" s="10"/>
      <c r="O17" s="10"/>
      <c r="P17" s="53"/>
      <c r="Q17" s="53"/>
      <c r="R17" s="53"/>
      <c r="S17" s="51"/>
      <c r="T17" s="32"/>
      <c r="U17" s="32"/>
      <c r="V17" s="32"/>
      <c r="X17" s="39"/>
    </row>
    <row r="18" spans="1:24" x14ac:dyDescent="0.25">
      <c r="A18" s="9" t="s">
        <v>51</v>
      </c>
      <c r="B18" s="89" t="s">
        <v>46</v>
      </c>
      <c r="C18" s="94">
        <v>1490</v>
      </c>
      <c r="D18" s="72">
        <v>6.5</v>
      </c>
      <c r="E18" s="95">
        <f t="shared" si="0"/>
        <v>10000</v>
      </c>
      <c r="F18" s="96"/>
      <c r="G18" s="78"/>
      <c r="L18" s="40"/>
      <c r="M18" s="10">
        <v>800</v>
      </c>
      <c r="N18" s="25">
        <f>0.746*M18*3*30.4*24</f>
        <v>1306275.8399999999</v>
      </c>
      <c r="O18" s="29">
        <v>0.15</v>
      </c>
      <c r="P18" s="53"/>
      <c r="Q18" s="53"/>
      <c r="R18" s="53"/>
      <c r="S18" s="51"/>
      <c r="T18" s="41"/>
      <c r="U18" s="32"/>
      <c r="V18" s="32"/>
      <c r="X18" s="39"/>
    </row>
    <row r="19" spans="1:24" ht="14.4" x14ac:dyDescent="0.3">
      <c r="A19" s="9" t="s">
        <v>52</v>
      </c>
      <c r="B19" s="89" t="s">
        <v>46</v>
      </c>
      <c r="C19" s="94">
        <v>261</v>
      </c>
      <c r="D19" s="73">
        <v>600</v>
      </c>
      <c r="E19" s="95">
        <f t="shared" si="0"/>
        <v>157000</v>
      </c>
      <c r="F19" s="78"/>
      <c r="G19" s="78"/>
      <c r="L19" s="41"/>
      <c r="M19" s="10"/>
      <c r="N19" s="10"/>
      <c r="O19" s="10"/>
      <c r="U19" s="42"/>
      <c r="V19" s="41"/>
      <c r="W19" s="43"/>
      <c r="X19" s="39"/>
    </row>
    <row r="20" spans="1:24" x14ac:dyDescent="0.25">
      <c r="A20" s="9" t="s">
        <v>53</v>
      </c>
      <c r="B20" s="89" t="s">
        <v>39</v>
      </c>
      <c r="C20" s="94">
        <v>1</v>
      </c>
      <c r="D20" s="73">
        <v>35000</v>
      </c>
      <c r="E20" s="95">
        <f t="shared" si="0"/>
        <v>35000</v>
      </c>
      <c r="F20" s="78"/>
      <c r="G20" s="78"/>
      <c r="H20" s="21"/>
      <c r="L20" s="41"/>
      <c r="M20" s="24" t="s">
        <v>22</v>
      </c>
      <c r="N20" s="24" t="s">
        <v>21</v>
      </c>
      <c r="O20" s="24" t="s">
        <v>26</v>
      </c>
      <c r="P20" s="41"/>
      <c r="Q20" s="41"/>
      <c r="R20" s="41"/>
      <c r="S20" s="41"/>
      <c r="T20" s="41"/>
      <c r="U20" s="42"/>
      <c r="V20" s="41"/>
      <c r="W20" s="42"/>
      <c r="X20" s="39"/>
    </row>
    <row r="21" spans="1:24" ht="14.4" x14ac:dyDescent="0.3">
      <c r="A21" s="9" t="s">
        <v>54</v>
      </c>
      <c r="B21" s="89" t="s">
        <v>55</v>
      </c>
      <c r="C21" s="94">
        <v>3</v>
      </c>
      <c r="D21" s="73">
        <v>50000</v>
      </c>
      <c r="E21" s="95">
        <f t="shared" si="0"/>
        <v>150000</v>
      </c>
      <c r="F21" s="78"/>
      <c r="G21" s="78"/>
      <c r="L21" s="41"/>
      <c r="M21" s="24" t="s">
        <v>23</v>
      </c>
      <c r="N21" s="24" t="s">
        <v>24</v>
      </c>
      <c r="O21" s="24" t="s">
        <v>27</v>
      </c>
      <c r="P21" s="10"/>
      <c r="R21" s="41"/>
      <c r="S21" s="41"/>
      <c r="T21" s="21"/>
      <c r="U21" s="23"/>
      <c r="V21" s="41"/>
      <c r="W21" s="43"/>
      <c r="X21" s="39"/>
    </row>
    <row r="22" spans="1:24" x14ac:dyDescent="0.25">
      <c r="A22" s="9" t="s">
        <v>56</v>
      </c>
      <c r="B22" s="89" t="s">
        <v>55</v>
      </c>
      <c r="C22" s="94">
        <v>2</v>
      </c>
      <c r="D22" s="73">
        <v>25000</v>
      </c>
      <c r="E22" s="95">
        <f t="shared" si="0"/>
        <v>50000</v>
      </c>
      <c r="F22" s="78"/>
      <c r="G22" s="78"/>
      <c r="L22" s="41"/>
      <c r="M22" s="10"/>
      <c r="N22" s="10"/>
      <c r="O22" s="10"/>
      <c r="P22" s="10"/>
      <c r="R22" s="41"/>
      <c r="S22" s="41"/>
      <c r="V22" s="41"/>
      <c r="W22" s="44"/>
      <c r="X22" s="39"/>
    </row>
    <row r="23" spans="1:24" x14ac:dyDescent="0.25">
      <c r="A23" s="9" t="s">
        <v>57</v>
      </c>
      <c r="B23" s="89" t="s">
        <v>39</v>
      </c>
      <c r="C23" s="94">
        <v>1</v>
      </c>
      <c r="D23" s="73">
        <v>35000</v>
      </c>
      <c r="E23" s="95">
        <f t="shared" si="0"/>
        <v>35000</v>
      </c>
      <c r="F23" s="78"/>
      <c r="G23" s="78"/>
      <c r="L23" s="41"/>
      <c r="M23" s="31">
        <v>0.05</v>
      </c>
      <c r="N23" s="29">
        <f>+M23*SUM(E9:E49)/2</f>
        <v>415493.88356835465</v>
      </c>
      <c r="O23" s="10">
        <v>50</v>
      </c>
      <c r="P23" s="8"/>
      <c r="R23" s="41"/>
      <c r="S23" s="41"/>
      <c r="T23" s="10"/>
      <c r="U23" s="29"/>
      <c r="V23" s="41"/>
      <c r="W23" s="42"/>
      <c r="X23" s="39"/>
    </row>
    <row r="24" spans="1:24" x14ac:dyDescent="0.25">
      <c r="A24" s="9" t="s">
        <v>58</v>
      </c>
      <c r="B24" s="89" t="s">
        <v>39</v>
      </c>
      <c r="C24" s="94">
        <v>1</v>
      </c>
      <c r="D24" s="73">
        <v>50000</v>
      </c>
      <c r="E24" s="95">
        <f t="shared" si="0"/>
        <v>50000</v>
      </c>
      <c r="F24" s="78"/>
      <c r="G24" s="78"/>
      <c r="T24" s="10"/>
      <c r="U24" s="30"/>
    </row>
    <row r="25" spans="1:24" x14ac:dyDescent="0.25">
      <c r="A25" s="9" t="s">
        <v>59</v>
      </c>
      <c r="B25" s="89" t="s">
        <v>39</v>
      </c>
      <c r="C25" s="94">
        <v>1</v>
      </c>
      <c r="D25" s="73">
        <v>35000</v>
      </c>
      <c r="E25" s="95">
        <f t="shared" si="0"/>
        <v>35000</v>
      </c>
      <c r="F25" s="78"/>
      <c r="G25" s="78"/>
      <c r="T25" s="10"/>
      <c r="U25" s="30"/>
    </row>
    <row r="26" spans="1:24" x14ac:dyDescent="0.25">
      <c r="A26" s="9" t="s">
        <v>60</v>
      </c>
      <c r="B26" s="89" t="s">
        <v>39</v>
      </c>
      <c r="C26" s="94">
        <v>1</v>
      </c>
      <c r="D26" s="73">
        <v>75000</v>
      </c>
      <c r="E26" s="95">
        <f t="shared" si="0"/>
        <v>75000</v>
      </c>
      <c r="F26" s="78"/>
      <c r="G26" s="78"/>
      <c r="P26" s="24" t="s">
        <v>21</v>
      </c>
      <c r="T26" s="10"/>
      <c r="U26" s="30"/>
    </row>
    <row r="27" spans="1:24" x14ac:dyDescent="0.25">
      <c r="A27" s="9" t="s">
        <v>69</v>
      </c>
      <c r="B27" s="89" t="s">
        <v>55</v>
      </c>
      <c r="C27" s="94">
        <v>4</v>
      </c>
      <c r="D27" s="73">
        <v>350000</v>
      </c>
      <c r="E27" s="95">
        <f>ROUND(D27*C27,-3)</f>
        <v>1400000</v>
      </c>
      <c r="F27" s="78"/>
      <c r="G27" s="78"/>
      <c r="P27" s="24" t="s">
        <v>24</v>
      </c>
      <c r="T27" s="10"/>
      <c r="U27" s="30"/>
    </row>
    <row r="28" spans="1:24" x14ac:dyDescent="0.25">
      <c r="A28" s="9" t="s">
        <v>61</v>
      </c>
      <c r="B28" s="89" t="s">
        <v>55</v>
      </c>
      <c r="C28" s="94">
        <v>4</v>
      </c>
      <c r="D28" s="73">
        <v>15000</v>
      </c>
      <c r="E28" s="95">
        <f>ROUND(D28*C28,-3)</f>
        <v>60000</v>
      </c>
      <c r="F28" s="78"/>
      <c r="G28" s="78"/>
      <c r="P28" s="10"/>
      <c r="Q28" s="24"/>
      <c r="T28" s="10"/>
      <c r="U28" s="30"/>
    </row>
    <row r="29" spans="1:24" x14ac:dyDescent="0.25">
      <c r="A29" s="9" t="s">
        <v>62</v>
      </c>
      <c r="B29" s="89" t="s">
        <v>55</v>
      </c>
      <c r="C29" s="94">
        <v>8</v>
      </c>
      <c r="D29" s="73">
        <v>450000</v>
      </c>
      <c r="E29" s="95">
        <f>ROUND(D29*C29,-3)</f>
        <v>3600000</v>
      </c>
      <c r="F29" s="78"/>
      <c r="G29" s="78"/>
      <c r="P29" s="30">
        <f>+N18*O18</f>
        <v>195941.37599999996</v>
      </c>
      <c r="Q29" s="24"/>
      <c r="T29" s="10"/>
      <c r="U29" s="30"/>
    </row>
    <row r="30" spans="1:24" x14ac:dyDescent="0.25">
      <c r="A30" s="9" t="s">
        <v>63</v>
      </c>
      <c r="B30" s="89" t="s">
        <v>55</v>
      </c>
      <c r="C30" s="94">
        <v>8</v>
      </c>
      <c r="D30" s="73">
        <v>5000</v>
      </c>
      <c r="E30" s="95">
        <f>ROUND(D30*C30,-3)</f>
        <v>40000</v>
      </c>
      <c r="F30" s="78"/>
      <c r="G30" s="78"/>
      <c r="P30" s="10"/>
      <c r="T30" s="10"/>
      <c r="U30" s="30"/>
    </row>
    <row r="31" spans="1:24" x14ac:dyDescent="0.25">
      <c r="A31" s="9" t="s">
        <v>64</v>
      </c>
      <c r="B31" s="89" t="s">
        <v>39</v>
      </c>
      <c r="C31" s="94">
        <v>1</v>
      </c>
      <c r="D31" s="73">
        <v>35000</v>
      </c>
      <c r="E31" s="95">
        <f t="shared" si="0"/>
        <v>35000</v>
      </c>
      <c r="F31" s="78"/>
      <c r="G31" s="78"/>
      <c r="Q31" s="2"/>
      <c r="T31" s="56"/>
      <c r="U31" s="30"/>
    </row>
    <row r="32" spans="1:24" x14ac:dyDescent="0.25">
      <c r="A32" s="9" t="s">
        <v>65</v>
      </c>
      <c r="B32" s="89" t="s">
        <v>66</v>
      </c>
      <c r="C32" s="94">
        <v>18400</v>
      </c>
      <c r="D32" s="72">
        <v>2.25</v>
      </c>
      <c r="E32" s="95">
        <f t="shared" si="0"/>
        <v>41000</v>
      </c>
      <c r="F32" s="78"/>
      <c r="G32" s="78"/>
      <c r="T32" s="10"/>
      <c r="U32" s="30"/>
    </row>
    <row r="33" spans="1:21" x14ac:dyDescent="0.25">
      <c r="A33" s="9" t="s">
        <v>67</v>
      </c>
      <c r="B33" s="89" t="s">
        <v>46</v>
      </c>
      <c r="C33" s="94">
        <v>18075</v>
      </c>
      <c r="D33" s="72">
        <v>25</v>
      </c>
      <c r="E33" s="95">
        <f t="shared" si="0"/>
        <v>452000</v>
      </c>
      <c r="F33" s="78"/>
      <c r="G33" s="78"/>
      <c r="T33" s="10"/>
      <c r="U33" s="30"/>
    </row>
    <row r="34" spans="1:21" x14ac:dyDescent="0.25">
      <c r="A34" s="9" t="s">
        <v>68</v>
      </c>
      <c r="B34" s="89" t="s">
        <v>41</v>
      </c>
      <c r="C34" s="94">
        <v>700</v>
      </c>
      <c r="D34" s="72">
        <v>40</v>
      </c>
      <c r="E34" s="95">
        <f t="shared" si="0"/>
        <v>28000</v>
      </c>
      <c r="F34" s="78"/>
      <c r="G34" s="78"/>
      <c r="T34" s="10"/>
      <c r="U34" s="30"/>
    </row>
    <row r="35" spans="1:21" x14ac:dyDescent="0.25">
      <c r="A35" s="97" t="s">
        <v>6</v>
      </c>
      <c r="B35" s="98"/>
      <c r="C35" s="98"/>
      <c r="D35" s="99"/>
      <c r="E35" s="99">
        <f>SUM(E9:E34)</f>
        <v>6845000</v>
      </c>
      <c r="F35" s="78"/>
      <c r="G35" s="78"/>
      <c r="T35" s="10"/>
      <c r="U35" s="30"/>
    </row>
    <row r="36" spans="1:21" x14ac:dyDescent="0.25">
      <c r="A36" s="78"/>
      <c r="B36" s="100"/>
      <c r="C36" s="100"/>
      <c r="D36" s="93"/>
      <c r="E36" s="93"/>
      <c r="F36" s="96"/>
      <c r="G36" s="78"/>
      <c r="T36" s="10"/>
      <c r="U36" s="30"/>
    </row>
    <row r="37" spans="1:21" x14ac:dyDescent="0.25">
      <c r="A37" s="101" t="s">
        <v>70</v>
      </c>
      <c r="B37" s="102"/>
      <c r="C37" s="102"/>
      <c r="D37" s="103"/>
      <c r="E37" s="103"/>
      <c r="F37" s="78"/>
      <c r="G37" s="78"/>
      <c r="T37" s="10"/>
      <c r="U37" s="30"/>
    </row>
    <row r="38" spans="1:21" x14ac:dyDescent="0.25">
      <c r="A38" s="9" t="s">
        <v>71</v>
      </c>
      <c r="B38" s="148">
        <f>B65*0.1*0.6</f>
        <v>0.37999999999999995</v>
      </c>
      <c r="C38" s="89" t="s">
        <v>72</v>
      </c>
      <c r="D38" s="93">
        <v>35000</v>
      </c>
      <c r="E38" s="93">
        <f t="shared" ref="E38" si="1">+B38*D38</f>
        <v>13299.999999999998</v>
      </c>
      <c r="F38" s="78"/>
      <c r="G38" s="78"/>
      <c r="M38" s="24"/>
      <c r="N38" s="24"/>
      <c r="O38" s="24"/>
      <c r="T38" s="10"/>
      <c r="U38" s="30"/>
    </row>
    <row r="39" spans="1:21" x14ac:dyDescent="0.25">
      <c r="A39" s="97" t="s">
        <v>6</v>
      </c>
      <c r="B39" s="98"/>
      <c r="C39" s="98"/>
      <c r="D39" s="99"/>
      <c r="E39" s="99">
        <f>SUM(E38:E38)</f>
        <v>13299.999999999998</v>
      </c>
      <c r="F39" s="96"/>
      <c r="G39" s="78"/>
      <c r="M39" s="24"/>
      <c r="N39" s="24"/>
      <c r="O39" s="24"/>
      <c r="T39" s="10"/>
      <c r="U39" s="30"/>
    </row>
    <row r="40" spans="1:21" x14ac:dyDescent="0.25">
      <c r="A40" s="9"/>
      <c r="B40" s="100"/>
      <c r="C40" s="100"/>
      <c r="D40" s="93"/>
      <c r="E40" s="104"/>
      <c r="F40" s="78"/>
      <c r="G40" s="78"/>
      <c r="M40" s="24"/>
      <c r="N40" s="24"/>
      <c r="O40" s="24"/>
      <c r="T40" s="10"/>
      <c r="U40" s="30"/>
    </row>
    <row r="41" spans="1:21" x14ac:dyDescent="0.25">
      <c r="A41" s="54" t="s">
        <v>74</v>
      </c>
      <c r="B41" s="89"/>
      <c r="C41" s="89"/>
      <c r="D41" s="95"/>
      <c r="E41" s="95"/>
      <c r="F41" s="78"/>
      <c r="G41" s="78"/>
      <c r="M41" s="24"/>
      <c r="N41" s="24"/>
      <c r="O41" s="24"/>
      <c r="T41" s="10"/>
      <c r="U41" s="30"/>
    </row>
    <row r="42" spans="1:21" x14ac:dyDescent="0.25">
      <c r="A42" s="63" t="s">
        <v>75</v>
      </c>
      <c r="B42" s="105">
        <f>SQRT(3.9*66*660)</f>
        <v>412.16986789429427</v>
      </c>
      <c r="C42" s="106" t="s">
        <v>5</v>
      </c>
      <c r="D42" s="107">
        <v>25</v>
      </c>
      <c r="E42" s="107">
        <f>+B42*D42</f>
        <v>10304.246697357357</v>
      </c>
      <c r="F42" s="78"/>
      <c r="G42" s="78"/>
      <c r="M42" s="24"/>
      <c r="N42" s="24"/>
      <c r="O42" s="24"/>
      <c r="T42" s="10"/>
      <c r="U42" s="30"/>
    </row>
    <row r="43" spans="1:21" x14ac:dyDescent="0.25">
      <c r="A43" s="97" t="s">
        <v>6</v>
      </c>
      <c r="B43" s="106"/>
      <c r="C43" s="106"/>
      <c r="D43" s="107"/>
      <c r="E43" s="107">
        <f>SUM(E42)</f>
        <v>10304.246697357357</v>
      </c>
      <c r="F43" s="96" t="s">
        <v>143</v>
      </c>
      <c r="G43" s="78"/>
      <c r="M43" s="24"/>
      <c r="N43" s="24"/>
      <c r="O43" s="24"/>
      <c r="T43" s="10"/>
      <c r="U43" s="30"/>
    </row>
    <row r="44" spans="1:21" x14ac:dyDescent="0.25">
      <c r="A44" s="78"/>
      <c r="B44" s="91"/>
      <c r="C44" s="91"/>
      <c r="D44" s="108"/>
      <c r="E44" s="108"/>
      <c r="F44" s="96"/>
      <c r="G44" s="78"/>
      <c r="M44" s="56"/>
      <c r="N44" s="56"/>
      <c r="O44" s="56"/>
      <c r="T44" s="10"/>
      <c r="U44" s="30"/>
    </row>
    <row r="45" spans="1:21" x14ac:dyDescent="0.25">
      <c r="A45" s="109" t="s">
        <v>138</v>
      </c>
      <c r="B45" s="110">
        <v>10</v>
      </c>
      <c r="C45" s="110" t="s">
        <v>7</v>
      </c>
      <c r="D45" s="111">
        <f>SUM(E6:E41)/2</f>
        <v>6858300</v>
      </c>
      <c r="E45" s="112">
        <f>D45*B45/100</f>
        <v>685830</v>
      </c>
      <c r="F45" s="96"/>
      <c r="G45" s="78"/>
      <c r="M45" s="10"/>
      <c r="N45" s="25"/>
      <c r="O45" s="19"/>
      <c r="T45" s="10"/>
      <c r="U45" s="30"/>
    </row>
    <row r="46" spans="1:21" x14ac:dyDescent="0.25">
      <c r="A46" s="78" t="s">
        <v>6</v>
      </c>
      <c r="B46" s="91"/>
      <c r="C46" s="91"/>
      <c r="D46" s="108"/>
      <c r="E46" s="108">
        <f>SUM(E45)</f>
        <v>685830</v>
      </c>
      <c r="F46" s="96"/>
      <c r="G46" s="78"/>
      <c r="M46" s="10"/>
      <c r="N46" s="10"/>
      <c r="O46" s="10"/>
      <c r="T46" s="10"/>
      <c r="U46" s="30"/>
    </row>
    <row r="47" spans="1:21" x14ac:dyDescent="0.25">
      <c r="A47" s="113"/>
      <c r="B47" s="96"/>
      <c r="C47" s="96"/>
      <c r="D47" s="96"/>
      <c r="E47" s="96"/>
      <c r="F47" s="78"/>
      <c r="G47" s="78"/>
      <c r="T47" s="10"/>
      <c r="U47" s="30"/>
    </row>
    <row r="48" spans="1:21" x14ac:dyDescent="0.25">
      <c r="A48" s="109" t="s">
        <v>8</v>
      </c>
      <c r="B48" s="110">
        <v>10</v>
      </c>
      <c r="C48" s="110" t="s">
        <v>7</v>
      </c>
      <c r="D48" s="111">
        <f>SUM(E9:E46)/2</f>
        <v>7554434.2466973569</v>
      </c>
      <c r="E48" s="112">
        <f>D48*B48/100</f>
        <v>755443.42466973572</v>
      </c>
      <c r="F48" s="78"/>
      <c r="G48" s="78"/>
      <c r="T48" s="10"/>
      <c r="U48" s="30"/>
    </row>
    <row r="49" spans="1:21" x14ac:dyDescent="0.25">
      <c r="A49" s="78" t="s">
        <v>6</v>
      </c>
      <c r="B49" s="91"/>
      <c r="C49" s="91"/>
      <c r="D49" s="108"/>
      <c r="E49" s="108">
        <f>SUM(E48)</f>
        <v>755443.42466973572</v>
      </c>
      <c r="F49" s="78"/>
      <c r="G49" s="78"/>
      <c r="P49" s="10"/>
      <c r="T49" s="10"/>
      <c r="U49" s="30"/>
    </row>
    <row r="50" spans="1:21" x14ac:dyDescent="0.25">
      <c r="A50" s="78"/>
      <c r="B50" s="91"/>
      <c r="C50" s="91"/>
      <c r="D50" s="108"/>
      <c r="E50" s="108"/>
      <c r="F50" s="78"/>
      <c r="G50" s="78"/>
      <c r="P50" s="10"/>
      <c r="T50" s="10"/>
      <c r="U50" s="30"/>
    </row>
    <row r="51" spans="1:21" x14ac:dyDescent="0.25">
      <c r="A51" s="109" t="s">
        <v>10</v>
      </c>
      <c r="B51" s="110"/>
      <c r="C51" s="110"/>
      <c r="D51" s="95"/>
      <c r="E51" s="95"/>
      <c r="F51" s="78"/>
      <c r="G51" s="78"/>
      <c r="P51" s="10"/>
      <c r="T51" s="10"/>
      <c r="U51" s="30"/>
    </row>
    <row r="52" spans="1:21" x14ac:dyDescent="0.25">
      <c r="A52" s="87" t="s">
        <v>148</v>
      </c>
      <c r="B52" s="88">
        <v>10</v>
      </c>
      <c r="C52" s="88" t="s">
        <v>7</v>
      </c>
      <c r="D52" s="114">
        <f>SUM(E9:E49)/2</f>
        <v>8309877.6713670921</v>
      </c>
      <c r="E52" s="107">
        <f>D52*B52/100</f>
        <v>830987.7671367093</v>
      </c>
      <c r="F52" s="78"/>
      <c r="G52" s="78"/>
      <c r="P52" s="10"/>
      <c r="T52" s="10"/>
      <c r="U52" s="30"/>
    </row>
    <row r="53" spans="1:21" x14ac:dyDescent="0.25">
      <c r="A53" s="9" t="s">
        <v>149</v>
      </c>
      <c r="B53" s="100">
        <v>15</v>
      </c>
      <c r="C53" s="89" t="s">
        <v>7</v>
      </c>
      <c r="D53" s="115">
        <f>SUM(E9:E49)/2</f>
        <v>8309877.6713670921</v>
      </c>
      <c r="E53" s="95">
        <f>D53*B53/100</f>
        <v>1246481.6507050637</v>
      </c>
      <c r="F53" s="113"/>
      <c r="G53" s="78"/>
      <c r="P53" s="10"/>
      <c r="T53" s="10"/>
      <c r="U53" s="30"/>
    </row>
    <row r="54" spans="1:21" x14ac:dyDescent="0.25">
      <c r="A54" s="9" t="s">
        <v>15</v>
      </c>
      <c r="B54" s="100">
        <v>11</v>
      </c>
      <c r="C54" s="89" t="s">
        <v>7</v>
      </c>
      <c r="D54" s="115">
        <f>SUM(E9:E49)/2+SUM(D52:D53)+SUM(D55:D57)</f>
        <v>49859266.028202549</v>
      </c>
      <c r="E54" s="95">
        <f t="shared" ref="E54:E57" si="2">D54*B54/100</f>
        <v>5484519.26310228</v>
      </c>
      <c r="F54" s="113"/>
      <c r="G54" s="78"/>
      <c r="P54" s="10"/>
      <c r="T54" s="10"/>
      <c r="U54" s="30"/>
    </row>
    <row r="55" spans="1:21" s="55" customFormat="1" x14ac:dyDescent="0.25">
      <c r="A55" s="9" t="s">
        <v>11</v>
      </c>
      <c r="B55" s="100">
        <v>5</v>
      </c>
      <c r="C55" s="89" t="s">
        <v>7</v>
      </c>
      <c r="D55" s="115">
        <f>SUM(E9:E49)/2</f>
        <v>8309877.6713670921</v>
      </c>
      <c r="E55" s="95">
        <f t="shared" si="2"/>
        <v>415493.88356835465</v>
      </c>
      <c r="F55" s="78"/>
      <c r="G55" s="113"/>
      <c r="M55"/>
      <c r="N55"/>
      <c r="O55"/>
      <c r="P55" s="56"/>
      <c r="T55" s="10"/>
      <c r="U55" s="30"/>
    </row>
    <row r="56" spans="1:21" x14ac:dyDescent="0.25">
      <c r="A56" s="9" t="s">
        <v>12</v>
      </c>
      <c r="B56" s="100">
        <v>10</v>
      </c>
      <c r="C56" s="89" t="s">
        <v>7</v>
      </c>
      <c r="D56" s="115">
        <f>SUM(E9:E49)/2</f>
        <v>8309877.6713670921</v>
      </c>
      <c r="E56" s="95">
        <f t="shared" si="2"/>
        <v>830987.7671367093</v>
      </c>
      <c r="F56" s="78"/>
      <c r="G56" s="78"/>
      <c r="P56" s="10"/>
      <c r="T56" s="10"/>
      <c r="U56" s="30"/>
    </row>
    <row r="57" spans="1:21" x14ac:dyDescent="0.25">
      <c r="A57" s="15" t="s">
        <v>13</v>
      </c>
      <c r="B57" s="102">
        <v>10</v>
      </c>
      <c r="C57" s="110" t="s">
        <v>7</v>
      </c>
      <c r="D57" s="111">
        <f>SUM(E9:E49)/2</f>
        <v>8309877.6713670921</v>
      </c>
      <c r="E57" s="112">
        <f t="shared" si="2"/>
        <v>830987.7671367093</v>
      </c>
      <c r="F57" s="78"/>
      <c r="G57" s="78"/>
      <c r="P57" s="10"/>
      <c r="T57" s="10"/>
      <c r="U57" s="30"/>
    </row>
    <row r="58" spans="1:21" x14ac:dyDescent="0.25">
      <c r="A58" s="78" t="s">
        <v>6</v>
      </c>
      <c r="B58" s="116"/>
      <c r="C58" s="116"/>
      <c r="D58" s="104"/>
      <c r="E58" s="104">
        <f>SUM(E52:E57)</f>
        <v>9639458.0987858269</v>
      </c>
      <c r="F58" s="78"/>
      <c r="G58" s="78"/>
      <c r="T58" s="10"/>
      <c r="U58" s="30"/>
    </row>
    <row r="59" spans="1:21" x14ac:dyDescent="0.25">
      <c r="A59" s="54"/>
      <c r="B59" s="100"/>
      <c r="C59" s="100"/>
      <c r="D59" s="93"/>
      <c r="E59" s="117"/>
      <c r="F59" s="78"/>
      <c r="G59" s="78"/>
      <c r="T59" s="10"/>
      <c r="U59" s="30"/>
    </row>
    <row r="60" spans="1:21" x14ac:dyDescent="0.25">
      <c r="A60" s="109" t="s">
        <v>14</v>
      </c>
      <c r="B60" s="118"/>
      <c r="C60" s="118"/>
      <c r="D60" s="119"/>
      <c r="E60" s="119"/>
      <c r="F60" s="78"/>
      <c r="G60" s="78"/>
      <c r="T60" s="10"/>
      <c r="U60" s="30"/>
    </row>
    <row r="61" spans="1:21" x14ac:dyDescent="0.25">
      <c r="A61" s="120" t="s">
        <v>14</v>
      </c>
      <c r="B61" s="121">
        <v>30</v>
      </c>
      <c r="C61" s="122" t="s">
        <v>7</v>
      </c>
      <c r="D61" s="123">
        <f>SUM(E9:E58)/2</f>
        <v>17949335.770152915</v>
      </c>
      <c r="E61" s="124">
        <f>D61*B61/100</f>
        <v>5384800.7310458748</v>
      </c>
      <c r="F61" s="78"/>
      <c r="G61" s="78"/>
      <c r="T61" s="10"/>
      <c r="U61" s="30"/>
    </row>
    <row r="62" spans="1:21" x14ac:dyDescent="0.25">
      <c r="A62" s="78" t="s">
        <v>6</v>
      </c>
      <c r="B62" s="116"/>
      <c r="C62" s="116"/>
      <c r="D62" s="104"/>
      <c r="E62" s="104">
        <f>SUM(E61)</f>
        <v>5384800.7310458748</v>
      </c>
      <c r="F62" s="78"/>
      <c r="G62" s="78"/>
      <c r="T62" s="10"/>
      <c r="U62" s="30"/>
    </row>
    <row r="63" spans="1:21" x14ac:dyDescent="0.25">
      <c r="A63" s="78"/>
      <c r="B63" s="100"/>
      <c r="C63" s="100"/>
      <c r="D63" s="93"/>
      <c r="E63" s="93"/>
      <c r="F63" s="78"/>
      <c r="G63" s="78"/>
      <c r="T63" s="10"/>
      <c r="U63" s="30"/>
    </row>
    <row r="64" spans="1:21" x14ac:dyDescent="0.25">
      <c r="A64" s="109" t="s">
        <v>151</v>
      </c>
      <c r="B64" s="118"/>
      <c r="C64" s="118"/>
      <c r="D64" s="119"/>
      <c r="E64" s="119"/>
      <c r="F64" s="78"/>
      <c r="G64" s="78"/>
      <c r="T64" s="10"/>
      <c r="U64" s="30"/>
    </row>
    <row r="65" spans="1:21" x14ac:dyDescent="0.25">
      <c r="A65" s="15" t="s">
        <v>73</v>
      </c>
      <c r="B65" s="125">
        <f>3.8/0.6</f>
        <v>6.333333333333333</v>
      </c>
      <c r="C65" s="110" t="s">
        <v>72</v>
      </c>
      <c r="D65" s="112">
        <v>500000</v>
      </c>
      <c r="E65" s="112">
        <f>B65*D65</f>
        <v>3166666.6666666665</v>
      </c>
      <c r="F65" s="96" t="s">
        <v>152</v>
      </c>
      <c r="G65" s="78"/>
      <c r="T65" s="10"/>
      <c r="U65" s="30"/>
    </row>
    <row r="66" spans="1:21" x14ac:dyDescent="0.25">
      <c r="A66" s="96" t="s">
        <v>6</v>
      </c>
      <c r="B66" s="91"/>
      <c r="C66" s="91"/>
      <c r="D66" s="108"/>
      <c r="E66" s="108">
        <f>SUM(E65)</f>
        <v>3166666.6666666665</v>
      </c>
      <c r="F66" s="96" t="s">
        <v>150</v>
      </c>
      <c r="G66" s="78"/>
      <c r="T66" s="10"/>
      <c r="U66" s="30"/>
    </row>
    <row r="67" spans="1:21" x14ac:dyDescent="0.25">
      <c r="A67" s="78"/>
      <c r="B67" s="78"/>
      <c r="C67" s="78"/>
      <c r="D67" s="78"/>
      <c r="E67" s="78"/>
      <c r="F67" s="78"/>
      <c r="G67" s="78"/>
      <c r="T67" s="10"/>
      <c r="U67" s="30"/>
    </row>
    <row r="68" spans="1:21" x14ac:dyDescent="0.25">
      <c r="A68" s="78"/>
      <c r="B68" s="78"/>
      <c r="C68" s="78"/>
      <c r="D68" s="78"/>
      <c r="E68" s="78"/>
      <c r="F68" s="78"/>
      <c r="G68" s="78"/>
      <c r="T68" s="10"/>
      <c r="U68" s="30"/>
    </row>
    <row r="69" spans="1:21" x14ac:dyDescent="0.25">
      <c r="A69" s="54" t="s">
        <v>153</v>
      </c>
      <c r="B69" s="100"/>
      <c r="C69" s="78"/>
      <c r="D69" s="116"/>
      <c r="E69" s="126">
        <f>SUM(E9:E62)/2</f>
        <v>23334136.501198787</v>
      </c>
      <c r="F69" s="78"/>
      <c r="G69" s="78"/>
      <c r="T69" s="10"/>
      <c r="U69" s="30"/>
    </row>
    <row r="70" spans="1:21" x14ac:dyDescent="0.25">
      <c r="A70" s="78"/>
      <c r="B70" s="100"/>
      <c r="C70" s="100"/>
      <c r="D70" s="93"/>
      <c r="E70" s="127"/>
      <c r="F70" s="104"/>
      <c r="G70" s="78"/>
      <c r="T70" s="10"/>
      <c r="U70" s="30"/>
    </row>
    <row r="71" spans="1:21" x14ac:dyDescent="0.25">
      <c r="A71" s="54" t="s">
        <v>154</v>
      </c>
      <c r="B71" s="128"/>
      <c r="C71" s="100"/>
      <c r="D71" s="93"/>
      <c r="E71" s="104">
        <f>E66</f>
        <v>3166666.6666666665</v>
      </c>
      <c r="F71" s="78"/>
      <c r="G71" s="78"/>
      <c r="T71" s="10"/>
      <c r="U71" s="30"/>
    </row>
    <row r="72" spans="1:21" x14ac:dyDescent="0.25">
      <c r="A72" s="78"/>
      <c r="B72" s="100"/>
      <c r="C72" s="100"/>
      <c r="D72" s="93"/>
      <c r="E72" s="93"/>
      <c r="F72" s="78"/>
      <c r="G72" s="78"/>
      <c r="T72" s="10"/>
      <c r="U72" s="30"/>
    </row>
    <row r="73" spans="1:21" x14ac:dyDescent="0.25">
      <c r="A73" s="54" t="s">
        <v>155</v>
      </c>
      <c r="B73" s="78"/>
      <c r="C73" s="78"/>
      <c r="D73" s="78"/>
      <c r="E73" s="129">
        <f>+PMT(0.03375,50,-E69-E71,0)</f>
        <v>1104480.8212703899</v>
      </c>
      <c r="F73" s="96" t="s">
        <v>156</v>
      </c>
      <c r="G73" s="78"/>
      <c r="T73" s="10"/>
      <c r="U73" s="30"/>
    </row>
    <row r="74" spans="1:21" x14ac:dyDescent="0.25">
      <c r="A74" s="78"/>
      <c r="B74" s="78"/>
      <c r="C74" s="78"/>
      <c r="D74" s="78"/>
      <c r="E74" s="78"/>
      <c r="F74" s="78"/>
      <c r="G74" s="78"/>
      <c r="T74" s="10"/>
      <c r="U74" s="30"/>
    </row>
    <row r="75" spans="1:21" x14ac:dyDescent="0.25">
      <c r="A75" s="130" t="s">
        <v>25</v>
      </c>
      <c r="B75" s="39"/>
      <c r="C75" s="39"/>
      <c r="D75" s="93"/>
      <c r="E75" s="93">
        <f>N23+P29+O11</f>
        <v>619770.71124711481</v>
      </c>
      <c r="F75" s="78"/>
      <c r="G75" s="78"/>
      <c r="T75" s="10"/>
      <c r="U75" s="30"/>
    </row>
    <row r="76" spans="1:21" x14ac:dyDescent="0.25">
      <c r="A76" s="54"/>
      <c r="B76" s="100"/>
      <c r="C76" s="100"/>
      <c r="D76" s="93"/>
      <c r="E76" s="93"/>
      <c r="F76" s="78"/>
      <c r="G76" s="78"/>
    </row>
    <row r="77" spans="1:21" x14ac:dyDescent="0.25">
      <c r="A77" s="130" t="s">
        <v>35</v>
      </c>
      <c r="B77" s="78"/>
      <c r="C77" s="78"/>
      <c r="D77" s="78"/>
      <c r="E77" s="131">
        <f>3.8*277.98</f>
        <v>1056.3240000000001</v>
      </c>
      <c r="F77" s="96" t="s">
        <v>141</v>
      </c>
      <c r="G77" s="78"/>
    </row>
    <row r="78" spans="1:21" x14ac:dyDescent="0.25">
      <c r="A78" s="39"/>
      <c r="B78" s="100"/>
      <c r="C78" s="100"/>
      <c r="D78" s="93"/>
      <c r="E78" s="93"/>
      <c r="F78" s="78"/>
      <c r="G78" s="78"/>
    </row>
    <row r="79" spans="1:21" x14ac:dyDescent="0.25">
      <c r="A79" s="54" t="s">
        <v>157</v>
      </c>
      <c r="B79" s="100"/>
      <c r="C79" s="100"/>
      <c r="D79" s="93"/>
      <c r="E79" s="93">
        <f>+(E73+E75)/E77</f>
        <v>1632.3131279015763</v>
      </c>
      <c r="F79" s="78"/>
      <c r="G79" s="78"/>
    </row>
    <row r="80" spans="1:21" x14ac:dyDescent="0.25">
      <c r="A80" s="78"/>
      <c r="B80" s="78"/>
      <c r="C80" s="78"/>
      <c r="D80" s="78"/>
      <c r="E80" s="78"/>
      <c r="F80" s="78"/>
      <c r="G80" s="78"/>
    </row>
    <row r="81" spans="1:7" x14ac:dyDescent="0.25">
      <c r="A81" s="78"/>
      <c r="B81" s="78"/>
      <c r="C81" s="78"/>
      <c r="D81" s="78"/>
      <c r="E81" s="78"/>
      <c r="F81" s="78"/>
      <c r="G81" s="78"/>
    </row>
    <row r="82" spans="1:7" x14ac:dyDescent="0.25">
      <c r="A82" s="78"/>
      <c r="B82" s="78"/>
      <c r="C82" s="78"/>
      <c r="D82" s="78"/>
      <c r="E82" s="78"/>
      <c r="F82" s="78"/>
      <c r="G82" s="78"/>
    </row>
    <row r="83" spans="1:7" x14ac:dyDescent="0.25">
      <c r="A83" s="78"/>
      <c r="B83" s="78"/>
      <c r="C83" s="78"/>
      <c r="D83" s="78"/>
      <c r="E83" s="78"/>
      <c r="F83" s="78"/>
      <c r="G83" s="78"/>
    </row>
    <row r="84" spans="1:7" x14ac:dyDescent="0.25">
      <c r="A84" s="78"/>
      <c r="B84" s="78"/>
      <c r="C84" s="78"/>
      <c r="D84" s="78"/>
      <c r="E84" s="78"/>
      <c r="F84" s="78"/>
      <c r="G84" s="78"/>
    </row>
    <row r="85" spans="1:7" x14ac:dyDescent="0.25">
      <c r="A85" s="78"/>
      <c r="B85" s="78"/>
      <c r="C85" s="78"/>
      <c r="D85" s="78"/>
      <c r="E85" s="78"/>
      <c r="F85" s="78"/>
      <c r="G85" s="78"/>
    </row>
    <row r="86" spans="1:7" x14ac:dyDescent="0.25">
      <c r="A86" s="78"/>
      <c r="B86" s="78"/>
      <c r="C86" s="78"/>
      <c r="D86" s="78"/>
      <c r="E86" s="78"/>
      <c r="F86" s="78"/>
      <c r="G86" s="78"/>
    </row>
    <row r="87" spans="1:7" x14ac:dyDescent="0.25">
      <c r="A87" s="78"/>
      <c r="B87" s="78"/>
      <c r="C87" s="78"/>
      <c r="D87" s="78"/>
      <c r="E87" s="78"/>
      <c r="F87" s="78"/>
      <c r="G87" s="78"/>
    </row>
    <row r="88" spans="1:7" x14ac:dyDescent="0.25">
      <c r="A88" s="78"/>
      <c r="B88" s="78"/>
      <c r="C88" s="78"/>
      <c r="D88" s="78"/>
      <c r="E88" s="78"/>
      <c r="F88" s="78"/>
      <c r="G88" s="78"/>
    </row>
    <row r="89" spans="1:7" x14ac:dyDescent="0.25">
      <c r="A89" s="78"/>
      <c r="B89" s="78"/>
      <c r="C89" s="78"/>
      <c r="D89" s="78"/>
      <c r="E89" s="78"/>
      <c r="F89" s="78"/>
      <c r="G89" s="78"/>
    </row>
    <row r="90" spans="1:7" x14ac:dyDescent="0.25">
      <c r="A90" s="78"/>
      <c r="B90" s="78"/>
      <c r="C90" s="78"/>
      <c r="D90" s="78"/>
      <c r="E90" s="78"/>
      <c r="F90" s="78"/>
      <c r="G90" s="78"/>
    </row>
    <row r="91" spans="1:7" x14ac:dyDescent="0.25">
      <c r="A91" s="78"/>
      <c r="B91" s="78"/>
      <c r="C91" s="78"/>
      <c r="D91" s="78"/>
      <c r="E91" s="78"/>
      <c r="F91" s="78"/>
      <c r="G91" s="78"/>
    </row>
    <row r="92" spans="1:7" x14ac:dyDescent="0.25">
      <c r="A92" s="78"/>
      <c r="B92" s="78"/>
      <c r="C92" s="78"/>
      <c r="D92" s="78"/>
      <c r="E92" s="78"/>
      <c r="F92" s="78"/>
      <c r="G92" s="78"/>
    </row>
    <row r="93" spans="1:7" x14ac:dyDescent="0.25">
      <c r="A93" s="78"/>
      <c r="B93" s="78"/>
      <c r="C93" s="78"/>
      <c r="D93" s="78"/>
      <c r="E93" s="78"/>
      <c r="F93" s="78"/>
      <c r="G93" s="78"/>
    </row>
    <row r="94" spans="1:7" x14ac:dyDescent="0.25">
      <c r="A94" s="78"/>
      <c r="B94" s="78"/>
      <c r="C94" s="78"/>
      <c r="D94" s="78"/>
      <c r="E94" s="78"/>
      <c r="F94" s="78"/>
      <c r="G94" s="78"/>
    </row>
    <row r="95" spans="1:7" x14ac:dyDescent="0.25">
      <c r="A95" s="78"/>
      <c r="B95" s="78"/>
      <c r="C95" s="78"/>
      <c r="D95" s="78"/>
      <c r="E95" s="78"/>
      <c r="F95" s="78"/>
      <c r="G95" s="78"/>
    </row>
    <row r="96" spans="1:7" x14ac:dyDescent="0.25">
      <c r="A96" s="78"/>
      <c r="B96" s="78"/>
      <c r="C96" s="78"/>
      <c r="D96" s="78"/>
      <c r="E96" s="78"/>
      <c r="F96" s="78"/>
      <c r="G96" s="78"/>
    </row>
    <row r="97" spans="1:7" x14ac:dyDescent="0.25">
      <c r="A97" s="78"/>
      <c r="B97" s="78"/>
      <c r="C97" s="78"/>
      <c r="D97" s="78"/>
      <c r="E97" s="78"/>
      <c r="F97" s="78"/>
      <c r="G97" s="78"/>
    </row>
    <row r="98" spans="1:7" x14ac:dyDescent="0.25">
      <c r="A98" s="78"/>
      <c r="B98" s="78"/>
      <c r="C98" s="78"/>
      <c r="D98" s="78"/>
      <c r="E98" s="78"/>
      <c r="F98" s="78"/>
      <c r="G98" s="78"/>
    </row>
    <row r="99" spans="1:7" x14ac:dyDescent="0.25">
      <c r="A99" s="78"/>
      <c r="B99" s="78"/>
      <c r="C99" s="78"/>
      <c r="D99" s="78"/>
      <c r="E99" s="78"/>
      <c r="F99" s="78"/>
      <c r="G99" s="78"/>
    </row>
    <row r="100" spans="1:7" x14ac:dyDescent="0.25">
      <c r="A100" s="78"/>
      <c r="B100" s="78"/>
      <c r="C100" s="78"/>
      <c r="D100" s="78"/>
      <c r="E100" s="78"/>
      <c r="F100" s="78"/>
      <c r="G100" s="78"/>
    </row>
    <row r="101" spans="1:7" x14ac:dyDescent="0.25">
      <c r="A101" s="78"/>
      <c r="B101" s="78"/>
      <c r="C101" s="78"/>
      <c r="D101" s="78"/>
      <c r="E101" s="78"/>
      <c r="F101" s="78"/>
      <c r="G101" s="78"/>
    </row>
    <row r="102" spans="1:7" x14ac:dyDescent="0.25">
      <c r="A102" s="78"/>
      <c r="B102" s="78"/>
      <c r="C102" s="78"/>
      <c r="D102" s="78"/>
      <c r="E102" s="78"/>
      <c r="F102" s="78"/>
      <c r="G102" s="78"/>
    </row>
    <row r="103" spans="1:7" x14ac:dyDescent="0.25">
      <c r="A103" s="78"/>
      <c r="B103" s="78"/>
      <c r="C103" s="78"/>
      <c r="D103" s="78"/>
      <c r="E103" s="78"/>
      <c r="F103" s="78"/>
      <c r="G103" s="78"/>
    </row>
    <row r="104" spans="1:7" x14ac:dyDescent="0.25">
      <c r="A104" s="78"/>
      <c r="B104" s="78"/>
      <c r="C104" s="78"/>
      <c r="D104" s="78"/>
      <c r="E104" s="78"/>
      <c r="F104" s="78"/>
      <c r="G104" s="78"/>
    </row>
    <row r="105" spans="1:7" x14ac:dyDescent="0.25">
      <c r="A105" s="78"/>
      <c r="B105" s="78"/>
      <c r="C105" s="78"/>
      <c r="D105" s="78"/>
      <c r="E105" s="78"/>
      <c r="F105" s="78"/>
      <c r="G105" s="78"/>
    </row>
    <row r="106" spans="1:7" x14ac:dyDescent="0.25">
      <c r="A106" s="78"/>
      <c r="B106" s="78"/>
      <c r="C106" s="78"/>
      <c r="D106" s="78"/>
      <c r="E106" s="78"/>
      <c r="F106" s="78"/>
      <c r="G106" s="78"/>
    </row>
    <row r="107" spans="1:7" x14ac:dyDescent="0.25">
      <c r="A107" s="78"/>
      <c r="B107" s="78"/>
      <c r="C107" s="78"/>
      <c r="D107" s="78"/>
      <c r="E107" s="78"/>
      <c r="F107" s="78"/>
      <c r="G107" s="78"/>
    </row>
    <row r="108" spans="1:7" x14ac:dyDescent="0.25">
      <c r="A108" s="78"/>
      <c r="B108" s="78"/>
      <c r="C108" s="78"/>
      <c r="D108" s="78"/>
      <c r="E108" s="78"/>
      <c r="F108" s="78"/>
      <c r="G108" s="78"/>
    </row>
    <row r="109" spans="1:7" x14ac:dyDescent="0.25">
      <c r="A109" s="78"/>
      <c r="B109" s="78"/>
      <c r="C109" s="78"/>
      <c r="D109" s="78"/>
      <c r="E109" s="78"/>
      <c r="F109" s="78"/>
      <c r="G109" s="78"/>
    </row>
    <row r="110" spans="1:7" x14ac:dyDescent="0.25">
      <c r="A110" s="78"/>
      <c r="B110" s="78"/>
      <c r="C110" s="78"/>
      <c r="D110" s="78"/>
      <c r="E110" s="78"/>
      <c r="F110" s="78"/>
      <c r="G110" s="78"/>
    </row>
    <row r="111" spans="1:7" x14ac:dyDescent="0.25">
      <c r="A111" s="78"/>
      <c r="B111" s="78"/>
      <c r="C111" s="78"/>
      <c r="D111" s="78"/>
      <c r="E111" s="78"/>
      <c r="F111" s="78"/>
      <c r="G111" s="78"/>
    </row>
    <row r="112" spans="1:7" x14ac:dyDescent="0.25">
      <c r="A112" s="78"/>
      <c r="B112" s="78"/>
      <c r="C112" s="78"/>
      <c r="D112" s="78"/>
      <c r="E112" s="78"/>
      <c r="F112" s="78"/>
      <c r="G112" s="78"/>
    </row>
    <row r="113" spans="1:7" x14ac:dyDescent="0.25">
      <c r="A113" s="78"/>
      <c r="B113" s="78"/>
      <c r="C113" s="78"/>
      <c r="D113" s="78"/>
      <c r="E113" s="78"/>
      <c r="F113" s="78"/>
      <c r="G113" s="78"/>
    </row>
    <row r="114" spans="1:7" x14ac:dyDescent="0.25">
      <c r="A114" s="78"/>
      <c r="B114" s="78"/>
      <c r="C114" s="78"/>
      <c r="D114" s="78"/>
      <c r="E114" s="78"/>
      <c r="F114" s="78"/>
      <c r="G114" s="78"/>
    </row>
    <row r="115" spans="1:7" x14ac:dyDescent="0.25">
      <c r="A115" s="78"/>
      <c r="B115" s="78"/>
      <c r="C115" s="78"/>
      <c r="D115" s="78"/>
      <c r="E115" s="78"/>
      <c r="F115" s="78"/>
      <c r="G115" s="78"/>
    </row>
    <row r="116" spans="1:7" x14ac:dyDescent="0.25">
      <c r="A116" s="78"/>
      <c r="B116" s="78"/>
      <c r="C116" s="78"/>
      <c r="D116" s="78"/>
      <c r="E116" s="78"/>
      <c r="F116" s="78"/>
      <c r="G116" s="78"/>
    </row>
    <row r="117" spans="1:7" x14ac:dyDescent="0.25">
      <c r="A117" s="78"/>
      <c r="B117" s="78"/>
      <c r="C117" s="78"/>
      <c r="D117" s="78"/>
      <c r="E117" s="78"/>
      <c r="F117" s="78"/>
      <c r="G117" s="78"/>
    </row>
    <row r="118" spans="1:7" x14ac:dyDescent="0.25">
      <c r="A118" s="78"/>
      <c r="B118" s="78"/>
      <c r="C118" s="78"/>
      <c r="D118" s="78"/>
      <c r="E118" s="78"/>
      <c r="F118" s="78"/>
      <c r="G118" s="78"/>
    </row>
    <row r="119" spans="1:7" x14ac:dyDescent="0.25">
      <c r="A119" s="78"/>
      <c r="B119" s="78"/>
      <c r="C119" s="78"/>
      <c r="D119" s="78"/>
      <c r="E119" s="78"/>
      <c r="F119" s="78"/>
      <c r="G119" s="78"/>
    </row>
    <row r="120" spans="1:7" x14ac:dyDescent="0.25">
      <c r="A120" s="78"/>
      <c r="B120" s="78"/>
      <c r="C120" s="78"/>
      <c r="D120" s="78"/>
      <c r="E120" s="78"/>
      <c r="F120" s="78"/>
      <c r="G120" s="78"/>
    </row>
    <row r="121" spans="1:7" x14ac:dyDescent="0.25">
      <c r="A121" s="78"/>
      <c r="B121" s="78"/>
      <c r="C121" s="78"/>
      <c r="D121" s="78"/>
      <c r="E121" s="78"/>
      <c r="F121" s="78"/>
      <c r="G121" s="78"/>
    </row>
    <row r="122" spans="1:7" x14ac:dyDescent="0.25">
      <c r="A122" s="78"/>
      <c r="B122" s="78"/>
      <c r="C122" s="78"/>
      <c r="D122" s="78"/>
      <c r="E122" s="78"/>
      <c r="F122" s="78"/>
      <c r="G122" s="78"/>
    </row>
    <row r="123" spans="1:7" x14ac:dyDescent="0.25">
      <c r="A123" s="78"/>
      <c r="B123" s="78"/>
      <c r="C123" s="78"/>
      <c r="D123" s="78"/>
      <c r="E123" s="78"/>
      <c r="F123" s="78"/>
      <c r="G123" s="78"/>
    </row>
    <row r="124" spans="1:7" x14ac:dyDescent="0.25">
      <c r="A124" s="78"/>
      <c r="B124" s="78"/>
      <c r="C124" s="78"/>
      <c r="D124" s="78"/>
      <c r="E124" s="78"/>
      <c r="F124" s="78"/>
      <c r="G124" s="78"/>
    </row>
    <row r="125" spans="1:7" x14ac:dyDescent="0.25">
      <c r="A125" s="78"/>
      <c r="B125" s="78"/>
      <c r="C125" s="78"/>
      <c r="D125" s="78"/>
      <c r="E125" s="78"/>
      <c r="F125" s="78"/>
      <c r="G125" s="78"/>
    </row>
    <row r="126" spans="1:7" x14ac:dyDescent="0.25">
      <c r="A126" s="78"/>
      <c r="B126" s="78"/>
      <c r="C126" s="78"/>
      <c r="D126" s="78"/>
      <c r="E126" s="78"/>
      <c r="F126" s="78"/>
      <c r="G126" s="78"/>
    </row>
    <row r="127" spans="1:7" x14ac:dyDescent="0.25">
      <c r="A127" s="78"/>
      <c r="B127" s="78"/>
      <c r="C127" s="78"/>
      <c r="D127" s="78"/>
      <c r="E127" s="78"/>
      <c r="F127" s="78"/>
      <c r="G127" s="78"/>
    </row>
    <row r="128" spans="1:7" x14ac:dyDescent="0.25">
      <c r="A128" s="78"/>
      <c r="B128" s="78"/>
      <c r="C128" s="78"/>
      <c r="D128" s="78"/>
      <c r="E128" s="78"/>
      <c r="F128" s="78"/>
      <c r="G128" s="78"/>
    </row>
    <row r="129" spans="1:7" x14ac:dyDescent="0.25">
      <c r="A129" s="78"/>
      <c r="B129" s="78"/>
      <c r="C129" s="78"/>
      <c r="D129" s="78"/>
      <c r="E129" s="78"/>
      <c r="F129" s="78"/>
      <c r="G129" s="78"/>
    </row>
    <row r="130" spans="1:7" x14ac:dyDescent="0.25">
      <c r="A130" s="78"/>
      <c r="B130" s="78"/>
      <c r="C130" s="78"/>
      <c r="D130" s="78"/>
      <c r="E130" s="78"/>
      <c r="F130" s="78"/>
      <c r="G130" s="78"/>
    </row>
    <row r="131" spans="1:7" x14ac:dyDescent="0.25">
      <c r="A131" s="78"/>
      <c r="B131" s="78"/>
      <c r="C131" s="78"/>
      <c r="D131" s="78"/>
      <c r="E131" s="78"/>
      <c r="F131" s="78"/>
      <c r="G131" s="78"/>
    </row>
    <row r="132" spans="1:7" x14ac:dyDescent="0.25">
      <c r="A132" s="78"/>
      <c r="B132" s="78"/>
      <c r="C132" s="78"/>
      <c r="D132" s="78"/>
      <c r="E132" s="78"/>
      <c r="F132" s="78"/>
      <c r="G132" s="78"/>
    </row>
    <row r="133" spans="1:7" x14ac:dyDescent="0.25">
      <c r="A133" s="78"/>
      <c r="B133" s="78"/>
      <c r="C133" s="78"/>
      <c r="D133" s="78"/>
      <c r="E133" s="78"/>
      <c r="F133" s="78"/>
      <c r="G133" s="78"/>
    </row>
    <row r="134" spans="1:7" x14ac:dyDescent="0.25">
      <c r="A134" s="78"/>
      <c r="B134" s="78"/>
      <c r="C134" s="78"/>
      <c r="D134" s="78"/>
      <c r="E134" s="78"/>
      <c r="F134" s="78"/>
      <c r="G134" s="78"/>
    </row>
  </sheetData>
  <phoneticPr fontId="0" type="noConversion"/>
  <pageMargins left="0.75" right="0.75" top="1" bottom="1" header="0.5" footer="0.5"/>
  <pageSetup scale="43" orientation="landscape"/>
  <headerFooter alignWithMargins="0">
    <oddFooter>&amp;LLA Basin Stormwater Conservation Study_Project Costs&amp;R&amp;D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topLeftCell="A17" zoomScaleNormal="100" zoomScaleSheetLayoutView="80" workbookViewId="0">
      <selection activeCell="B27" sqref="B27"/>
    </sheetView>
  </sheetViews>
  <sheetFormatPr defaultRowHeight="13.2" x14ac:dyDescent="0.25"/>
  <cols>
    <col min="1" max="1" width="54.6640625" customWidth="1"/>
    <col min="4" max="4" width="13.88671875" bestFit="1" customWidth="1"/>
    <col min="5" max="5" width="15.44140625" customWidth="1"/>
    <col min="12" max="12" width="12.33203125" customWidth="1"/>
    <col min="13" max="13" width="30.33203125" customWidth="1"/>
    <col min="14" max="14" width="14" customWidth="1"/>
    <col min="15" max="15" width="17.109375" customWidth="1"/>
    <col min="16" max="16" width="16.5546875" customWidth="1"/>
    <col min="17" max="17" width="17.109375" customWidth="1"/>
    <col min="18" max="18" width="19.33203125" customWidth="1"/>
    <col min="19" max="19" width="11.44140625" customWidth="1"/>
    <col min="20" max="20" width="15" customWidth="1"/>
    <col min="21" max="21" width="26.33203125" customWidth="1"/>
    <col min="23" max="23" width="28.6640625" customWidth="1"/>
  </cols>
  <sheetData>
    <row r="1" spans="1:24" ht="14.4" x14ac:dyDescent="0.3">
      <c r="A1" s="1" t="str">
        <f>Summary!A1</f>
        <v>LACDPW Basin Study</v>
      </c>
      <c r="M1" s="45"/>
      <c r="N1" s="46"/>
      <c r="O1" s="45"/>
      <c r="P1" s="47"/>
      <c r="Q1" s="47"/>
      <c r="R1" s="47"/>
      <c r="S1" s="48"/>
    </row>
    <row r="2" spans="1:24" x14ac:dyDescent="0.25">
      <c r="A2" s="1" t="str">
        <f>Summary!A2</f>
        <v>N Summerville</v>
      </c>
      <c r="M2" s="49"/>
      <c r="N2" s="50"/>
      <c r="O2" s="49"/>
      <c r="P2" s="50"/>
      <c r="Q2" s="50"/>
      <c r="R2" s="50"/>
      <c r="S2" s="51"/>
    </row>
    <row r="3" spans="1:24" x14ac:dyDescent="0.25">
      <c r="A3" s="13">
        <f>Summary!A3</f>
        <v>42275</v>
      </c>
      <c r="M3" s="49"/>
      <c r="N3" s="49"/>
      <c r="O3" s="49"/>
      <c r="P3" s="51"/>
      <c r="Q3" s="51"/>
      <c r="R3" s="51"/>
      <c r="S3" s="51"/>
      <c r="T3" s="32"/>
      <c r="U3" s="32"/>
      <c r="V3" s="32"/>
    </row>
    <row r="4" spans="1:24" x14ac:dyDescent="0.25">
      <c r="A4" s="78"/>
      <c r="B4" s="78"/>
      <c r="C4" s="78"/>
      <c r="D4" s="78"/>
      <c r="E4" s="78"/>
      <c r="F4" s="78"/>
      <c r="M4" s="49"/>
      <c r="N4" s="50"/>
      <c r="O4" s="52"/>
      <c r="P4" s="53"/>
      <c r="Q4" s="53"/>
      <c r="R4" s="53"/>
      <c r="S4" s="51"/>
      <c r="T4" s="32"/>
      <c r="U4" s="32"/>
      <c r="V4" s="32"/>
    </row>
    <row r="5" spans="1:24" ht="13.8" thickBot="1" x14ac:dyDescent="0.3">
      <c r="A5" s="132" t="s">
        <v>76</v>
      </c>
      <c r="B5" s="133"/>
      <c r="C5" s="133"/>
      <c r="D5" s="133"/>
      <c r="E5" s="133"/>
      <c r="F5" s="78"/>
      <c r="M5" s="49"/>
      <c r="N5" s="50"/>
      <c r="O5" s="52"/>
      <c r="P5" s="53"/>
      <c r="Q5" s="53"/>
      <c r="R5" s="53"/>
      <c r="S5" s="51"/>
      <c r="T5" s="32"/>
      <c r="U5" s="32"/>
      <c r="V5" s="32"/>
    </row>
    <row r="6" spans="1:24" x14ac:dyDescent="0.25">
      <c r="A6" s="78"/>
      <c r="B6" s="78"/>
      <c r="C6" s="78"/>
      <c r="D6" s="78"/>
      <c r="E6" s="78"/>
      <c r="F6" s="78"/>
      <c r="M6" s="76" t="s">
        <v>146</v>
      </c>
      <c r="N6" s="77"/>
      <c r="O6" s="78"/>
      <c r="P6" s="53"/>
      <c r="Q6" s="53"/>
      <c r="R6" s="53"/>
      <c r="S6" s="51"/>
      <c r="T6" s="32"/>
      <c r="U6" s="32"/>
      <c r="V6" s="32"/>
    </row>
    <row r="7" spans="1:24" x14ac:dyDescent="0.25">
      <c r="A7" s="130" t="s">
        <v>0</v>
      </c>
      <c r="B7" s="134" t="s">
        <v>1</v>
      </c>
      <c r="C7" s="134" t="s">
        <v>2</v>
      </c>
      <c r="D7" s="135" t="s">
        <v>3</v>
      </c>
      <c r="E7" s="135" t="s">
        <v>4</v>
      </c>
      <c r="F7" s="78"/>
      <c r="M7" s="78"/>
      <c r="N7" s="78"/>
      <c r="O7" s="77"/>
      <c r="P7" s="53"/>
      <c r="Q7" s="53"/>
      <c r="R7" s="53"/>
      <c r="S7" s="51"/>
      <c r="T7" s="32"/>
      <c r="U7" s="32"/>
      <c r="V7" s="32"/>
    </row>
    <row r="8" spans="1:24" x14ac:dyDescent="0.25">
      <c r="A8" s="92"/>
      <c r="B8" s="39"/>
      <c r="C8" s="39"/>
      <c r="D8" s="93"/>
      <c r="E8" s="93"/>
      <c r="F8" s="78"/>
      <c r="M8" s="79" t="s">
        <v>147</v>
      </c>
      <c r="N8" s="80" t="s">
        <v>4</v>
      </c>
      <c r="O8" s="81" t="s">
        <v>21</v>
      </c>
      <c r="P8" s="53"/>
      <c r="Q8" s="53"/>
      <c r="R8" s="53"/>
      <c r="S8" s="51"/>
      <c r="T8" s="32"/>
      <c r="U8" s="32"/>
      <c r="V8" s="32"/>
    </row>
    <row r="9" spans="1:24" x14ac:dyDescent="0.25">
      <c r="A9" s="9" t="s">
        <v>65</v>
      </c>
      <c r="B9" s="89" t="s">
        <v>66</v>
      </c>
      <c r="C9" s="94">
        <v>9410</v>
      </c>
      <c r="D9" s="72">
        <v>2.25</v>
      </c>
      <c r="E9" s="95">
        <f t="shared" ref="E9:E22" si="0">ROUND(D9*C9,-3)</f>
        <v>21000</v>
      </c>
      <c r="F9" s="9" t="s">
        <v>77</v>
      </c>
      <c r="M9" s="78"/>
      <c r="N9" s="81" t="s">
        <v>24</v>
      </c>
      <c r="O9" s="81" t="s">
        <v>24</v>
      </c>
      <c r="P9" s="53"/>
      <c r="Q9" s="53"/>
      <c r="R9" s="53"/>
      <c r="S9" s="51"/>
      <c r="T9" s="32"/>
      <c r="U9" s="32"/>
      <c r="V9" s="32"/>
    </row>
    <row r="10" spans="1:24" ht="12.75" customHeight="1" x14ac:dyDescent="0.25">
      <c r="A10" s="9" t="s">
        <v>67</v>
      </c>
      <c r="B10" s="89" t="s">
        <v>46</v>
      </c>
      <c r="C10" s="94">
        <v>10630</v>
      </c>
      <c r="D10" s="72">
        <v>25</v>
      </c>
      <c r="E10" s="95">
        <f t="shared" si="0"/>
        <v>266000</v>
      </c>
      <c r="F10" s="9" t="s">
        <v>78</v>
      </c>
      <c r="M10" s="78"/>
      <c r="N10" s="78"/>
      <c r="O10" s="78"/>
      <c r="P10" s="53"/>
      <c r="Q10" s="53"/>
      <c r="R10" s="53"/>
      <c r="S10" s="51"/>
      <c r="T10" s="32"/>
      <c r="U10" s="32"/>
      <c r="V10" s="32"/>
    </row>
    <row r="11" spans="1:24" x14ac:dyDescent="0.25">
      <c r="A11" s="9" t="s">
        <v>79</v>
      </c>
      <c r="B11" s="89" t="s">
        <v>41</v>
      </c>
      <c r="C11" s="94">
        <v>170</v>
      </c>
      <c r="D11" s="72">
        <v>40</v>
      </c>
      <c r="E11" s="95">
        <f t="shared" si="0"/>
        <v>7000</v>
      </c>
      <c r="F11" s="9" t="s">
        <v>80</v>
      </c>
      <c r="M11" s="6" t="s">
        <v>69</v>
      </c>
      <c r="N11" s="82">
        <f>E13</f>
        <v>700000</v>
      </c>
      <c r="O11" s="90">
        <f>+PMT(0.03375,50,-N11,0)</f>
        <v>29174.080875660737</v>
      </c>
      <c r="P11" s="53"/>
      <c r="Q11" s="53"/>
      <c r="R11" s="53"/>
      <c r="S11" s="51"/>
      <c r="T11" s="32"/>
      <c r="U11" s="32"/>
      <c r="V11" s="32"/>
    </row>
    <row r="12" spans="1:24" x14ac:dyDescent="0.25">
      <c r="A12" s="9" t="s">
        <v>81</v>
      </c>
      <c r="B12" s="89" t="s">
        <v>55</v>
      </c>
      <c r="C12" s="94">
        <v>2</v>
      </c>
      <c r="D12" s="73">
        <v>50000</v>
      </c>
      <c r="E12" s="95">
        <f t="shared" si="0"/>
        <v>100000</v>
      </c>
      <c r="F12" s="9" t="s">
        <v>82</v>
      </c>
      <c r="M12" s="49"/>
      <c r="N12" s="50"/>
      <c r="O12" s="52"/>
      <c r="P12" s="53"/>
      <c r="Q12" s="53"/>
      <c r="R12" s="53"/>
      <c r="S12" s="51"/>
      <c r="T12" s="32"/>
      <c r="U12" s="32"/>
      <c r="V12" s="32"/>
    </row>
    <row r="13" spans="1:24" x14ac:dyDescent="0.25">
      <c r="A13" s="9" t="s">
        <v>69</v>
      </c>
      <c r="B13" s="89" t="s">
        <v>55</v>
      </c>
      <c r="C13" s="94">
        <v>2</v>
      </c>
      <c r="D13" s="73">
        <v>350000</v>
      </c>
      <c r="E13" s="95">
        <f t="shared" si="0"/>
        <v>700000</v>
      </c>
      <c r="F13" s="9" t="s">
        <v>83</v>
      </c>
      <c r="Q13" s="53"/>
      <c r="R13" s="53"/>
      <c r="S13" s="51"/>
      <c r="T13" s="32"/>
      <c r="U13" s="32"/>
      <c r="V13" s="32"/>
    </row>
    <row r="14" spans="1:24" x14ac:dyDescent="0.25">
      <c r="A14" s="9" t="s">
        <v>61</v>
      </c>
      <c r="B14" s="89" t="s">
        <v>55</v>
      </c>
      <c r="C14" s="94">
        <v>2</v>
      </c>
      <c r="D14" s="73">
        <v>15000</v>
      </c>
      <c r="E14" s="95">
        <f t="shared" si="0"/>
        <v>30000</v>
      </c>
      <c r="F14" s="9"/>
      <c r="Q14" s="53"/>
      <c r="R14" s="53"/>
      <c r="S14" s="51"/>
      <c r="T14" s="32"/>
      <c r="U14" s="32"/>
      <c r="V14" s="32"/>
    </row>
    <row r="15" spans="1:24" x14ac:dyDescent="0.25">
      <c r="A15" s="9" t="s">
        <v>84</v>
      </c>
      <c r="B15" s="89" t="s">
        <v>39</v>
      </c>
      <c r="C15" s="94">
        <v>1</v>
      </c>
      <c r="D15" s="73">
        <v>25000</v>
      </c>
      <c r="E15" s="95">
        <f t="shared" si="0"/>
        <v>25000</v>
      </c>
      <c r="F15" s="9"/>
      <c r="Q15" s="53"/>
      <c r="R15" s="53"/>
      <c r="S15" s="51"/>
      <c r="T15" s="32"/>
      <c r="U15" s="32"/>
      <c r="V15" s="32"/>
    </row>
    <row r="16" spans="1:24" x14ac:dyDescent="0.25">
      <c r="A16" s="9" t="s">
        <v>62</v>
      </c>
      <c r="B16" s="89" t="s">
        <v>55</v>
      </c>
      <c r="C16" s="94">
        <v>4</v>
      </c>
      <c r="D16" s="73">
        <v>450000</v>
      </c>
      <c r="E16" s="95">
        <f t="shared" si="0"/>
        <v>1800000</v>
      </c>
      <c r="F16" s="9"/>
      <c r="L16" s="40"/>
      <c r="Q16" s="53"/>
      <c r="R16" s="53"/>
      <c r="S16" s="51"/>
      <c r="T16" s="32"/>
      <c r="U16" s="32"/>
      <c r="V16" s="32"/>
      <c r="X16" s="39"/>
    </row>
    <row r="17" spans="1:24" x14ac:dyDescent="0.25">
      <c r="A17" s="9" t="s">
        <v>63</v>
      </c>
      <c r="B17" s="89" t="s">
        <v>55</v>
      </c>
      <c r="C17" s="94">
        <v>4</v>
      </c>
      <c r="D17" s="73">
        <v>5000</v>
      </c>
      <c r="E17" s="95">
        <f t="shared" si="0"/>
        <v>20000</v>
      </c>
      <c r="F17" s="9"/>
      <c r="L17" s="40"/>
      <c r="Q17" s="53"/>
      <c r="R17" s="53"/>
      <c r="S17" s="51"/>
      <c r="T17" s="32"/>
      <c r="U17" s="32"/>
      <c r="V17" s="32"/>
      <c r="X17" s="39"/>
    </row>
    <row r="18" spans="1:24" x14ac:dyDescent="0.25">
      <c r="A18" s="9" t="s">
        <v>85</v>
      </c>
      <c r="B18" s="89" t="s">
        <v>39</v>
      </c>
      <c r="C18" s="94">
        <v>1</v>
      </c>
      <c r="D18" s="73">
        <v>40000</v>
      </c>
      <c r="E18" s="95">
        <f t="shared" si="0"/>
        <v>40000</v>
      </c>
      <c r="F18" s="9"/>
      <c r="L18" s="40"/>
      <c r="Q18" s="53"/>
      <c r="R18" s="53"/>
      <c r="S18" s="51"/>
      <c r="T18" s="41"/>
      <c r="U18" s="32"/>
      <c r="V18" s="32"/>
      <c r="X18" s="39"/>
    </row>
    <row r="19" spans="1:24" ht="14.4" x14ac:dyDescent="0.3">
      <c r="A19" s="9" t="s">
        <v>86</v>
      </c>
      <c r="B19" s="89" t="s">
        <v>39</v>
      </c>
      <c r="C19" s="94">
        <v>1</v>
      </c>
      <c r="D19" s="73">
        <v>35000</v>
      </c>
      <c r="E19" s="95">
        <f t="shared" si="0"/>
        <v>35000</v>
      </c>
      <c r="F19" s="9"/>
      <c r="L19" s="41"/>
      <c r="U19" s="42"/>
      <c r="V19" s="41"/>
      <c r="W19" s="43"/>
      <c r="X19" s="39"/>
    </row>
    <row r="20" spans="1:24" x14ac:dyDescent="0.25">
      <c r="A20" s="9" t="s">
        <v>87</v>
      </c>
      <c r="B20" s="89" t="s">
        <v>39</v>
      </c>
      <c r="C20" s="94">
        <v>1</v>
      </c>
      <c r="D20" s="73">
        <v>15000</v>
      </c>
      <c r="E20" s="95">
        <f t="shared" si="0"/>
        <v>15000</v>
      </c>
      <c r="F20" s="9"/>
      <c r="L20" s="41"/>
      <c r="Q20" s="41"/>
      <c r="R20" s="41"/>
      <c r="S20" s="41"/>
      <c r="T20" s="41"/>
      <c r="U20" s="42"/>
      <c r="V20" s="41"/>
      <c r="W20" s="42"/>
      <c r="X20" s="39"/>
    </row>
    <row r="21" spans="1:24" ht="14.4" x14ac:dyDescent="0.3">
      <c r="A21" s="9" t="s">
        <v>88</v>
      </c>
      <c r="B21" s="89" t="s">
        <v>41</v>
      </c>
      <c r="C21" s="94">
        <v>800</v>
      </c>
      <c r="D21" s="72">
        <v>216</v>
      </c>
      <c r="E21" s="95">
        <f t="shared" si="0"/>
        <v>173000</v>
      </c>
      <c r="F21" s="9"/>
      <c r="L21" s="41"/>
      <c r="M21" s="26" t="s">
        <v>36</v>
      </c>
      <c r="N21" s="10"/>
      <c r="O21" s="10"/>
      <c r="P21" s="10"/>
      <c r="R21" s="41"/>
      <c r="S21" s="41"/>
      <c r="T21" s="21"/>
      <c r="U21" s="23"/>
      <c r="V21" s="41"/>
      <c r="W21" s="43"/>
      <c r="X21" s="39"/>
    </row>
    <row r="22" spans="1:24" x14ac:dyDescent="0.25">
      <c r="A22" s="9" t="s">
        <v>89</v>
      </c>
      <c r="B22" s="89" t="s">
        <v>41</v>
      </c>
      <c r="C22" s="94">
        <v>125</v>
      </c>
      <c r="D22" s="73">
        <v>2000</v>
      </c>
      <c r="E22" s="95">
        <f t="shared" si="0"/>
        <v>250000</v>
      </c>
      <c r="F22" s="9"/>
      <c r="L22" s="41"/>
      <c r="M22" s="10"/>
      <c r="N22" s="10"/>
      <c r="O22" s="10"/>
      <c r="P22" s="10"/>
      <c r="R22" s="41"/>
      <c r="S22" s="41"/>
      <c r="V22" s="41"/>
      <c r="W22" s="44"/>
      <c r="X22" s="39"/>
    </row>
    <row r="23" spans="1:24" x14ac:dyDescent="0.25">
      <c r="A23" s="97" t="s">
        <v>6</v>
      </c>
      <c r="B23" s="98"/>
      <c r="C23" s="98"/>
      <c r="D23" s="99"/>
      <c r="E23" s="99">
        <f>SUM(E9:E22)</f>
        <v>3482000</v>
      </c>
      <c r="F23" s="78"/>
      <c r="L23" s="41"/>
      <c r="M23" s="27" t="s">
        <v>16</v>
      </c>
      <c r="N23" s="28"/>
      <c r="O23" s="24" t="s">
        <v>19</v>
      </c>
      <c r="P23" s="24" t="s">
        <v>21</v>
      </c>
      <c r="R23" s="41"/>
      <c r="S23" s="41"/>
      <c r="T23" s="10"/>
      <c r="U23" s="30"/>
      <c r="V23" s="41"/>
      <c r="W23" s="42"/>
      <c r="X23" s="39"/>
    </row>
    <row r="24" spans="1:24" x14ac:dyDescent="0.25">
      <c r="A24" s="78"/>
      <c r="B24" s="100"/>
      <c r="C24" s="100"/>
      <c r="D24" s="93"/>
      <c r="E24" s="93"/>
      <c r="F24" s="78"/>
      <c r="M24" s="24" t="s">
        <v>17</v>
      </c>
      <c r="N24" s="24" t="s">
        <v>18</v>
      </c>
      <c r="O24" s="24" t="s">
        <v>20</v>
      </c>
      <c r="P24" s="24" t="s">
        <v>24</v>
      </c>
      <c r="T24" s="10"/>
      <c r="U24" s="30"/>
    </row>
    <row r="25" spans="1:24" x14ac:dyDescent="0.25">
      <c r="A25" s="101" t="s">
        <v>70</v>
      </c>
      <c r="B25" s="102"/>
      <c r="C25" s="102"/>
      <c r="D25" s="103"/>
      <c r="E25" s="103"/>
      <c r="F25" s="78"/>
      <c r="M25" s="10"/>
      <c r="N25" s="10"/>
      <c r="O25" s="10"/>
      <c r="P25" s="10"/>
      <c r="T25" s="10"/>
      <c r="U25" s="30"/>
    </row>
    <row r="26" spans="1:24" x14ac:dyDescent="0.25">
      <c r="A26" s="9" t="s">
        <v>71</v>
      </c>
      <c r="B26" s="148">
        <f>B53*0.1*0.6</f>
        <v>0.15</v>
      </c>
      <c r="C26" s="89" t="s">
        <v>72</v>
      </c>
      <c r="D26" s="93">
        <v>35000</v>
      </c>
      <c r="E26" s="93">
        <f t="shared" ref="E26" si="1">+B26*D26</f>
        <v>5250</v>
      </c>
      <c r="F26" s="96"/>
      <c r="M26" s="10">
        <v>100</v>
      </c>
      <c r="N26" s="25">
        <f>0.746*M26*3*30.4*24</f>
        <v>163284.47999999998</v>
      </c>
      <c r="O26" s="29">
        <v>0.15</v>
      </c>
      <c r="P26" s="30">
        <f>+N26*O26</f>
        <v>24492.671999999995</v>
      </c>
      <c r="T26" s="10"/>
      <c r="U26" s="30"/>
    </row>
    <row r="27" spans="1:24" x14ac:dyDescent="0.25">
      <c r="A27" s="97" t="s">
        <v>6</v>
      </c>
      <c r="B27" s="98"/>
      <c r="C27" s="98"/>
      <c r="D27" s="99"/>
      <c r="E27" s="99">
        <f>SUM(E26:E26)</f>
        <v>5250</v>
      </c>
      <c r="F27" s="39"/>
      <c r="M27" s="10"/>
      <c r="N27" s="10"/>
      <c r="P27" s="10"/>
      <c r="T27" s="10"/>
      <c r="U27" s="30"/>
    </row>
    <row r="28" spans="1:24" x14ac:dyDescent="0.25">
      <c r="A28" s="9"/>
      <c r="B28" s="100"/>
      <c r="C28" s="100"/>
      <c r="D28" s="93"/>
      <c r="E28" s="104"/>
      <c r="F28" s="78"/>
      <c r="M28" s="24" t="s">
        <v>22</v>
      </c>
      <c r="N28" s="24" t="s">
        <v>21</v>
      </c>
      <c r="O28" s="24" t="s">
        <v>26</v>
      </c>
      <c r="Q28" s="24"/>
      <c r="T28" s="10"/>
      <c r="U28" s="30"/>
    </row>
    <row r="29" spans="1:24" x14ac:dyDescent="0.25">
      <c r="A29" s="54" t="s">
        <v>74</v>
      </c>
      <c r="B29" s="100"/>
      <c r="C29" s="100"/>
      <c r="D29" s="93"/>
      <c r="E29" s="93"/>
      <c r="F29" s="78"/>
      <c r="M29" s="24" t="s">
        <v>23</v>
      </c>
      <c r="N29" s="24" t="s">
        <v>24</v>
      </c>
      <c r="O29" s="24" t="s">
        <v>27</v>
      </c>
      <c r="Q29" s="24"/>
      <c r="T29" s="10"/>
      <c r="U29" s="30"/>
    </row>
    <row r="30" spans="1:24" x14ac:dyDescent="0.25">
      <c r="A30" s="63" t="s">
        <v>75</v>
      </c>
      <c r="B30" s="136">
        <v>1255</v>
      </c>
      <c r="C30" s="106" t="s">
        <v>5</v>
      </c>
      <c r="D30" s="99">
        <v>25</v>
      </c>
      <c r="E30" s="99">
        <f>+B30*D30</f>
        <v>31375</v>
      </c>
      <c r="F30" s="96" t="s">
        <v>95</v>
      </c>
      <c r="M30" s="10"/>
      <c r="N30" s="10"/>
      <c r="O30" s="10"/>
      <c r="T30" s="10"/>
      <c r="U30" s="30"/>
    </row>
    <row r="31" spans="1:24" x14ac:dyDescent="0.25">
      <c r="A31" s="97" t="s">
        <v>6</v>
      </c>
      <c r="B31" s="98"/>
      <c r="C31" s="98"/>
      <c r="D31" s="99"/>
      <c r="E31" s="99">
        <f>SUM(E30:E30)</f>
        <v>31375</v>
      </c>
      <c r="F31" s="78"/>
      <c r="M31" s="31">
        <v>0.05</v>
      </c>
      <c r="N31" s="29">
        <f>+M31*SUM(E9:E34)/2</f>
        <v>193524.375</v>
      </c>
      <c r="O31" s="10">
        <v>50</v>
      </c>
      <c r="Q31" s="2"/>
      <c r="T31" s="56"/>
      <c r="U31" s="30"/>
    </row>
    <row r="32" spans="1:24" x14ac:dyDescent="0.25">
      <c r="A32" s="113"/>
      <c r="B32" s="113"/>
      <c r="C32" s="113"/>
      <c r="D32" s="113"/>
      <c r="E32" s="113"/>
      <c r="F32" s="96"/>
      <c r="T32" s="10"/>
      <c r="U32" s="30"/>
    </row>
    <row r="33" spans="1:21" x14ac:dyDescent="0.25">
      <c r="A33" s="109" t="s">
        <v>138</v>
      </c>
      <c r="B33" s="110">
        <v>10</v>
      </c>
      <c r="C33" s="110" t="s">
        <v>7</v>
      </c>
      <c r="D33" s="111">
        <f>SUM(E9:E31)/2</f>
        <v>3518625</v>
      </c>
      <c r="E33" s="112">
        <f>D33*B33/100</f>
        <v>351862.5</v>
      </c>
      <c r="F33" s="96"/>
      <c r="T33" s="10"/>
      <c r="U33" s="30"/>
    </row>
    <row r="34" spans="1:21" x14ac:dyDescent="0.25">
      <c r="A34" s="78" t="s">
        <v>6</v>
      </c>
      <c r="B34" s="91"/>
      <c r="C34" s="91"/>
      <c r="D34" s="108"/>
      <c r="E34" s="108">
        <f>SUM(E33)</f>
        <v>351862.5</v>
      </c>
      <c r="F34" s="96"/>
      <c r="T34" s="10"/>
      <c r="U34" s="30"/>
    </row>
    <row r="35" spans="1:21" x14ac:dyDescent="0.25">
      <c r="A35" s="113"/>
      <c r="B35" s="91"/>
      <c r="C35" s="91"/>
      <c r="D35" s="108"/>
      <c r="E35" s="108"/>
      <c r="F35" s="96"/>
      <c r="T35" s="10"/>
      <c r="U35" s="30"/>
    </row>
    <row r="36" spans="1:21" x14ac:dyDescent="0.25">
      <c r="A36" s="109" t="s">
        <v>8</v>
      </c>
      <c r="B36" s="110">
        <v>10</v>
      </c>
      <c r="C36" s="110" t="s">
        <v>7</v>
      </c>
      <c r="D36" s="111">
        <f>SUM(E9:E34)/2</f>
        <v>3870487.5</v>
      </c>
      <c r="E36" s="112">
        <f>D36*B36/100</f>
        <v>387048.75</v>
      </c>
      <c r="F36" s="96"/>
      <c r="T36" s="10"/>
      <c r="U36" s="30"/>
    </row>
    <row r="37" spans="1:21" x14ac:dyDescent="0.25">
      <c r="A37" s="78" t="s">
        <v>6</v>
      </c>
      <c r="B37" s="91"/>
      <c r="C37" s="91"/>
      <c r="D37" s="108"/>
      <c r="E37" s="108">
        <f>SUM(E36)</f>
        <v>387048.75</v>
      </c>
      <c r="F37" s="78"/>
      <c r="T37" s="10"/>
      <c r="U37" s="30"/>
    </row>
    <row r="38" spans="1:21" x14ac:dyDescent="0.25">
      <c r="A38" s="78"/>
      <c r="B38" s="91"/>
      <c r="C38" s="91"/>
      <c r="D38" s="108"/>
      <c r="E38" s="108"/>
      <c r="F38" s="78"/>
      <c r="T38" s="10"/>
      <c r="U38" s="30"/>
    </row>
    <row r="39" spans="1:21" x14ac:dyDescent="0.25">
      <c r="A39" s="109" t="s">
        <v>10</v>
      </c>
      <c r="B39" s="110"/>
      <c r="C39" s="110"/>
      <c r="D39" s="95"/>
      <c r="E39" s="95"/>
      <c r="F39" s="78"/>
      <c r="T39" s="10"/>
      <c r="U39" s="30"/>
    </row>
    <row r="40" spans="1:21" x14ac:dyDescent="0.25">
      <c r="A40" s="87" t="s">
        <v>148</v>
      </c>
      <c r="B40" s="88">
        <v>10</v>
      </c>
      <c r="C40" s="88" t="s">
        <v>7</v>
      </c>
      <c r="D40" s="114">
        <f>SUM(E9:E37)/2</f>
        <v>4257536.25</v>
      </c>
      <c r="E40" s="107">
        <f>D40*B40/100</f>
        <v>425753.625</v>
      </c>
      <c r="F40" s="78"/>
      <c r="T40" s="10"/>
      <c r="U40" s="30"/>
    </row>
    <row r="41" spans="1:21" x14ac:dyDescent="0.25">
      <c r="A41" s="9" t="s">
        <v>149</v>
      </c>
      <c r="B41" s="100">
        <v>15</v>
      </c>
      <c r="C41" s="89" t="s">
        <v>7</v>
      </c>
      <c r="D41" s="115">
        <f>SUM(E9:E37)/2</f>
        <v>4257536.25</v>
      </c>
      <c r="E41" s="95">
        <f>D41*B41/100</f>
        <v>638630.4375</v>
      </c>
      <c r="F41" s="78"/>
      <c r="T41" s="10"/>
      <c r="U41" s="30"/>
    </row>
    <row r="42" spans="1:21" x14ac:dyDescent="0.25">
      <c r="A42" s="9" t="s">
        <v>15</v>
      </c>
      <c r="B42" s="100">
        <v>11</v>
      </c>
      <c r="C42" s="89" t="s">
        <v>7</v>
      </c>
      <c r="D42" s="115">
        <f>SUM(E9:E37)/2+SUM(D40:D41)+SUM(D43:D45)</f>
        <v>25545217.5</v>
      </c>
      <c r="E42" s="95">
        <f t="shared" ref="E42:E45" si="2">D42*B42/100</f>
        <v>2809973.9249999998</v>
      </c>
      <c r="F42" s="78"/>
      <c r="T42" s="10"/>
      <c r="U42" s="30"/>
    </row>
    <row r="43" spans="1:21" x14ac:dyDescent="0.25">
      <c r="A43" s="9" t="s">
        <v>11</v>
      </c>
      <c r="B43" s="100">
        <v>5</v>
      </c>
      <c r="C43" s="89" t="s">
        <v>7</v>
      </c>
      <c r="D43" s="115">
        <f>SUM(E9:E37)/2</f>
        <v>4257536.25</v>
      </c>
      <c r="E43" s="95">
        <f t="shared" si="2"/>
        <v>212876.8125</v>
      </c>
      <c r="F43" s="78"/>
      <c r="T43" s="10"/>
      <c r="U43" s="30"/>
    </row>
    <row r="44" spans="1:21" x14ac:dyDescent="0.25">
      <c r="A44" s="9" t="s">
        <v>12</v>
      </c>
      <c r="B44" s="100">
        <v>10</v>
      </c>
      <c r="C44" s="89" t="s">
        <v>7</v>
      </c>
      <c r="D44" s="115">
        <f>SUM(E9:E37)/2</f>
        <v>4257536.25</v>
      </c>
      <c r="E44" s="95">
        <f t="shared" si="2"/>
        <v>425753.625</v>
      </c>
      <c r="F44" s="78"/>
      <c r="T44" s="10"/>
      <c r="U44" s="30"/>
    </row>
    <row r="45" spans="1:21" x14ac:dyDescent="0.25">
      <c r="A45" s="15" t="s">
        <v>13</v>
      </c>
      <c r="B45" s="102">
        <v>10</v>
      </c>
      <c r="C45" s="110" t="s">
        <v>7</v>
      </c>
      <c r="D45" s="111">
        <f>SUM(E9:E37)/2</f>
        <v>4257536.25</v>
      </c>
      <c r="E45" s="112">
        <f t="shared" si="2"/>
        <v>425753.625</v>
      </c>
      <c r="F45" s="78"/>
      <c r="T45" s="10"/>
      <c r="U45" s="30"/>
    </row>
    <row r="46" spans="1:21" x14ac:dyDescent="0.25">
      <c r="A46" s="78" t="s">
        <v>6</v>
      </c>
      <c r="B46" s="116"/>
      <c r="C46" s="116"/>
      <c r="D46" s="104"/>
      <c r="E46" s="104">
        <f>SUM(E40:E45)</f>
        <v>4938742.05</v>
      </c>
      <c r="F46" s="96"/>
      <c r="T46" s="10"/>
      <c r="U46" s="30"/>
    </row>
    <row r="47" spans="1:21" x14ac:dyDescent="0.25">
      <c r="A47" s="54"/>
      <c r="B47" s="100"/>
      <c r="C47" s="100"/>
      <c r="D47" s="93"/>
      <c r="E47" s="117"/>
      <c r="F47" s="78"/>
      <c r="T47" s="10"/>
      <c r="U47" s="30"/>
    </row>
    <row r="48" spans="1:21" x14ac:dyDescent="0.25">
      <c r="A48" s="109" t="s">
        <v>14</v>
      </c>
      <c r="B48" s="118"/>
      <c r="C48" s="118"/>
      <c r="D48" s="119"/>
      <c r="E48" s="119"/>
      <c r="F48" s="78"/>
      <c r="T48" s="10"/>
      <c r="U48" s="30"/>
    </row>
    <row r="49" spans="1:21" x14ac:dyDescent="0.25">
      <c r="A49" s="120" t="s">
        <v>14</v>
      </c>
      <c r="B49" s="121">
        <v>30</v>
      </c>
      <c r="C49" s="122" t="s">
        <v>7</v>
      </c>
      <c r="D49" s="123">
        <f>SUM(E9:E46)/2</f>
        <v>9196278.3000000007</v>
      </c>
      <c r="E49" s="124">
        <f>D49*B49/100</f>
        <v>2758883.49</v>
      </c>
      <c r="F49" s="78"/>
      <c r="M49" s="24"/>
      <c r="N49" s="24"/>
      <c r="O49" s="24"/>
      <c r="P49" s="10"/>
      <c r="T49" s="10"/>
      <c r="U49" s="30"/>
    </row>
    <row r="50" spans="1:21" x14ac:dyDescent="0.25">
      <c r="A50" s="78" t="s">
        <v>6</v>
      </c>
      <c r="B50" s="116"/>
      <c r="C50" s="116"/>
      <c r="D50" s="104"/>
      <c r="E50" s="104">
        <f>SUM(E49)</f>
        <v>2758883.49</v>
      </c>
      <c r="F50" s="78"/>
      <c r="M50" s="24"/>
      <c r="N50" s="24"/>
      <c r="O50" s="24"/>
      <c r="P50" s="10"/>
      <c r="T50" s="10"/>
      <c r="U50" s="30"/>
    </row>
    <row r="51" spans="1:21" x14ac:dyDescent="0.25">
      <c r="A51" s="78"/>
      <c r="B51" s="78"/>
      <c r="C51" s="78"/>
      <c r="D51" s="78"/>
      <c r="E51" s="78"/>
      <c r="F51" s="78"/>
      <c r="M51" s="24"/>
      <c r="N51" s="24"/>
      <c r="O51" s="24"/>
      <c r="P51" s="10"/>
      <c r="T51" s="10"/>
      <c r="U51" s="30"/>
    </row>
    <row r="52" spans="1:21" x14ac:dyDescent="0.25">
      <c r="A52" s="109" t="s">
        <v>151</v>
      </c>
      <c r="B52" s="118"/>
      <c r="C52" s="118"/>
      <c r="D52" s="119"/>
      <c r="E52" s="119"/>
      <c r="F52" s="78"/>
      <c r="M52" s="24"/>
      <c r="N52" s="24"/>
      <c r="O52" s="24"/>
      <c r="P52" s="10"/>
      <c r="T52" s="10"/>
      <c r="U52" s="30"/>
    </row>
    <row r="53" spans="1:21" x14ac:dyDescent="0.25">
      <c r="A53" s="15" t="s">
        <v>73</v>
      </c>
      <c r="B53" s="110">
        <f>1.5/0.6</f>
        <v>2.5</v>
      </c>
      <c r="C53" s="110" t="s">
        <v>72</v>
      </c>
      <c r="D53" s="112">
        <v>500000</v>
      </c>
      <c r="E53" s="112">
        <f>B53*D53</f>
        <v>1250000</v>
      </c>
      <c r="F53" s="96" t="s">
        <v>152</v>
      </c>
      <c r="M53" s="24"/>
      <c r="N53" s="24"/>
      <c r="O53" s="24"/>
      <c r="P53" s="10"/>
      <c r="T53" s="10"/>
      <c r="U53" s="30"/>
    </row>
    <row r="54" spans="1:21" x14ac:dyDescent="0.25">
      <c r="A54" s="96" t="s">
        <v>6</v>
      </c>
      <c r="B54" s="91"/>
      <c r="C54" s="91"/>
      <c r="D54" s="108"/>
      <c r="E54" s="108">
        <f>SUM(E53)</f>
        <v>1250000</v>
      </c>
      <c r="F54" s="96" t="s">
        <v>150</v>
      </c>
      <c r="M54" s="24"/>
      <c r="N54" s="24"/>
      <c r="O54" s="24"/>
      <c r="P54" s="10"/>
      <c r="T54" s="10"/>
      <c r="U54" s="30"/>
    </row>
    <row r="55" spans="1:21" s="55" customFormat="1" x14ac:dyDescent="0.25">
      <c r="A55" s="78"/>
      <c r="B55" s="78"/>
      <c r="C55" s="78"/>
      <c r="D55" s="78"/>
      <c r="E55" s="78"/>
      <c r="F55" s="78"/>
      <c r="M55" s="56"/>
      <c r="N55" s="56"/>
      <c r="O55" s="56"/>
      <c r="P55" s="56"/>
      <c r="T55" s="10"/>
      <c r="U55" s="30"/>
    </row>
    <row r="56" spans="1:21" x14ac:dyDescent="0.25">
      <c r="A56" s="78"/>
      <c r="B56" s="78"/>
      <c r="C56" s="78"/>
      <c r="D56" s="78"/>
      <c r="E56" s="78"/>
      <c r="F56" s="78"/>
      <c r="M56" s="10"/>
      <c r="N56" s="25"/>
      <c r="O56" s="19"/>
      <c r="P56" s="10"/>
      <c r="T56" s="10"/>
      <c r="U56" s="30"/>
    </row>
    <row r="57" spans="1:21" x14ac:dyDescent="0.25">
      <c r="A57" s="54" t="s">
        <v>153</v>
      </c>
      <c r="B57" s="100"/>
      <c r="C57" s="78"/>
      <c r="D57" s="116"/>
      <c r="E57" s="126">
        <f>SUM(E9:E50)/2</f>
        <v>11955161.790000003</v>
      </c>
      <c r="F57" s="104"/>
      <c r="M57" s="10"/>
      <c r="N57" s="10"/>
      <c r="O57" s="10"/>
      <c r="P57" s="10"/>
      <c r="T57" s="10"/>
      <c r="U57" s="30"/>
    </row>
    <row r="58" spans="1:21" x14ac:dyDescent="0.25">
      <c r="A58" s="78"/>
      <c r="B58" s="100"/>
      <c r="C58" s="100"/>
      <c r="D58" s="93"/>
      <c r="E58" s="127"/>
      <c r="F58" s="78"/>
      <c r="T58" s="10"/>
      <c r="U58" s="30"/>
    </row>
    <row r="59" spans="1:21" x14ac:dyDescent="0.25">
      <c r="A59" s="54" t="s">
        <v>154</v>
      </c>
      <c r="B59" s="128"/>
      <c r="C59" s="100"/>
      <c r="D59" s="93"/>
      <c r="E59" s="104">
        <f>E54</f>
        <v>1250000</v>
      </c>
      <c r="F59" s="78"/>
      <c r="T59" s="10"/>
      <c r="U59" s="30"/>
    </row>
    <row r="60" spans="1:21" x14ac:dyDescent="0.25">
      <c r="A60" s="78"/>
      <c r="B60" s="100"/>
      <c r="C60" s="100"/>
      <c r="D60" s="93"/>
      <c r="E60" s="93"/>
      <c r="F60" s="78"/>
      <c r="T60" s="10"/>
      <c r="U60" s="30"/>
    </row>
    <row r="61" spans="1:21" x14ac:dyDescent="0.25">
      <c r="A61" s="54" t="s">
        <v>155</v>
      </c>
      <c r="B61" s="78"/>
      <c r="C61" s="78"/>
      <c r="D61" s="78"/>
      <c r="E61" s="129">
        <f>+PMT(0.03375,50,-E57-E59,0)</f>
        <v>550354.94005377858</v>
      </c>
      <c r="F61" s="96" t="s">
        <v>156</v>
      </c>
      <c r="T61" s="10"/>
      <c r="U61" s="30"/>
    </row>
    <row r="62" spans="1:21" x14ac:dyDescent="0.25">
      <c r="A62" s="78"/>
      <c r="B62" s="78"/>
      <c r="C62" s="78"/>
      <c r="D62" s="78"/>
      <c r="E62" s="78"/>
      <c r="F62" s="78"/>
      <c r="T62" s="10"/>
      <c r="U62" s="30"/>
    </row>
    <row r="63" spans="1:21" x14ac:dyDescent="0.25">
      <c r="A63" s="130" t="s">
        <v>25</v>
      </c>
      <c r="B63" s="39"/>
      <c r="C63" s="39"/>
      <c r="D63" s="93"/>
      <c r="E63" s="93">
        <f>N31+P26+O11</f>
        <v>247191.12787566072</v>
      </c>
      <c r="F63" s="78"/>
      <c r="T63" s="10"/>
      <c r="U63" s="30"/>
    </row>
    <row r="64" spans="1:21" x14ac:dyDescent="0.25">
      <c r="A64" s="54"/>
      <c r="B64" s="100"/>
      <c r="C64" s="100"/>
      <c r="D64" s="93"/>
      <c r="E64" s="93"/>
      <c r="F64" s="78"/>
      <c r="T64" s="10"/>
      <c r="U64" s="30"/>
    </row>
    <row r="65" spans="1:21" x14ac:dyDescent="0.25">
      <c r="A65" s="130" t="s">
        <v>35</v>
      </c>
      <c r="B65" s="78"/>
      <c r="C65" s="78"/>
      <c r="D65" s="78"/>
      <c r="E65" s="131">
        <f>1.5*277.98</f>
        <v>416.97</v>
      </c>
      <c r="F65" s="96" t="s">
        <v>141</v>
      </c>
      <c r="T65" s="10"/>
      <c r="U65" s="30"/>
    </row>
    <row r="66" spans="1:21" x14ac:dyDescent="0.25">
      <c r="A66" s="39"/>
      <c r="B66" s="100"/>
      <c r="C66" s="100"/>
      <c r="D66" s="93"/>
      <c r="E66" s="93"/>
      <c r="F66" s="78"/>
      <c r="T66" s="10"/>
      <c r="U66" s="30"/>
    </row>
    <row r="67" spans="1:21" x14ac:dyDescent="0.25">
      <c r="A67" s="54" t="s">
        <v>157</v>
      </c>
      <c r="B67" s="100"/>
      <c r="C67" s="100"/>
      <c r="D67" s="93"/>
      <c r="E67" s="93">
        <f>+(E61+E63)/E65</f>
        <v>1912.7181042507596</v>
      </c>
      <c r="F67" s="78"/>
      <c r="T67" s="10"/>
      <c r="U67" s="30"/>
    </row>
    <row r="68" spans="1:21" x14ac:dyDescent="0.25">
      <c r="A68" s="78"/>
      <c r="B68" s="78"/>
      <c r="C68" s="78"/>
      <c r="D68" s="78"/>
      <c r="E68" s="78"/>
      <c r="F68" s="78"/>
      <c r="T68" s="10"/>
      <c r="U68" s="30"/>
    </row>
    <row r="69" spans="1:21" x14ac:dyDescent="0.25">
      <c r="A69" s="78"/>
      <c r="B69" s="78"/>
      <c r="C69" s="78"/>
      <c r="D69" s="78"/>
      <c r="E69" s="78"/>
      <c r="F69" s="78"/>
      <c r="T69" s="10"/>
      <c r="U69" s="30"/>
    </row>
    <row r="70" spans="1:21" x14ac:dyDescent="0.25">
      <c r="T70" s="10"/>
      <c r="U70" s="30"/>
    </row>
    <row r="71" spans="1:21" x14ac:dyDescent="0.25">
      <c r="T71" s="10"/>
      <c r="U71" s="30"/>
    </row>
    <row r="72" spans="1:21" x14ac:dyDescent="0.25">
      <c r="T72" s="10"/>
      <c r="U72" s="30"/>
    </row>
    <row r="73" spans="1:21" x14ac:dyDescent="0.25">
      <c r="T73" s="10"/>
      <c r="U73" s="30"/>
    </row>
    <row r="74" spans="1:21" x14ac:dyDescent="0.25">
      <c r="T74" s="10"/>
      <c r="U74" s="30"/>
    </row>
    <row r="75" spans="1:21" x14ac:dyDescent="0.25">
      <c r="T75" s="10"/>
      <c r="U75" s="30"/>
    </row>
  </sheetData>
  <pageMargins left="0.75" right="0.75" top="1" bottom="1" header="0.5" footer="0.5"/>
  <pageSetup scale="46" orientation="landscape"/>
  <headerFooter alignWithMargins="0">
    <oddFooter>&amp;LLA Basin Stormwater Conservation Study_Project Costs&amp;R&amp;D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2"/>
  <sheetViews>
    <sheetView topLeftCell="A17" zoomScaleNormal="100" zoomScaleSheetLayoutView="80" workbookViewId="0">
      <selection activeCell="B29" sqref="B29"/>
    </sheetView>
  </sheetViews>
  <sheetFormatPr defaultRowHeight="13.2" x14ac:dyDescent="0.25"/>
  <cols>
    <col min="1" max="1" width="54.6640625" customWidth="1"/>
    <col min="4" max="4" width="13.88671875" bestFit="1" customWidth="1"/>
    <col min="5" max="5" width="15.44140625" customWidth="1"/>
    <col min="12" max="12" width="13.5546875" customWidth="1"/>
    <col min="13" max="13" width="28.6640625" customWidth="1"/>
    <col min="14" max="14" width="14" customWidth="1"/>
    <col min="15" max="15" width="17.109375" customWidth="1"/>
    <col min="16" max="16" width="16.5546875" customWidth="1"/>
    <col min="17" max="17" width="17.109375" customWidth="1"/>
    <col min="18" max="18" width="19.33203125" customWidth="1"/>
    <col min="19" max="19" width="11.44140625" customWidth="1"/>
    <col min="20" max="20" width="15" customWidth="1"/>
    <col min="21" max="21" width="26.33203125" customWidth="1"/>
    <col min="23" max="23" width="28.6640625" customWidth="1"/>
  </cols>
  <sheetData>
    <row r="1" spans="1:24" ht="14.4" x14ac:dyDescent="0.3">
      <c r="A1" s="1" t="str">
        <f>Summary!A1</f>
        <v>LACDPW Basin Study</v>
      </c>
      <c r="M1" s="45"/>
      <c r="N1" s="46"/>
      <c r="O1" s="45"/>
      <c r="P1" s="47"/>
      <c r="Q1" s="47"/>
      <c r="R1" s="47"/>
      <c r="S1" s="48"/>
    </row>
    <row r="2" spans="1:24" x14ac:dyDescent="0.25">
      <c r="A2" s="1" t="str">
        <f>Summary!A2</f>
        <v>N Summerville</v>
      </c>
      <c r="M2" s="49"/>
      <c r="N2" s="50"/>
      <c r="O2" s="49"/>
      <c r="P2" s="50"/>
      <c r="Q2" s="50"/>
      <c r="R2" s="50"/>
      <c r="S2" s="51"/>
    </row>
    <row r="3" spans="1:24" x14ac:dyDescent="0.25">
      <c r="A3" s="13">
        <f>Summary!A3</f>
        <v>42275</v>
      </c>
      <c r="M3" s="49"/>
      <c r="N3" s="49"/>
      <c r="O3" s="49"/>
      <c r="P3" s="51"/>
      <c r="Q3" s="51"/>
      <c r="R3" s="51"/>
      <c r="S3" s="51"/>
      <c r="T3" s="32"/>
      <c r="U3" s="32"/>
      <c r="V3" s="32"/>
    </row>
    <row r="4" spans="1:24" x14ac:dyDescent="0.25">
      <c r="M4" s="49"/>
      <c r="N4" s="50"/>
      <c r="O4" s="52"/>
      <c r="P4" s="53"/>
      <c r="Q4" s="53"/>
      <c r="R4" s="53"/>
      <c r="S4" s="51"/>
      <c r="T4" s="32"/>
      <c r="U4" s="32"/>
      <c r="V4" s="32"/>
    </row>
    <row r="5" spans="1:24" ht="13.8" thickBot="1" x14ac:dyDescent="0.3">
      <c r="A5" s="16" t="s">
        <v>104</v>
      </c>
      <c r="B5" s="17"/>
      <c r="C5" s="17"/>
      <c r="D5" s="17"/>
      <c r="E5" s="17"/>
      <c r="M5" s="76" t="s">
        <v>146</v>
      </c>
      <c r="N5" s="77"/>
      <c r="O5" s="78"/>
      <c r="P5" s="53"/>
      <c r="Q5" s="53"/>
      <c r="R5" s="53"/>
      <c r="S5" s="51"/>
      <c r="T5" s="32"/>
      <c r="U5" s="32"/>
      <c r="V5" s="32"/>
    </row>
    <row r="6" spans="1:24" x14ac:dyDescent="0.25">
      <c r="A6" s="78"/>
      <c r="B6" s="78"/>
      <c r="C6" s="78"/>
      <c r="D6" s="78"/>
      <c r="E6" s="78"/>
      <c r="F6" s="78"/>
      <c r="M6" s="78"/>
      <c r="N6" s="78"/>
      <c r="O6" s="77"/>
      <c r="P6" s="53"/>
      <c r="Q6" s="53"/>
      <c r="R6" s="53"/>
      <c r="S6" s="51"/>
      <c r="T6" s="32"/>
      <c r="U6" s="32"/>
      <c r="V6" s="32"/>
    </row>
    <row r="7" spans="1:24" x14ac:dyDescent="0.25">
      <c r="A7" s="130" t="s">
        <v>0</v>
      </c>
      <c r="B7" s="134" t="s">
        <v>1</v>
      </c>
      <c r="C7" s="134" t="s">
        <v>2</v>
      </c>
      <c r="D7" s="135" t="s">
        <v>3</v>
      </c>
      <c r="E7" s="135" t="s">
        <v>4</v>
      </c>
      <c r="F7" s="78"/>
      <c r="M7" s="79" t="s">
        <v>147</v>
      </c>
      <c r="N7" s="80" t="s">
        <v>4</v>
      </c>
      <c r="O7" s="91" t="s">
        <v>21</v>
      </c>
      <c r="P7" s="53"/>
      <c r="Q7" s="53"/>
      <c r="R7" s="53"/>
      <c r="S7" s="51"/>
      <c r="T7" s="32"/>
      <c r="U7" s="32"/>
      <c r="V7" s="32"/>
    </row>
    <row r="8" spans="1:24" x14ac:dyDescent="0.25">
      <c r="A8" s="92"/>
      <c r="B8" s="39"/>
      <c r="C8" s="39"/>
      <c r="D8" s="93"/>
      <c r="E8" s="93"/>
      <c r="F8" s="78"/>
      <c r="M8" s="78"/>
      <c r="N8" s="81" t="s">
        <v>24</v>
      </c>
      <c r="O8" s="81" t="s">
        <v>24</v>
      </c>
      <c r="P8" s="53"/>
      <c r="Q8" s="53"/>
      <c r="R8" s="53"/>
      <c r="S8" s="51"/>
      <c r="T8" s="32"/>
      <c r="U8" s="32"/>
      <c r="V8" s="32"/>
    </row>
    <row r="9" spans="1:24" x14ac:dyDescent="0.25">
      <c r="A9" s="63" t="s">
        <v>65</v>
      </c>
      <c r="B9" s="106" t="s">
        <v>66</v>
      </c>
      <c r="C9" s="137">
        <v>13820</v>
      </c>
      <c r="D9" s="138">
        <v>2.25</v>
      </c>
      <c r="E9" s="107">
        <f t="shared" ref="E9:E24" si="0">ROUND(D9*C9,-3)</f>
        <v>31000</v>
      </c>
      <c r="F9" s="9" t="s">
        <v>96</v>
      </c>
      <c r="M9" s="78"/>
      <c r="N9" s="78"/>
      <c r="O9" s="78"/>
      <c r="P9" s="53"/>
      <c r="Q9" s="53"/>
      <c r="R9" s="53"/>
      <c r="S9" s="51"/>
      <c r="T9" s="32"/>
      <c r="U9" s="32"/>
      <c r="V9" s="32"/>
    </row>
    <row r="10" spans="1:24" ht="12.75" customHeight="1" x14ac:dyDescent="0.25">
      <c r="A10" s="9" t="s">
        <v>67</v>
      </c>
      <c r="B10" s="89" t="s">
        <v>46</v>
      </c>
      <c r="C10" s="94">
        <v>18385</v>
      </c>
      <c r="D10" s="72">
        <v>25</v>
      </c>
      <c r="E10" s="95">
        <f t="shared" si="0"/>
        <v>460000</v>
      </c>
      <c r="F10" s="9" t="s">
        <v>97</v>
      </c>
      <c r="M10" s="6" t="s">
        <v>69</v>
      </c>
      <c r="N10" s="82">
        <f>E13</f>
        <v>700000</v>
      </c>
      <c r="O10" s="90">
        <f>+PMT(0.03375,50,-N10,0)</f>
        <v>29174.080875660737</v>
      </c>
      <c r="P10" s="53"/>
      <c r="Q10" s="53"/>
      <c r="R10" s="53"/>
      <c r="S10" s="51"/>
      <c r="T10" s="32"/>
      <c r="U10" s="32"/>
      <c r="V10" s="32"/>
    </row>
    <row r="11" spans="1:24" x14ac:dyDescent="0.25">
      <c r="A11" s="9" t="s">
        <v>98</v>
      </c>
      <c r="B11" s="89" t="s">
        <v>41</v>
      </c>
      <c r="C11" s="94">
        <v>405</v>
      </c>
      <c r="D11" s="72">
        <v>40</v>
      </c>
      <c r="E11" s="95">
        <f t="shared" si="0"/>
        <v>16000</v>
      </c>
      <c r="F11" s="9" t="s">
        <v>99</v>
      </c>
      <c r="M11" s="49"/>
      <c r="N11" s="50"/>
      <c r="O11" s="52"/>
      <c r="P11" s="53"/>
      <c r="Q11" s="53"/>
      <c r="R11" s="53"/>
      <c r="S11" s="51"/>
      <c r="T11" s="32"/>
      <c r="U11" s="32"/>
      <c r="V11" s="32"/>
    </row>
    <row r="12" spans="1:24" x14ac:dyDescent="0.25">
      <c r="A12" s="9" t="s">
        <v>81</v>
      </c>
      <c r="B12" s="89" t="s">
        <v>55</v>
      </c>
      <c r="C12" s="94">
        <v>2</v>
      </c>
      <c r="D12" s="73">
        <v>50000</v>
      </c>
      <c r="E12" s="95">
        <f t="shared" si="0"/>
        <v>100000</v>
      </c>
      <c r="F12" s="9" t="s">
        <v>100</v>
      </c>
      <c r="M12" s="49"/>
      <c r="N12" s="50"/>
      <c r="O12" s="52"/>
      <c r="P12" s="53"/>
      <c r="Q12" s="53"/>
      <c r="R12" s="53"/>
      <c r="S12" s="51"/>
      <c r="T12" s="32"/>
      <c r="U12" s="32"/>
      <c r="V12" s="32"/>
    </row>
    <row r="13" spans="1:24" x14ac:dyDescent="0.25">
      <c r="A13" s="9" t="s">
        <v>69</v>
      </c>
      <c r="B13" s="89" t="s">
        <v>55</v>
      </c>
      <c r="C13" s="94">
        <v>2</v>
      </c>
      <c r="D13" s="73">
        <v>350000</v>
      </c>
      <c r="E13" s="95">
        <f t="shared" si="0"/>
        <v>700000</v>
      </c>
      <c r="F13" s="9" t="s">
        <v>83</v>
      </c>
      <c r="M13" s="49"/>
      <c r="N13" s="50"/>
      <c r="O13" s="52"/>
      <c r="P13" s="53"/>
      <c r="Q13" s="53"/>
      <c r="R13" s="53"/>
      <c r="S13" s="51"/>
      <c r="T13" s="32"/>
      <c r="U13" s="32"/>
      <c r="V13" s="32"/>
    </row>
    <row r="14" spans="1:24" x14ac:dyDescent="0.25">
      <c r="A14" s="9" t="s">
        <v>61</v>
      </c>
      <c r="B14" s="89" t="s">
        <v>55</v>
      </c>
      <c r="C14" s="94">
        <v>2</v>
      </c>
      <c r="D14" s="73">
        <v>15000</v>
      </c>
      <c r="E14" s="95">
        <f t="shared" si="0"/>
        <v>30000</v>
      </c>
      <c r="F14" s="9"/>
      <c r="M14" s="49"/>
      <c r="N14" s="50"/>
      <c r="O14" s="52"/>
      <c r="P14" s="53"/>
      <c r="Q14" s="53"/>
      <c r="R14" s="53"/>
      <c r="S14" s="51"/>
      <c r="T14" s="32"/>
      <c r="U14" s="32"/>
      <c r="V14" s="32"/>
    </row>
    <row r="15" spans="1:24" x14ac:dyDescent="0.25">
      <c r="A15" s="9" t="s">
        <v>84</v>
      </c>
      <c r="B15" s="89" t="s">
        <v>39</v>
      </c>
      <c r="C15" s="94">
        <v>1</v>
      </c>
      <c r="D15" s="73">
        <v>35000</v>
      </c>
      <c r="E15" s="95">
        <f t="shared" si="0"/>
        <v>35000</v>
      </c>
      <c r="F15" s="9"/>
      <c r="M15" s="49"/>
      <c r="N15" s="50"/>
      <c r="O15" s="52"/>
      <c r="P15" s="53"/>
      <c r="Q15" s="53"/>
      <c r="R15" s="53"/>
      <c r="S15" s="51"/>
      <c r="T15" s="32"/>
      <c r="U15" s="32"/>
      <c r="V15" s="32"/>
    </row>
    <row r="16" spans="1:24" x14ac:dyDescent="0.25">
      <c r="A16" s="9" t="s">
        <v>62</v>
      </c>
      <c r="B16" s="89" t="s">
        <v>55</v>
      </c>
      <c r="C16" s="94">
        <v>4</v>
      </c>
      <c r="D16" s="73">
        <v>450000</v>
      </c>
      <c r="E16" s="95">
        <f t="shared" si="0"/>
        <v>1800000</v>
      </c>
      <c r="F16" s="9"/>
      <c r="L16" s="40"/>
      <c r="M16" s="49"/>
      <c r="N16" s="50"/>
      <c r="O16" s="52"/>
      <c r="P16" s="53"/>
      <c r="Q16" s="53"/>
      <c r="R16" s="53"/>
      <c r="S16" s="51"/>
      <c r="T16" s="32"/>
      <c r="U16" s="32"/>
      <c r="V16" s="32"/>
      <c r="X16" s="39"/>
    </row>
    <row r="17" spans="1:24" x14ac:dyDescent="0.25">
      <c r="A17" s="9" t="s">
        <v>63</v>
      </c>
      <c r="B17" s="89" t="s">
        <v>55</v>
      </c>
      <c r="C17" s="94">
        <v>4</v>
      </c>
      <c r="D17" s="73">
        <v>5000</v>
      </c>
      <c r="E17" s="95">
        <f t="shared" si="0"/>
        <v>20000</v>
      </c>
      <c r="F17" s="9"/>
      <c r="L17" s="40"/>
      <c r="M17" s="49"/>
      <c r="N17" s="50"/>
      <c r="O17" s="52"/>
      <c r="P17" s="53"/>
      <c r="Q17" s="53"/>
      <c r="R17" s="53"/>
      <c r="S17" s="51"/>
      <c r="T17" s="32"/>
      <c r="U17" s="32"/>
      <c r="V17" s="32"/>
      <c r="X17" s="39"/>
    </row>
    <row r="18" spans="1:24" x14ac:dyDescent="0.25">
      <c r="A18" s="9" t="s">
        <v>85</v>
      </c>
      <c r="B18" s="89" t="s">
        <v>39</v>
      </c>
      <c r="C18" s="94">
        <v>1</v>
      </c>
      <c r="D18" s="73">
        <v>40000</v>
      </c>
      <c r="E18" s="95">
        <f t="shared" si="0"/>
        <v>40000</v>
      </c>
      <c r="F18" s="9"/>
      <c r="L18" s="40"/>
      <c r="M18" s="49"/>
      <c r="N18" s="50"/>
      <c r="O18" s="52"/>
      <c r="P18" s="53"/>
      <c r="Q18" s="53"/>
      <c r="R18" s="53"/>
      <c r="S18" s="51"/>
      <c r="T18" s="41"/>
      <c r="U18" s="32"/>
      <c r="V18" s="32"/>
      <c r="X18" s="39"/>
    </row>
    <row r="19" spans="1:24" ht="14.4" x14ac:dyDescent="0.3">
      <c r="A19" s="9" t="s">
        <v>101</v>
      </c>
      <c r="B19" s="89" t="s">
        <v>39</v>
      </c>
      <c r="C19" s="94">
        <v>1</v>
      </c>
      <c r="D19" s="73">
        <v>50000</v>
      </c>
      <c r="E19" s="95">
        <f t="shared" si="0"/>
        <v>50000</v>
      </c>
      <c r="F19" s="9"/>
      <c r="L19" s="41"/>
      <c r="U19" s="42"/>
      <c r="V19" s="41"/>
      <c r="W19" s="43"/>
      <c r="X19" s="39"/>
    </row>
    <row r="20" spans="1:24" x14ac:dyDescent="0.25">
      <c r="A20" s="9" t="s">
        <v>86</v>
      </c>
      <c r="B20" s="89" t="s">
        <v>39</v>
      </c>
      <c r="C20" s="94">
        <v>1</v>
      </c>
      <c r="D20" s="73">
        <v>35000</v>
      </c>
      <c r="E20" s="95">
        <f t="shared" si="0"/>
        <v>35000</v>
      </c>
      <c r="F20" s="9"/>
      <c r="L20" s="41"/>
      <c r="M20" s="42"/>
      <c r="N20" s="41"/>
      <c r="O20" s="41"/>
      <c r="P20" s="41"/>
      <c r="Q20" s="41"/>
      <c r="R20" s="41"/>
      <c r="S20" s="41"/>
      <c r="T20" s="41"/>
      <c r="U20" s="42"/>
      <c r="V20" s="41"/>
      <c r="W20" s="42"/>
      <c r="X20" s="39"/>
    </row>
    <row r="21" spans="1:24" ht="14.4" x14ac:dyDescent="0.3">
      <c r="A21" s="9" t="s">
        <v>102</v>
      </c>
      <c r="B21" s="89" t="s">
        <v>39</v>
      </c>
      <c r="C21" s="94">
        <v>1</v>
      </c>
      <c r="D21" s="73">
        <v>30000</v>
      </c>
      <c r="E21" s="95">
        <f t="shared" si="0"/>
        <v>30000</v>
      </c>
      <c r="F21" s="9"/>
      <c r="L21" s="41"/>
      <c r="M21" s="26" t="s">
        <v>36</v>
      </c>
      <c r="N21" s="10"/>
      <c r="O21" s="10"/>
      <c r="P21" s="10"/>
      <c r="R21" s="41"/>
      <c r="S21" s="41"/>
      <c r="T21" s="21"/>
      <c r="U21" s="23"/>
      <c r="V21" s="41"/>
      <c r="W21" s="43"/>
      <c r="X21" s="39"/>
    </row>
    <row r="22" spans="1:24" x14ac:dyDescent="0.25">
      <c r="A22" s="9" t="s">
        <v>87</v>
      </c>
      <c r="B22" s="89" t="s">
        <v>39</v>
      </c>
      <c r="C22" s="94">
        <v>1</v>
      </c>
      <c r="D22" s="73">
        <v>15000</v>
      </c>
      <c r="E22" s="95">
        <f t="shared" si="0"/>
        <v>15000</v>
      </c>
      <c r="F22" s="9"/>
      <c r="L22" s="41"/>
      <c r="M22" s="10"/>
      <c r="N22" s="10"/>
      <c r="O22" s="10"/>
      <c r="P22" s="10"/>
      <c r="R22" s="41"/>
      <c r="S22" s="41"/>
      <c r="V22" s="41"/>
      <c r="W22" s="44"/>
      <c r="X22" s="39"/>
    </row>
    <row r="23" spans="1:24" x14ac:dyDescent="0.25">
      <c r="A23" s="9" t="s">
        <v>88</v>
      </c>
      <c r="B23" s="89" t="s">
        <v>41</v>
      </c>
      <c r="C23" s="94">
        <v>325</v>
      </c>
      <c r="D23" s="72">
        <v>216</v>
      </c>
      <c r="E23" s="95">
        <f t="shared" si="0"/>
        <v>70000</v>
      </c>
      <c r="F23" s="9"/>
      <c r="L23" s="41"/>
      <c r="M23" s="27" t="s">
        <v>16</v>
      </c>
      <c r="N23" s="28"/>
      <c r="O23" s="24" t="s">
        <v>19</v>
      </c>
      <c r="P23" s="24" t="s">
        <v>21</v>
      </c>
      <c r="R23" s="41"/>
      <c r="S23" s="41"/>
      <c r="T23" s="10"/>
      <c r="U23" s="30"/>
      <c r="V23" s="41"/>
      <c r="W23" s="42"/>
      <c r="X23" s="39"/>
    </row>
    <row r="24" spans="1:24" x14ac:dyDescent="0.25">
      <c r="A24" s="9" t="s">
        <v>103</v>
      </c>
      <c r="B24" s="89" t="s">
        <v>41</v>
      </c>
      <c r="C24" s="94">
        <v>150</v>
      </c>
      <c r="D24" s="72">
        <v>2000</v>
      </c>
      <c r="E24" s="95">
        <f t="shared" si="0"/>
        <v>300000</v>
      </c>
      <c r="F24" s="9"/>
      <c r="M24" s="24" t="s">
        <v>17</v>
      </c>
      <c r="N24" s="24" t="s">
        <v>18</v>
      </c>
      <c r="O24" s="24" t="s">
        <v>20</v>
      </c>
      <c r="P24" s="24" t="s">
        <v>24</v>
      </c>
      <c r="T24" s="10"/>
      <c r="U24" s="30"/>
    </row>
    <row r="25" spans="1:24" x14ac:dyDescent="0.25">
      <c r="A25" s="78" t="s">
        <v>6</v>
      </c>
      <c r="B25" s="100"/>
      <c r="C25" s="100"/>
      <c r="D25" s="93"/>
      <c r="E25" s="93">
        <f>SUM(E9:E24)</f>
        <v>3732000</v>
      </c>
      <c r="F25" s="78"/>
      <c r="M25" s="10"/>
      <c r="N25" s="10"/>
      <c r="O25" s="10"/>
      <c r="P25" s="10"/>
      <c r="T25" s="10"/>
      <c r="U25" s="30"/>
    </row>
    <row r="26" spans="1:24" x14ac:dyDescent="0.25">
      <c r="A26" s="78"/>
      <c r="B26" s="100"/>
      <c r="C26" s="100"/>
      <c r="D26" s="93"/>
      <c r="E26" s="93"/>
      <c r="F26" s="78"/>
      <c r="M26" s="10">
        <v>100</v>
      </c>
      <c r="N26" s="25">
        <f>0.746*M26*3*30.4*24</f>
        <v>163284.47999999998</v>
      </c>
      <c r="O26" s="29">
        <v>0.15</v>
      </c>
      <c r="P26" s="30">
        <f>+N26*O26</f>
        <v>24492.671999999995</v>
      </c>
      <c r="T26" s="10"/>
      <c r="U26" s="30"/>
    </row>
    <row r="27" spans="1:24" x14ac:dyDescent="0.25">
      <c r="A27" s="101" t="s">
        <v>70</v>
      </c>
      <c r="B27" s="102"/>
      <c r="C27" s="102"/>
      <c r="D27" s="103"/>
      <c r="E27" s="103"/>
      <c r="F27" s="78"/>
      <c r="M27" s="10"/>
      <c r="N27" s="10"/>
      <c r="O27" s="10"/>
      <c r="P27" s="10"/>
      <c r="T27" s="10"/>
      <c r="U27" s="30"/>
    </row>
    <row r="28" spans="1:24" x14ac:dyDescent="0.25">
      <c r="A28" s="9" t="s">
        <v>71</v>
      </c>
      <c r="B28" s="100">
        <f>B56*0.1*0.6</f>
        <v>0.24</v>
      </c>
      <c r="C28" s="89" t="s">
        <v>72</v>
      </c>
      <c r="D28" s="93">
        <v>35000</v>
      </c>
      <c r="E28" s="93">
        <f t="shared" ref="E28" si="1">+B28*D28</f>
        <v>8400</v>
      </c>
      <c r="F28" s="96" t="s">
        <v>94</v>
      </c>
      <c r="M28" s="24" t="s">
        <v>22</v>
      </c>
      <c r="N28" s="24" t="s">
        <v>21</v>
      </c>
      <c r="O28" s="24" t="s">
        <v>26</v>
      </c>
      <c r="Q28" s="24"/>
      <c r="T28" s="10"/>
      <c r="U28" s="30"/>
    </row>
    <row r="29" spans="1:24" x14ac:dyDescent="0.25">
      <c r="A29" s="97" t="s">
        <v>6</v>
      </c>
      <c r="B29" s="98"/>
      <c r="C29" s="98"/>
      <c r="D29" s="99"/>
      <c r="E29" s="99">
        <f>SUM(E28:E28)</f>
        <v>8400</v>
      </c>
      <c r="F29" s="78"/>
      <c r="M29" s="24" t="s">
        <v>23</v>
      </c>
      <c r="N29" s="24" t="s">
        <v>24</v>
      </c>
      <c r="O29" s="24" t="s">
        <v>27</v>
      </c>
      <c r="Q29" s="24"/>
      <c r="T29" s="10"/>
      <c r="U29" s="30"/>
    </row>
    <row r="30" spans="1:24" x14ac:dyDescent="0.25">
      <c r="A30" s="9"/>
      <c r="B30" s="100"/>
      <c r="C30" s="100"/>
      <c r="D30" s="93"/>
      <c r="E30" s="104"/>
      <c r="F30" s="78"/>
      <c r="M30" s="10"/>
      <c r="N30" s="10"/>
      <c r="O30" s="10"/>
      <c r="T30" s="10"/>
      <c r="U30" s="30"/>
    </row>
    <row r="31" spans="1:24" x14ac:dyDescent="0.25">
      <c r="A31" s="54" t="s">
        <v>74</v>
      </c>
      <c r="B31" s="100"/>
      <c r="C31" s="100"/>
      <c r="D31" s="93"/>
      <c r="E31" s="93"/>
      <c r="F31" s="78"/>
      <c r="M31" s="31">
        <v>0.05</v>
      </c>
      <c r="N31" s="29">
        <f>+M31*SUM(E9:E37)/2</f>
        <v>207413.25</v>
      </c>
      <c r="O31" s="10">
        <v>50</v>
      </c>
      <c r="Q31" s="2"/>
      <c r="T31" s="56"/>
      <c r="U31" s="30"/>
    </row>
    <row r="32" spans="1:24" x14ac:dyDescent="0.25">
      <c r="A32" s="63" t="s">
        <v>75</v>
      </c>
      <c r="B32" s="136">
        <v>1230</v>
      </c>
      <c r="C32" s="106" t="s">
        <v>5</v>
      </c>
      <c r="D32" s="99">
        <v>25</v>
      </c>
      <c r="E32" s="99">
        <f>+B32*D32</f>
        <v>30750</v>
      </c>
      <c r="F32" s="78"/>
      <c r="T32" s="10"/>
      <c r="U32" s="30"/>
    </row>
    <row r="33" spans="1:21" x14ac:dyDescent="0.25">
      <c r="A33" s="15" t="s">
        <v>73</v>
      </c>
      <c r="B33" s="139">
        <v>0</v>
      </c>
      <c r="C33" s="110" t="s">
        <v>72</v>
      </c>
      <c r="D33" s="103">
        <v>500000</v>
      </c>
      <c r="E33" s="103">
        <f t="shared" ref="E33" si="2">+B33*D33</f>
        <v>0</v>
      </c>
      <c r="F33" s="96" t="s">
        <v>95</v>
      </c>
      <c r="T33" s="10"/>
      <c r="U33" s="30"/>
    </row>
    <row r="34" spans="1:21" x14ac:dyDescent="0.25">
      <c r="A34" s="78" t="s">
        <v>6</v>
      </c>
      <c r="B34" s="116"/>
      <c r="C34" s="116"/>
      <c r="D34" s="104"/>
      <c r="E34" s="104">
        <f>SUM(E32:E33)</f>
        <v>30750</v>
      </c>
      <c r="F34" s="96" t="s">
        <v>143</v>
      </c>
      <c r="T34" s="10"/>
      <c r="U34" s="30"/>
    </row>
    <row r="35" spans="1:21" x14ac:dyDescent="0.25">
      <c r="A35" s="113"/>
      <c r="B35" s="113"/>
      <c r="C35" s="113"/>
      <c r="D35" s="113"/>
      <c r="E35" s="113"/>
      <c r="F35" s="78"/>
      <c r="T35" s="10"/>
      <c r="U35" s="30"/>
    </row>
    <row r="36" spans="1:21" x14ac:dyDescent="0.25">
      <c r="A36" s="109" t="s">
        <v>138</v>
      </c>
      <c r="B36" s="110">
        <v>10</v>
      </c>
      <c r="C36" s="110" t="s">
        <v>7</v>
      </c>
      <c r="D36" s="111">
        <f>SUM(E9:E34)/2</f>
        <v>3771150</v>
      </c>
      <c r="E36" s="112">
        <f>D36*B36/100</f>
        <v>377115</v>
      </c>
      <c r="F36" s="78"/>
      <c r="T36" s="10"/>
      <c r="U36" s="30"/>
    </row>
    <row r="37" spans="1:21" x14ac:dyDescent="0.25">
      <c r="A37" s="78" t="s">
        <v>6</v>
      </c>
      <c r="B37" s="91"/>
      <c r="C37" s="91"/>
      <c r="D37" s="108"/>
      <c r="E37" s="108">
        <f>SUM(E36)</f>
        <v>377115</v>
      </c>
      <c r="F37" s="96"/>
      <c r="T37" s="10"/>
      <c r="U37" s="30"/>
    </row>
    <row r="38" spans="1:21" x14ac:dyDescent="0.25">
      <c r="A38" s="113"/>
      <c r="B38" s="91"/>
      <c r="C38" s="91"/>
      <c r="D38" s="108"/>
      <c r="E38" s="108"/>
      <c r="F38" s="96"/>
      <c r="T38" s="10"/>
      <c r="U38" s="30"/>
    </row>
    <row r="39" spans="1:21" x14ac:dyDescent="0.25">
      <c r="A39" s="109" t="s">
        <v>8</v>
      </c>
      <c r="B39" s="110">
        <v>10</v>
      </c>
      <c r="C39" s="110" t="s">
        <v>7</v>
      </c>
      <c r="D39" s="111">
        <f>SUM(E9:E37)/2</f>
        <v>4148265</v>
      </c>
      <c r="E39" s="112">
        <f>D39*B39/100</f>
        <v>414826.5</v>
      </c>
      <c r="F39" s="78"/>
      <c r="T39" s="10"/>
      <c r="U39" s="30"/>
    </row>
    <row r="40" spans="1:21" x14ac:dyDescent="0.25">
      <c r="A40" s="78" t="s">
        <v>6</v>
      </c>
      <c r="B40" s="91"/>
      <c r="C40" s="91"/>
      <c r="D40" s="108"/>
      <c r="E40" s="108">
        <f>SUM(E39)</f>
        <v>414826.5</v>
      </c>
      <c r="F40" s="78"/>
      <c r="T40" s="10"/>
      <c r="U40" s="30"/>
    </row>
    <row r="41" spans="1:21" x14ac:dyDescent="0.25">
      <c r="A41" s="78"/>
      <c r="B41" s="91"/>
      <c r="C41" s="91"/>
      <c r="D41" s="108"/>
      <c r="E41" s="108"/>
      <c r="F41" s="78"/>
      <c r="T41" s="10"/>
      <c r="U41" s="30"/>
    </row>
    <row r="42" spans="1:21" x14ac:dyDescent="0.25">
      <c r="A42" s="109" t="s">
        <v>10</v>
      </c>
      <c r="B42" s="110"/>
      <c r="C42" s="110"/>
      <c r="D42" s="95"/>
      <c r="E42" s="95"/>
      <c r="F42" s="78"/>
      <c r="T42" s="10"/>
      <c r="U42" s="30"/>
    </row>
    <row r="43" spans="1:21" x14ac:dyDescent="0.25">
      <c r="A43" s="87" t="s">
        <v>148</v>
      </c>
      <c r="B43" s="88">
        <v>10</v>
      </c>
      <c r="C43" s="88" t="s">
        <v>7</v>
      </c>
      <c r="D43" s="114">
        <f>SUM(E9:E40)/2</f>
        <v>4563091.5</v>
      </c>
      <c r="E43" s="107">
        <f>D43*B43/100</f>
        <v>456309.15</v>
      </c>
      <c r="F43" s="78"/>
      <c r="T43" s="10"/>
      <c r="U43" s="30"/>
    </row>
    <row r="44" spans="1:21" x14ac:dyDescent="0.25">
      <c r="A44" s="9" t="s">
        <v>149</v>
      </c>
      <c r="B44" s="100">
        <v>15</v>
      </c>
      <c r="C44" s="89" t="s">
        <v>7</v>
      </c>
      <c r="D44" s="115">
        <f>SUM(E9:E40)/2</f>
        <v>4563091.5</v>
      </c>
      <c r="E44" s="95">
        <f>D44*B44/100</f>
        <v>684463.72499999998</v>
      </c>
      <c r="F44" s="78"/>
      <c r="T44" s="10"/>
      <c r="U44" s="30"/>
    </row>
    <row r="45" spans="1:21" x14ac:dyDescent="0.25">
      <c r="A45" s="9" t="s">
        <v>15</v>
      </c>
      <c r="B45" s="100">
        <v>11</v>
      </c>
      <c r="C45" s="89" t="s">
        <v>7</v>
      </c>
      <c r="D45" s="115">
        <f>SUM(E9:E40)/2+SUM(D43:D44)+SUM(D46:D48)</f>
        <v>27378549</v>
      </c>
      <c r="E45" s="95">
        <f t="shared" ref="E45:E48" si="3">D45*B45/100</f>
        <v>3011640.39</v>
      </c>
      <c r="F45" s="78"/>
      <c r="T45" s="10"/>
      <c r="U45" s="30"/>
    </row>
    <row r="46" spans="1:21" x14ac:dyDescent="0.25">
      <c r="A46" s="9" t="s">
        <v>11</v>
      </c>
      <c r="B46" s="100">
        <v>5</v>
      </c>
      <c r="C46" s="89" t="s">
        <v>7</v>
      </c>
      <c r="D46" s="115">
        <f>SUM(E9:E40)/2</f>
        <v>4563091.5</v>
      </c>
      <c r="E46" s="95">
        <f t="shared" si="3"/>
        <v>228154.57500000001</v>
      </c>
      <c r="F46" s="78"/>
      <c r="M46" s="24"/>
      <c r="N46" s="24"/>
      <c r="O46" s="24"/>
      <c r="P46" s="10"/>
      <c r="T46" s="10"/>
      <c r="U46" s="30"/>
    </row>
    <row r="47" spans="1:21" x14ac:dyDescent="0.25">
      <c r="A47" s="9" t="s">
        <v>12</v>
      </c>
      <c r="B47" s="100">
        <v>10</v>
      </c>
      <c r="C47" s="89" t="s">
        <v>7</v>
      </c>
      <c r="D47" s="115">
        <f>SUM(E9:E40)/2</f>
        <v>4563091.5</v>
      </c>
      <c r="E47" s="95">
        <f t="shared" si="3"/>
        <v>456309.15</v>
      </c>
      <c r="F47" s="78"/>
      <c r="M47" s="24"/>
      <c r="N47" s="24"/>
      <c r="O47" s="24"/>
      <c r="P47" s="10"/>
      <c r="T47" s="10"/>
      <c r="U47" s="30"/>
    </row>
    <row r="48" spans="1:21" x14ac:dyDescent="0.25">
      <c r="A48" s="15" t="s">
        <v>13</v>
      </c>
      <c r="B48" s="102">
        <v>10</v>
      </c>
      <c r="C48" s="110" t="s">
        <v>7</v>
      </c>
      <c r="D48" s="111">
        <f>SUM(E9:E40)/2</f>
        <v>4563091.5</v>
      </c>
      <c r="E48" s="112">
        <f t="shared" si="3"/>
        <v>456309.15</v>
      </c>
      <c r="F48" s="96"/>
      <c r="M48" s="24"/>
      <c r="N48" s="24"/>
      <c r="O48" s="24"/>
      <c r="P48" s="10"/>
      <c r="T48" s="10"/>
      <c r="U48" s="30"/>
    </row>
    <row r="49" spans="1:21" x14ac:dyDescent="0.25">
      <c r="A49" s="78" t="s">
        <v>6</v>
      </c>
      <c r="B49" s="91"/>
      <c r="C49" s="91"/>
      <c r="D49" s="108"/>
      <c r="E49" s="108">
        <f>SUM(E43:E48)</f>
        <v>5293186.1400000006</v>
      </c>
      <c r="F49" s="78"/>
      <c r="M49" s="24"/>
      <c r="N49" s="24"/>
      <c r="O49" s="24"/>
      <c r="P49" s="10"/>
      <c r="T49" s="10"/>
      <c r="U49" s="30"/>
    </row>
    <row r="50" spans="1:21" x14ac:dyDescent="0.25">
      <c r="A50" s="54"/>
      <c r="B50" s="100"/>
      <c r="C50" s="100"/>
      <c r="D50" s="93"/>
      <c r="E50" s="117"/>
      <c r="F50" s="78"/>
      <c r="M50" s="24"/>
      <c r="N50" s="24"/>
      <c r="O50" s="24"/>
      <c r="P50" s="10"/>
      <c r="T50" s="10"/>
      <c r="U50" s="30"/>
    </row>
    <row r="51" spans="1:21" x14ac:dyDescent="0.25">
      <c r="A51" s="109" t="s">
        <v>14</v>
      </c>
      <c r="B51" s="118"/>
      <c r="C51" s="118"/>
      <c r="D51" s="119"/>
      <c r="E51" s="119"/>
      <c r="F51" s="78"/>
      <c r="M51" s="24"/>
      <c r="N51" s="24"/>
      <c r="O51" s="24"/>
      <c r="P51" s="10"/>
      <c r="T51" s="10"/>
      <c r="U51" s="30"/>
    </row>
    <row r="52" spans="1:21" s="55" customFormat="1" x14ac:dyDescent="0.25">
      <c r="A52" s="120" t="s">
        <v>14</v>
      </c>
      <c r="B52" s="121">
        <v>30</v>
      </c>
      <c r="C52" s="122" t="s">
        <v>7</v>
      </c>
      <c r="D52" s="123">
        <f>SUM(E9:E49)/2</f>
        <v>9856277.6400000006</v>
      </c>
      <c r="E52" s="124">
        <f>D52*B52/100</f>
        <v>2956883.2920000004</v>
      </c>
      <c r="F52" s="78"/>
      <c r="M52" s="56"/>
      <c r="N52" s="56"/>
      <c r="O52" s="56"/>
      <c r="P52" s="56"/>
      <c r="T52" s="10"/>
      <c r="U52" s="30"/>
    </row>
    <row r="53" spans="1:21" x14ac:dyDescent="0.25">
      <c r="A53" s="78" t="s">
        <v>6</v>
      </c>
      <c r="B53" s="116"/>
      <c r="C53" s="116"/>
      <c r="D53" s="104"/>
      <c r="E53" s="104">
        <f>SUM(E52)</f>
        <v>2956883.2920000004</v>
      </c>
      <c r="F53" s="78"/>
      <c r="M53" s="10"/>
      <c r="N53" s="25"/>
      <c r="O53" s="19"/>
      <c r="P53" s="10"/>
      <c r="T53" s="10"/>
      <c r="U53" s="30"/>
    </row>
    <row r="54" spans="1:21" x14ac:dyDescent="0.25">
      <c r="A54" s="78"/>
      <c r="B54" s="78"/>
      <c r="C54" s="78"/>
      <c r="D54" s="78"/>
      <c r="E54" s="78"/>
      <c r="F54" s="78"/>
      <c r="M54" s="10"/>
      <c r="N54" s="10"/>
      <c r="O54" s="10"/>
      <c r="P54" s="10"/>
      <c r="T54" s="10"/>
      <c r="U54" s="30"/>
    </row>
    <row r="55" spans="1:21" x14ac:dyDescent="0.25">
      <c r="A55" s="109" t="s">
        <v>151</v>
      </c>
      <c r="B55" s="118"/>
      <c r="C55" s="118"/>
      <c r="D55" s="119"/>
      <c r="E55" s="119"/>
      <c r="F55" s="78"/>
      <c r="T55" s="10"/>
      <c r="U55" s="30"/>
    </row>
    <row r="56" spans="1:21" x14ac:dyDescent="0.25">
      <c r="A56" s="15" t="s">
        <v>73</v>
      </c>
      <c r="B56" s="125">
        <f>2.4/0.6</f>
        <v>4</v>
      </c>
      <c r="C56" s="110" t="s">
        <v>72</v>
      </c>
      <c r="D56" s="112">
        <v>500000</v>
      </c>
      <c r="E56" s="112">
        <f>B56*D56</f>
        <v>2000000</v>
      </c>
      <c r="F56" s="96" t="s">
        <v>152</v>
      </c>
      <c r="T56" s="10"/>
      <c r="U56" s="30"/>
    </row>
    <row r="57" spans="1:21" x14ac:dyDescent="0.25">
      <c r="A57" s="96" t="s">
        <v>6</v>
      </c>
      <c r="B57" s="91"/>
      <c r="C57" s="91"/>
      <c r="D57" s="108"/>
      <c r="E57" s="108">
        <f>SUM(E56)</f>
        <v>2000000</v>
      </c>
      <c r="F57" s="96" t="s">
        <v>150</v>
      </c>
      <c r="T57" s="10"/>
      <c r="U57" s="30"/>
    </row>
    <row r="58" spans="1:21" x14ac:dyDescent="0.25">
      <c r="A58" s="78"/>
      <c r="B58" s="78"/>
      <c r="C58" s="78"/>
      <c r="D58" s="78"/>
      <c r="E58" s="78"/>
      <c r="F58" s="78"/>
      <c r="T58" s="10"/>
      <c r="U58" s="30"/>
    </row>
    <row r="59" spans="1:21" x14ac:dyDescent="0.25">
      <c r="A59" s="78"/>
      <c r="B59" s="78"/>
      <c r="C59" s="78"/>
      <c r="D59" s="78"/>
      <c r="E59" s="78"/>
      <c r="F59" s="78"/>
      <c r="T59" s="10"/>
      <c r="U59" s="30"/>
    </row>
    <row r="60" spans="1:21" x14ac:dyDescent="0.25">
      <c r="A60" s="54" t="s">
        <v>153</v>
      </c>
      <c r="B60" s="100"/>
      <c r="C60" s="78"/>
      <c r="D60" s="116"/>
      <c r="E60" s="126">
        <f>SUM(E9:E53)/2</f>
        <v>12813160.932</v>
      </c>
      <c r="F60" s="78"/>
      <c r="T60" s="10"/>
      <c r="U60" s="30"/>
    </row>
    <row r="61" spans="1:21" x14ac:dyDescent="0.25">
      <c r="A61" s="78"/>
      <c r="B61" s="100"/>
      <c r="C61" s="100"/>
      <c r="D61" s="93"/>
      <c r="E61" s="127"/>
      <c r="F61" s="104"/>
      <c r="T61" s="10"/>
      <c r="U61" s="30"/>
    </row>
    <row r="62" spans="1:21" x14ac:dyDescent="0.25">
      <c r="A62" s="54" t="s">
        <v>154</v>
      </c>
      <c r="B62" s="128"/>
      <c r="C62" s="100"/>
      <c r="D62" s="93"/>
      <c r="E62" s="104">
        <f>E57</f>
        <v>2000000</v>
      </c>
      <c r="F62" s="78"/>
      <c r="T62" s="10"/>
      <c r="U62" s="30"/>
    </row>
    <row r="63" spans="1:21" x14ac:dyDescent="0.25">
      <c r="A63" s="78"/>
      <c r="B63" s="100"/>
      <c r="C63" s="100"/>
      <c r="D63" s="93"/>
      <c r="E63" s="93"/>
      <c r="F63" s="78"/>
      <c r="T63" s="10"/>
      <c r="U63" s="30"/>
    </row>
    <row r="64" spans="1:21" x14ac:dyDescent="0.25">
      <c r="A64" s="54" t="s">
        <v>155</v>
      </c>
      <c r="B64" s="78"/>
      <c r="C64" s="78"/>
      <c r="D64" s="78"/>
      <c r="E64" s="129">
        <f>+PMT(0.03375,50,-E60-E62,0)</f>
        <v>617371.93579192273</v>
      </c>
      <c r="F64" s="96" t="s">
        <v>156</v>
      </c>
      <c r="T64" s="10"/>
      <c r="U64" s="30"/>
    </row>
    <row r="65" spans="1:21" x14ac:dyDescent="0.25">
      <c r="A65" s="78"/>
      <c r="B65" s="78"/>
      <c r="C65" s="78"/>
      <c r="D65" s="78"/>
      <c r="E65" s="78"/>
      <c r="F65" s="78"/>
      <c r="T65" s="10"/>
      <c r="U65" s="30"/>
    </row>
    <row r="66" spans="1:21" x14ac:dyDescent="0.25">
      <c r="A66" s="130" t="s">
        <v>25</v>
      </c>
      <c r="B66" s="39"/>
      <c r="C66" s="39"/>
      <c r="D66" s="93"/>
      <c r="E66" s="93">
        <f>N31+P26+O10</f>
        <v>261080.00287566072</v>
      </c>
      <c r="F66" s="78"/>
      <c r="T66" s="10"/>
      <c r="U66" s="30"/>
    </row>
    <row r="67" spans="1:21" x14ac:dyDescent="0.25">
      <c r="A67" s="54"/>
      <c r="B67" s="100"/>
      <c r="C67" s="100"/>
      <c r="D67" s="93"/>
      <c r="E67" s="93"/>
      <c r="F67" s="78"/>
      <c r="T67" s="10"/>
      <c r="U67" s="30"/>
    </row>
    <row r="68" spans="1:21" x14ac:dyDescent="0.25">
      <c r="A68" s="130" t="s">
        <v>35</v>
      </c>
      <c r="B68" s="78"/>
      <c r="C68" s="78"/>
      <c r="D68" s="78"/>
      <c r="E68" s="131">
        <f>2.4*277.98</f>
        <v>667.15200000000004</v>
      </c>
      <c r="F68" s="96" t="s">
        <v>141</v>
      </c>
      <c r="T68" s="10"/>
      <c r="U68" s="30"/>
    </row>
    <row r="69" spans="1:21" x14ac:dyDescent="0.25">
      <c r="A69" s="39"/>
      <c r="B69" s="100"/>
      <c r="C69" s="100"/>
      <c r="D69" s="93"/>
      <c r="E69" s="93"/>
      <c r="F69" s="78"/>
      <c r="T69" s="10"/>
      <c r="U69" s="30"/>
    </row>
    <row r="70" spans="1:21" x14ac:dyDescent="0.25">
      <c r="A70" s="54" t="s">
        <v>157</v>
      </c>
      <c r="B70" s="100"/>
      <c r="C70" s="100"/>
      <c r="D70" s="93"/>
      <c r="E70" s="93">
        <f>+(E64+E66)/E68</f>
        <v>1316.719336324531</v>
      </c>
      <c r="F70" s="78"/>
      <c r="T70" s="10"/>
      <c r="U70" s="30"/>
    </row>
    <row r="71" spans="1:21" x14ac:dyDescent="0.25">
      <c r="A71" s="78"/>
      <c r="B71" s="78"/>
      <c r="C71" s="78"/>
      <c r="D71" s="78"/>
      <c r="E71" s="78"/>
      <c r="F71" s="78"/>
      <c r="T71" s="10"/>
      <c r="U71" s="30"/>
    </row>
    <row r="72" spans="1:21" x14ac:dyDescent="0.25">
      <c r="A72" s="78"/>
      <c r="B72" s="78"/>
      <c r="C72" s="78"/>
      <c r="D72" s="78"/>
      <c r="E72" s="78"/>
      <c r="F72" s="78"/>
      <c r="T72" s="10"/>
      <c r="U72" s="30"/>
    </row>
  </sheetData>
  <pageMargins left="0.75" right="0.75" top="1" bottom="1" header="0.5" footer="0.5"/>
  <pageSetup scale="45" orientation="landscape"/>
  <headerFooter alignWithMargins="0">
    <oddFooter>&amp;LLA Basin Stormwater Conservation Study_Project Costs&amp;R&amp;D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2"/>
  <sheetViews>
    <sheetView topLeftCell="A18" zoomScaleNormal="100" zoomScaleSheetLayoutView="80" workbookViewId="0">
      <selection activeCell="B27" sqref="B27"/>
    </sheetView>
  </sheetViews>
  <sheetFormatPr defaultRowHeight="13.2" x14ac:dyDescent="0.25"/>
  <cols>
    <col min="1" max="1" width="54.6640625" customWidth="1"/>
    <col min="4" max="4" width="13.88671875" bestFit="1" customWidth="1"/>
    <col min="5" max="5" width="15.44140625" customWidth="1"/>
    <col min="12" max="12" width="14.33203125" customWidth="1"/>
    <col min="13" max="13" width="26" customWidth="1"/>
    <col min="14" max="14" width="14" customWidth="1"/>
    <col min="15" max="15" width="17.109375" customWidth="1"/>
    <col min="16" max="16" width="16.5546875" customWidth="1"/>
    <col min="17" max="17" width="17.109375" customWidth="1"/>
    <col min="18" max="18" width="19.33203125" customWidth="1"/>
    <col min="19" max="19" width="11.44140625" customWidth="1"/>
    <col min="20" max="20" width="15" customWidth="1"/>
    <col min="21" max="21" width="26.33203125" customWidth="1"/>
    <col min="23" max="23" width="28.6640625" customWidth="1"/>
  </cols>
  <sheetData>
    <row r="1" spans="1:24" ht="14.4" x14ac:dyDescent="0.3">
      <c r="A1" s="1" t="str">
        <f>Summary!A1</f>
        <v>LACDPW Basin Study</v>
      </c>
      <c r="M1" s="45"/>
      <c r="N1" s="46"/>
      <c r="O1" s="45"/>
      <c r="P1" s="47"/>
      <c r="Q1" s="47"/>
      <c r="R1" s="47"/>
      <c r="S1" s="48"/>
    </row>
    <row r="2" spans="1:24" x14ac:dyDescent="0.25">
      <c r="A2" s="1" t="str">
        <f>Summary!A2</f>
        <v>N Summerville</v>
      </c>
      <c r="M2" s="49"/>
      <c r="N2" s="50"/>
      <c r="O2" s="49"/>
      <c r="P2" s="50"/>
      <c r="Q2" s="50"/>
      <c r="R2" s="50"/>
      <c r="S2" s="51"/>
    </row>
    <row r="3" spans="1:24" x14ac:dyDescent="0.25">
      <c r="A3" s="13">
        <f>Summary!A3</f>
        <v>42275</v>
      </c>
      <c r="M3" s="49"/>
      <c r="N3" s="49"/>
      <c r="O3" s="49"/>
      <c r="P3" s="51"/>
      <c r="Q3" s="51"/>
      <c r="R3" s="51"/>
      <c r="S3" s="51"/>
      <c r="T3" s="32"/>
      <c r="U3" s="32"/>
      <c r="V3" s="32"/>
    </row>
    <row r="4" spans="1:24" x14ac:dyDescent="0.25">
      <c r="M4" s="49"/>
      <c r="N4" s="50"/>
      <c r="O4" s="52"/>
      <c r="P4" s="53"/>
      <c r="Q4" s="53"/>
      <c r="R4" s="53"/>
      <c r="S4" s="51"/>
      <c r="T4" s="32"/>
      <c r="U4" s="32"/>
      <c r="V4" s="32"/>
    </row>
    <row r="5" spans="1:24" ht="13.8" thickBot="1" x14ac:dyDescent="0.3">
      <c r="A5" s="16" t="s">
        <v>111</v>
      </c>
      <c r="B5" s="17"/>
      <c r="C5" s="17"/>
      <c r="D5" s="17"/>
      <c r="E5" s="17"/>
      <c r="M5" s="76" t="s">
        <v>146</v>
      </c>
      <c r="N5" s="77"/>
      <c r="O5" s="78"/>
      <c r="P5" s="53"/>
      <c r="Q5" s="53"/>
      <c r="R5" s="53"/>
      <c r="S5" s="51"/>
      <c r="T5" s="32"/>
      <c r="U5" s="32"/>
      <c r="V5" s="32"/>
    </row>
    <row r="6" spans="1:24" x14ac:dyDescent="0.25">
      <c r="M6" s="78"/>
      <c r="N6" s="78"/>
      <c r="O6" s="77"/>
      <c r="P6" s="53"/>
      <c r="Q6" s="53"/>
      <c r="R6" s="53"/>
      <c r="S6" s="51"/>
      <c r="T6" s="32"/>
      <c r="U6" s="32"/>
      <c r="V6" s="32"/>
    </row>
    <row r="7" spans="1:24" x14ac:dyDescent="0.25">
      <c r="A7" s="1" t="s">
        <v>0</v>
      </c>
      <c r="B7" s="3" t="s">
        <v>1</v>
      </c>
      <c r="C7" s="3" t="s">
        <v>2</v>
      </c>
      <c r="D7" s="4" t="s">
        <v>3</v>
      </c>
      <c r="E7" s="4" t="s">
        <v>4</v>
      </c>
      <c r="M7" s="79" t="s">
        <v>147</v>
      </c>
      <c r="N7" s="80" t="s">
        <v>4</v>
      </c>
      <c r="O7" s="91" t="s">
        <v>21</v>
      </c>
      <c r="P7" s="53"/>
      <c r="Q7" s="53"/>
      <c r="R7" s="53"/>
      <c r="S7" s="51"/>
      <c r="T7" s="32"/>
      <c r="U7" s="32"/>
      <c r="V7" s="32"/>
    </row>
    <row r="8" spans="1:24" x14ac:dyDescent="0.25">
      <c r="A8" s="92"/>
      <c r="B8" s="39"/>
      <c r="C8" s="39"/>
      <c r="D8" s="93"/>
      <c r="E8" s="93"/>
      <c r="F8" s="78"/>
      <c r="M8" s="78"/>
      <c r="N8" s="81" t="s">
        <v>24</v>
      </c>
      <c r="O8" s="81" t="s">
        <v>24</v>
      </c>
      <c r="P8" s="53"/>
      <c r="Q8" s="53"/>
      <c r="R8" s="53"/>
      <c r="S8" s="51"/>
      <c r="T8" s="32"/>
      <c r="U8" s="32"/>
      <c r="V8" s="32"/>
    </row>
    <row r="9" spans="1:24" x14ac:dyDescent="0.25">
      <c r="A9" s="63" t="s">
        <v>65</v>
      </c>
      <c r="B9" s="106" t="s">
        <v>66</v>
      </c>
      <c r="C9" s="137">
        <v>34465</v>
      </c>
      <c r="D9" s="138">
        <v>2.25</v>
      </c>
      <c r="E9" s="107">
        <f t="shared" ref="E9:E22" si="0">ROUND(D9*C9,-3)</f>
        <v>78000</v>
      </c>
      <c r="F9" s="9" t="s">
        <v>105</v>
      </c>
      <c r="M9" s="78"/>
      <c r="N9" s="78"/>
      <c r="O9" s="78"/>
      <c r="P9" s="53"/>
      <c r="Q9" s="53"/>
      <c r="R9" s="53"/>
      <c r="S9" s="51"/>
      <c r="T9" s="32"/>
      <c r="U9" s="32"/>
      <c r="V9" s="32"/>
    </row>
    <row r="10" spans="1:24" ht="12.75" customHeight="1" x14ac:dyDescent="0.25">
      <c r="A10" s="9" t="s">
        <v>67</v>
      </c>
      <c r="B10" s="89" t="s">
        <v>46</v>
      </c>
      <c r="C10" s="94">
        <v>39965</v>
      </c>
      <c r="D10" s="72">
        <v>25</v>
      </c>
      <c r="E10" s="95">
        <f t="shared" si="0"/>
        <v>999000</v>
      </c>
      <c r="F10" s="9" t="s">
        <v>106</v>
      </c>
      <c r="M10" s="6" t="s">
        <v>144</v>
      </c>
      <c r="N10" s="82">
        <f>E13</f>
        <v>2100000</v>
      </c>
      <c r="O10" s="90">
        <f>+PMT(0.03375,50,-N10,0)</f>
        <v>87522.242626982203</v>
      </c>
      <c r="P10" s="53"/>
      <c r="Q10" s="53"/>
      <c r="R10" s="53"/>
      <c r="S10" s="51"/>
      <c r="T10" s="32"/>
      <c r="U10" s="32"/>
      <c r="V10" s="32"/>
    </row>
    <row r="11" spans="1:24" x14ac:dyDescent="0.25">
      <c r="A11" s="9" t="s">
        <v>107</v>
      </c>
      <c r="B11" s="89" t="s">
        <v>41</v>
      </c>
      <c r="C11" s="94">
        <v>560</v>
      </c>
      <c r="D11" s="72">
        <v>40</v>
      </c>
      <c r="E11" s="95">
        <f t="shared" si="0"/>
        <v>22000</v>
      </c>
      <c r="F11" s="9" t="s">
        <v>108</v>
      </c>
      <c r="M11" s="49"/>
      <c r="N11" s="50"/>
      <c r="O11" s="52"/>
      <c r="P11" s="53"/>
      <c r="Q11" s="53"/>
      <c r="R11" s="53"/>
      <c r="S11" s="51"/>
      <c r="T11" s="32"/>
      <c r="U11" s="32"/>
      <c r="V11" s="32"/>
    </row>
    <row r="12" spans="1:24" x14ac:dyDescent="0.25">
      <c r="A12" s="9" t="s">
        <v>81</v>
      </c>
      <c r="B12" s="89" t="s">
        <v>55</v>
      </c>
      <c r="C12" s="94">
        <v>4</v>
      </c>
      <c r="D12" s="73">
        <v>50000</v>
      </c>
      <c r="E12" s="95">
        <f t="shared" si="0"/>
        <v>200000</v>
      </c>
      <c r="F12" s="9" t="s">
        <v>109</v>
      </c>
      <c r="M12" s="49"/>
      <c r="N12" s="50"/>
      <c r="O12" s="52"/>
      <c r="P12" s="53"/>
      <c r="Q12" s="53"/>
      <c r="R12" s="53"/>
      <c r="S12" s="51"/>
      <c r="T12" s="32"/>
      <c r="U12" s="32"/>
      <c r="V12" s="32"/>
    </row>
    <row r="13" spans="1:24" x14ac:dyDescent="0.25">
      <c r="A13" s="9" t="s">
        <v>144</v>
      </c>
      <c r="B13" s="89" t="s">
        <v>55</v>
      </c>
      <c r="C13" s="94">
        <v>6</v>
      </c>
      <c r="D13" s="73">
        <v>350000</v>
      </c>
      <c r="E13" s="95">
        <f t="shared" si="0"/>
        <v>2100000</v>
      </c>
      <c r="F13" s="9" t="s">
        <v>110</v>
      </c>
      <c r="M13" s="49"/>
      <c r="N13" s="50"/>
      <c r="O13" s="52"/>
      <c r="P13" s="53"/>
      <c r="Q13" s="53"/>
      <c r="R13" s="53"/>
      <c r="S13" s="51"/>
      <c r="T13" s="32"/>
      <c r="U13" s="32"/>
      <c r="V13" s="32"/>
    </row>
    <row r="14" spans="1:24" x14ac:dyDescent="0.25">
      <c r="A14" s="9" t="s">
        <v>61</v>
      </c>
      <c r="B14" s="89" t="s">
        <v>55</v>
      </c>
      <c r="C14" s="94">
        <v>6</v>
      </c>
      <c r="D14" s="73">
        <v>15000</v>
      </c>
      <c r="E14" s="95">
        <f t="shared" si="0"/>
        <v>90000</v>
      </c>
      <c r="F14" s="9"/>
      <c r="M14" s="49"/>
      <c r="N14" s="50"/>
      <c r="O14" s="52"/>
      <c r="P14" s="53"/>
      <c r="Q14" s="53"/>
      <c r="R14" s="53"/>
      <c r="S14" s="51"/>
      <c r="T14" s="32"/>
      <c r="U14" s="32"/>
      <c r="V14" s="32"/>
    </row>
    <row r="15" spans="1:24" x14ac:dyDescent="0.25">
      <c r="A15" s="9" t="s">
        <v>62</v>
      </c>
      <c r="B15" s="89" t="s">
        <v>55</v>
      </c>
      <c r="C15" s="94">
        <v>12</v>
      </c>
      <c r="D15" s="73">
        <v>450000</v>
      </c>
      <c r="E15" s="95">
        <f t="shared" si="0"/>
        <v>5400000</v>
      </c>
      <c r="F15" s="9"/>
      <c r="M15" s="49"/>
      <c r="N15" s="50"/>
      <c r="O15" s="52"/>
      <c r="P15" s="53"/>
      <c r="Q15" s="53"/>
      <c r="R15" s="53"/>
      <c r="S15" s="51"/>
      <c r="T15" s="32"/>
      <c r="U15" s="32"/>
      <c r="V15" s="32"/>
    </row>
    <row r="16" spans="1:24" x14ac:dyDescent="0.25">
      <c r="A16" s="9" t="s">
        <v>63</v>
      </c>
      <c r="B16" s="89" t="s">
        <v>55</v>
      </c>
      <c r="C16" s="94">
        <v>12</v>
      </c>
      <c r="D16" s="73">
        <v>5000</v>
      </c>
      <c r="E16" s="95">
        <f t="shared" si="0"/>
        <v>60000</v>
      </c>
      <c r="F16" s="9"/>
      <c r="L16" s="40"/>
      <c r="M16" s="49"/>
      <c r="N16" s="50"/>
      <c r="O16" s="52"/>
      <c r="P16" s="53"/>
      <c r="Q16" s="53"/>
      <c r="R16" s="53"/>
      <c r="S16" s="51"/>
      <c r="T16" s="32"/>
      <c r="U16" s="32"/>
      <c r="V16" s="32"/>
      <c r="X16" s="39"/>
    </row>
    <row r="17" spans="1:24" x14ac:dyDescent="0.25">
      <c r="A17" s="9" t="s">
        <v>86</v>
      </c>
      <c r="B17" s="89" t="s">
        <v>39</v>
      </c>
      <c r="C17" s="94">
        <v>1</v>
      </c>
      <c r="D17" s="73">
        <v>70000</v>
      </c>
      <c r="E17" s="95">
        <f t="shared" si="0"/>
        <v>70000</v>
      </c>
      <c r="F17" s="9"/>
      <c r="L17" s="40"/>
      <c r="M17" s="49"/>
      <c r="N17" s="50"/>
      <c r="O17" s="52"/>
      <c r="P17" s="53"/>
      <c r="Q17" s="53"/>
      <c r="R17" s="53"/>
      <c r="S17" s="51"/>
      <c r="T17" s="32"/>
      <c r="U17" s="32"/>
      <c r="V17" s="32"/>
      <c r="X17" s="39"/>
    </row>
    <row r="18" spans="1:24" x14ac:dyDescent="0.25">
      <c r="A18" s="9" t="s">
        <v>85</v>
      </c>
      <c r="B18" s="89" t="s">
        <v>39</v>
      </c>
      <c r="C18" s="94">
        <v>1</v>
      </c>
      <c r="D18" s="73">
        <v>40000</v>
      </c>
      <c r="E18" s="95">
        <f t="shared" si="0"/>
        <v>40000</v>
      </c>
      <c r="F18" s="9"/>
      <c r="L18" s="40"/>
      <c r="M18" s="49"/>
      <c r="N18" s="50"/>
      <c r="O18" s="52"/>
      <c r="P18" s="53"/>
      <c r="Q18" s="53"/>
      <c r="R18" s="53"/>
      <c r="S18" s="51"/>
      <c r="T18" s="41"/>
      <c r="U18" s="32"/>
      <c r="V18" s="32"/>
      <c r="X18" s="39"/>
    </row>
    <row r="19" spans="1:24" ht="14.4" x14ac:dyDescent="0.3">
      <c r="A19" s="9" t="s">
        <v>102</v>
      </c>
      <c r="B19" s="89" t="s">
        <v>39</v>
      </c>
      <c r="C19" s="94">
        <v>1</v>
      </c>
      <c r="D19" s="73">
        <v>30000</v>
      </c>
      <c r="E19" s="95">
        <f t="shared" si="0"/>
        <v>30000</v>
      </c>
      <c r="F19" s="9"/>
      <c r="L19" s="41"/>
      <c r="U19" s="42"/>
      <c r="V19" s="41"/>
      <c r="W19" s="43"/>
      <c r="X19" s="39"/>
    </row>
    <row r="20" spans="1:24" x14ac:dyDescent="0.25">
      <c r="A20" s="9" t="s">
        <v>87</v>
      </c>
      <c r="B20" s="89" t="s">
        <v>39</v>
      </c>
      <c r="C20" s="94">
        <v>1</v>
      </c>
      <c r="D20" s="73">
        <v>15000</v>
      </c>
      <c r="E20" s="95">
        <f t="shared" si="0"/>
        <v>15000</v>
      </c>
      <c r="F20" s="9"/>
      <c r="L20" s="41"/>
      <c r="M20" s="42"/>
      <c r="N20" s="41"/>
      <c r="O20" s="41"/>
      <c r="P20" s="41"/>
      <c r="Q20" s="41"/>
      <c r="R20" s="41"/>
      <c r="S20" s="41"/>
      <c r="T20" s="41"/>
      <c r="U20" s="42"/>
      <c r="V20" s="41"/>
      <c r="W20" s="42"/>
      <c r="X20" s="39"/>
    </row>
    <row r="21" spans="1:24" ht="14.4" x14ac:dyDescent="0.3">
      <c r="A21" s="9" t="s">
        <v>88</v>
      </c>
      <c r="B21" s="89" t="s">
        <v>41</v>
      </c>
      <c r="C21" s="94">
        <v>200</v>
      </c>
      <c r="D21" s="72">
        <v>216</v>
      </c>
      <c r="E21" s="95">
        <f t="shared" si="0"/>
        <v>43000</v>
      </c>
      <c r="F21" s="9"/>
      <c r="L21" s="41"/>
      <c r="M21" s="26" t="s">
        <v>36</v>
      </c>
      <c r="N21" s="10"/>
      <c r="O21" s="10"/>
      <c r="P21" s="10"/>
      <c r="R21" s="41"/>
      <c r="S21" s="41"/>
      <c r="T21" s="21"/>
      <c r="U21" s="23"/>
      <c r="V21" s="41"/>
      <c r="W21" s="43"/>
      <c r="X21" s="39"/>
    </row>
    <row r="22" spans="1:24" x14ac:dyDescent="0.25">
      <c r="A22" s="9" t="s">
        <v>103</v>
      </c>
      <c r="B22" s="89" t="s">
        <v>41</v>
      </c>
      <c r="C22" s="94">
        <v>125</v>
      </c>
      <c r="D22" s="72">
        <v>2000</v>
      </c>
      <c r="E22" s="95">
        <f t="shared" si="0"/>
        <v>250000</v>
      </c>
      <c r="F22" s="9"/>
      <c r="L22" s="41"/>
      <c r="M22" s="10"/>
      <c r="N22" s="10"/>
      <c r="O22" s="10"/>
      <c r="P22" s="10"/>
      <c r="R22" s="41"/>
      <c r="S22" s="41"/>
      <c r="V22" s="41"/>
      <c r="W22" s="44"/>
      <c r="X22" s="39"/>
    </row>
    <row r="23" spans="1:24" x14ac:dyDescent="0.25">
      <c r="A23" s="97" t="s">
        <v>6</v>
      </c>
      <c r="B23" s="98"/>
      <c r="C23" s="98"/>
      <c r="D23" s="99"/>
      <c r="E23" s="99">
        <f>SUM(E9:E22)</f>
        <v>9397000</v>
      </c>
      <c r="F23" s="78"/>
      <c r="L23" s="41"/>
      <c r="M23" s="27" t="s">
        <v>16</v>
      </c>
      <c r="N23" s="28"/>
      <c r="O23" s="24" t="s">
        <v>19</v>
      </c>
      <c r="P23" s="24" t="s">
        <v>21</v>
      </c>
      <c r="R23" s="41"/>
      <c r="S23" s="41"/>
      <c r="T23" s="10"/>
      <c r="U23" s="30"/>
      <c r="V23" s="41"/>
      <c r="W23" s="42"/>
      <c r="X23" s="39"/>
    </row>
    <row r="24" spans="1:24" x14ac:dyDescent="0.25">
      <c r="A24" s="78"/>
      <c r="B24" s="100"/>
      <c r="C24" s="100"/>
      <c r="D24" s="93"/>
      <c r="E24" s="93"/>
      <c r="F24" s="78"/>
      <c r="M24" s="24" t="s">
        <v>17</v>
      </c>
      <c r="N24" s="24" t="s">
        <v>18</v>
      </c>
      <c r="O24" s="24" t="s">
        <v>20</v>
      </c>
      <c r="P24" s="24" t="s">
        <v>24</v>
      </c>
      <c r="T24" s="10"/>
      <c r="U24" s="30"/>
    </row>
    <row r="25" spans="1:24" x14ac:dyDescent="0.25">
      <c r="A25" s="101" t="s">
        <v>70</v>
      </c>
      <c r="B25" s="102"/>
      <c r="C25" s="102"/>
      <c r="D25" s="103"/>
      <c r="E25" s="103"/>
      <c r="F25" s="78"/>
      <c r="M25" s="10"/>
      <c r="N25" s="10"/>
      <c r="O25" s="10"/>
      <c r="P25" s="10"/>
      <c r="T25" s="10"/>
      <c r="U25" s="30"/>
    </row>
    <row r="26" spans="1:24" x14ac:dyDescent="0.25">
      <c r="A26" s="9" t="s">
        <v>71</v>
      </c>
      <c r="B26" s="148">
        <f>B53*0.1*0.6</f>
        <v>0.51</v>
      </c>
      <c r="C26" s="89" t="s">
        <v>72</v>
      </c>
      <c r="D26" s="93">
        <v>35000</v>
      </c>
      <c r="E26" s="93">
        <f t="shared" ref="E26" si="1">+B26*D26</f>
        <v>17850</v>
      </c>
      <c r="F26" s="96" t="s">
        <v>94</v>
      </c>
      <c r="M26" s="10">
        <v>300</v>
      </c>
      <c r="N26" s="25">
        <f>0.746*M26*3*30.4*24</f>
        <v>489853.44000000006</v>
      </c>
      <c r="O26" s="29">
        <v>0.15</v>
      </c>
      <c r="P26" s="30">
        <f>+N26*O26</f>
        <v>73478.016000000003</v>
      </c>
      <c r="T26" s="10"/>
      <c r="U26" s="30"/>
    </row>
    <row r="27" spans="1:24" x14ac:dyDescent="0.25">
      <c r="A27" s="97" t="s">
        <v>6</v>
      </c>
      <c r="B27" s="98"/>
      <c r="C27" s="98"/>
      <c r="D27" s="99"/>
      <c r="E27" s="99">
        <f>SUM(E26:E26)</f>
        <v>17850</v>
      </c>
      <c r="F27" s="78"/>
      <c r="M27" s="10"/>
      <c r="N27" s="10"/>
      <c r="O27" s="10"/>
      <c r="P27" s="10"/>
      <c r="T27" s="10"/>
      <c r="U27" s="30"/>
    </row>
    <row r="28" spans="1:24" x14ac:dyDescent="0.25">
      <c r="A28" s="9"/>
      <c r="B28" s="100"/>
      <c r="C28" s="100"/>
      <c r="D28" s="93"/>
      <c r="E28" s="104"/>
      <c r="F28" s="78"/>
      <c r="M28" s="24" t="s">
        <v>22</v>
      </c>
      <c r="N28" s="24" t="s">
        <v>21</v>
      </c>
      <c r="O28" s="24" t="s">
        <v>26</v>
      </c>
      <c r="Q28" s="24"/>
      <c r="T28" s="10"/>
      <c r="U28" s="30"/>
    </row>
    <row r="29" spans="1:24" x14ac:dyDescent="0.25">
      <c r="A29" s="54" t="s">
        <v>74</v>
      </c>
      <c r="B29" s="100"/>
      <c r="C29" s="100"/>
      <c r="D29" s="93"/>
      <c r="E29" s="93"/>
      <c r="F29" s="78"/>
      <c r="M29" s="24" t="s">
        <v>23</v>
      </c>
      <c r="N29" s="24" t="s">
        <v>24</v>
      </c>
      <c r="O29" s="24" t="s">
        <v>27</v>
      </c>
      <c r="Q29" s="24"/>
      <c r="T29" s="10"/>
      <c r="U29" s="30"/>
    </row>
    <row r="30" spans="1:24" x14ac:dyDescent="0.25">
      <c r="A30" s="63" t="s">
        <v>75</v>
      </c>
      <c r="B30" s="136">
        <v>2530</v>
      </c>
      <c r="C30" s="106" t="s">
        <v>5</v>
      </c>
      <c r="D30" s="99">
        <v>25</v>
      </c>
      <c r="E30" s="99">
        <f>+B30*D30</f>
        <v>63250</v>
      </c>
      <c r="F30" s="96" t="s">
        <v>95</v>
      </c>
      <c r="M30" s="10"/>
      <c r="N30" s="10"/>
      <c r="O30" s="10"/>
      <c r="T30" s="10"/>
      <c r="U30" s="30"/>
    </row>
    <row r="31" spans="1:24" x14ac:dyDescent="0.25">
      <c r="A31" s="97" t="s">
        <v>6</v>
      </c>
      <c r="B31" s="98"/>
      <c r="C31" s="98"/>
      <c r="D31" s="99"/>
      <c r="E31" s="99">
        <f>SUM(E30:E30)</f>
        <v>63250</v>
      </c>
      <c r="F31" s="78"/>
      <c r="M31" s="31">
        <v>0.05</v>
      </c>
      <c r="N31" s="29">
        <f>+M31*SUM(E9:E34)/2</f>
        <v>521295.5</v>
      </c>
      <c r="O31" s="10">
        <v>50</v>
      </c>
      <c r="Q31" s="2"/>
      <c r="T31" s="56"/>
      <c r="U31" s="30"/>
    </row>
    <row r="32" spans="1:24" x14ac:dyDescent="0.25">
      <c r="A32" s="113"/>
      <c r="B32" s="113"/>
      <c r="C32" s="113"/>
      <c r="D32" s="113"/>
      <c r="E32" s="113"/>
      <c r="F32" s="78"/>
      <c r="T32" s="10"/>
      <c r="U32" s="30"/>
    </row>
    <row r="33" spans="1:21" x14ac:dyDescent="0.25">
      <c r="A33" s="109" t="s">
        <v>8</v>
      </c>
      <c r="B33" s="140">
        <v>10</v>
      </c>
      <c r="C33" s="140" t="s">
        <v>7</v>
      </c>
      <c r="D33" s="141">
        <f>SUM(E9:E31)/2</f>
        <v>9478100</v>
      </c>
      <c r="E33" s="142">
        <f>D33*B33/100</f>
        <v>947810</v>
      </c>
      <c r="F33" s="78"/>
      <c r="T33" s="10"/>
      <c r="U33" s="30"/>
    </row>
    <row r="34" spans="1:21" x14ac:dyDescent="0.25">
      <c r="A34" s="78" t="s">
        <v>6</v>
      </c>
      <c r="B34" s="116"/>
      <c r="C34" s="116"/>
      <c r="D34" s="104"/>
      <c r="E34" s="104">
        <f>SUM(E33)</f>
        <v>947810</v>
      </c>
      <c r="F34" s="96"/>
      <c r="T34" s="10"/>
      <c r="U34" s="30"/>
    </row>
    <row r="35" spans="1:21" x14ac:dyDescent="0.25">
      <c r="A35" s="78"/>
      <c r="B35" s="116"/>
      <c r="C35" s="116"/>
      <c r="D35" s="104"/>
      <c r="E35" s="104"/>
      <c r="F35" s="96"/>
      <c r="T35" s="10"/>
      <c r="U35" s="30"/>
    </row>
    <row r="36" spans="1:21" x14ac:dyDescent="0.25">
      <c r="A36" s="109" t="s">
        <v>138</v>
      </c>
      <c r="B36" s="140">
        <v>10</v>
      </c>
      <c r="C36" s="140" t="s">
        <v>7</v>
      </c>
      <c r="D36" s="141">
        <f>SUM(E9:E34)/2</f>
        <v>10425910</v>
      </c>
      <c r="E36" s="142">
        <f>D36*B36/100</f>
        <v>1042591</v>
      </c>
      <c r="F36" s="78"/>
      <c r="T36" s="10"/>
      <c r="U36" s="30"/>
    </row>
    <row r="37" spans="1:21" x14ac:dyDescent="0.25">
      <c r="A37" s="78" t="s">
        <v>6</v>
      </c>
      <c r="B37" s="116"/>
      <c r="C37" s="116"/>
      <c r="D37" s="104"/>
      <c r="E37" s="104">
        <f>SUM(E36)</f>
        <v>1042591</v>
      </c>
      <c r="F37" s="78"/>
      <c r="T37" s="10"/>
      <c r="U37" s="30"/>
    </row>
    <row r="38" spans="1:21" x14ac:dyDescent="0.25">
      <c r="A38" s="113"/>
      <c r="B38" s="116"/>
      <c r="C38" s="116"/>
      <c r="D38" s="104"/>
      <c r="E38" s="104"/>
      <c r="F38" s="78"/>
      <c r="T38" s="10"/>
      <c r="U38" s="30"/>
    </row>
    <row r="39" spans="1:21" x14ac:dyDescent="0.25">
      <c r="A39" s="109" t="s">
        <v>8</v>
      </c>
      <c r="B39" s="102"/>
      <c r="C39" s="102"/>
      <c r="D39" s="93"/>
      <c r="E39" s="93"/>
      <c r="F39" s="78"/>
      <c r="T39" s="10"/>
      <c r="U39" s="30"/>
    </row>
    <row r="40" spans="1:21" x14ac:dyDescent="0.25">
      <c r="A40" s="87" t="s">
        <v>148</v>
      </c>
      <c r="B40" s="88">
        <v>10</v>
      </c>
      <c r="C40" s="88" t="s">
        <v>7</v>
      </c>
      <c r="D40" s="143">
        <f>SUM(E9:E37)/2</f>
        <v>11468501</v>
      </c>
      <c r="E40" s="99">
        <f>D40*B40/100</f>
        <v>1146850.1000000001</v>
      </c>
      <c r="F40" s="78"/>
      <c r="T40" s="10"/>
      <c r="U40" s="30"/>
    </row>
    <row r="41" spans="1:21" x14ac:dyDescent="0.25">
      <c r="A41" s="9" t="s">
        <v>149</v>
      </c>
      <c r="B41" s="100">
        <v>15</v>
      </c>
      <c r="C41" s="89" t="s">
        <v>7</v>
      </c>
      <c r="D41" s="144">
        <f>SUM(E9:E37)/2</f>
        <v>11468501</v>
      </c>
      <c r="E41" s="93">
        <f>D41*B41/100</f>
        <v>1720275.15</v>
      </c>
      <c r="F41" s="78"/>
      <c r="T41" s="10"/>
      <c r="U41" s="30"/>
    </row>
    <row r="42" spans="1:21" x14ac:dyDescent="0.25">
      <c r="A42" s="9" t="s">
        <v>15</v>
      </c>
      <c r="B42" s="100">
        <v>11</v>
      </c>
      <c r="C42" s="89" t="s">
        <v>7</v>
      </c>
      <c r="D42" s="144">
        <f>SUM(E9:E37)/2+SUM(D40:D41)+SUM(D43:D45)</f>
        <v>68811006</v>
      </c>
      <c r="E42" s="93">
        <f t="shared" ref="E42:E45" si="2">D42*B42/100</f>
        <v>7569210.6600000001</v>
      </c>
      <c r="F42" s="78"/>
      <c r="T42" s="10"/>
      <c r="U42" s="30"/>
    </row>
    <row r="43" spans="1:21" x14ac:dyDescent="0.25">
      <c r="A43" s="9" t="s">
        <v>11</v>
      </c>
      <c r="B43" s="100">
        <v>5</v>
      </c>
      <c r="C43" s="89" t="s">
        <v>7</v>
      </c>
      <c r="D43" s="144">
        <f>SUM(E9:E37)/2</f>
        <v>11468501</v>
      </c>
      <c r="E43" s="93">
        <f t="shared" si="2"/>
        <v>573425.05000000005</v>
      </c>
      <c r="F43" s="78"/>
      <c r="T43" s="10"/>
      <c r="U43" s="30"/>
    </row>
    <row r="44" spans="1:21" x14ac:dyDescent="0.25">
      <c r="A44" s="9" t="s">
        <v>12</v>
      </c>
      <c r="B44" s="100">
        <v>10</v>
      </c>
      <c r="C44" s="89" t="s">
        <v>7</v>
      </c>
      <c r="D44" s="144">
        <f>SUM(E9:E37)/2</f>
        <v>11468501</v>
      </c>
      <c r="E44" s="93">
        <f t="shared" si="2"/>
        <v>1146850.1000000001</v>
      </c>
      <c r="F44" s="78"/>
      <c r="T44" s="10"/>
      <c r="U44" s="30"/>
    </row>
    <row r="45" spans="1:21" x14ac:dyDescent="0.25">
      <c r="A45" s="15" t="s">
        <v>13</v>
      </c>
      <c r="B45" s="102">
        <v>10</v>
      </c>
      <c r="C45" s="110" t="s">
        <v>7</v>
      </c>
      <c r="D45" s="145">
        <f>SUM(E9:E37)/2</f>
        <v>11468501</v>
      </c>
      <c r="E45" s="103">
        <f t="shared" si="2"/>
        <v>1146850.1000000001</v>
      </c>
      <c r="F45" s="96"/>
      <c r="T45" s="10"/>
      <c r="U45" s="30"/>
    </row>
    <row r="46" spans="1:21" x14ac:dyDescent="0.25">
      <c r="A46" s="78" t="s">
        <v>6</v>
      </c>
      <c r="B46" s="116"/>
      <c r="C46" s="116"/>
      <c r="D46" s="104"/>
      <c r="E46" s="104">
        <f>SUM(E40:E45)</f>
        <v>13303461.16</v>
      </c>
      <c r="F46" s="78"/>
      <c r="M46" s="24"/>
      <c r="N46" s="24"/>
      <c r="O46" s="24"/>
      <c r="P46" s="10"/>
      <c r="T46" s="10"/>
      <c r="U46" s="30"/>
    </row>
    <row r="47" spans="1:21" x14ac:dyDescent="0.25">
      <c r="A47" s="54"/>
      <c r="B47" s="100"/>
      <c r="C47" s="100"/>
      <c r="D47" s="93"/>
      <c r="E47" s="117"/>
      <c r="F47" s="78"/>
      <c r="M47" s="24"/>
      <c r="N47" s="24"/>
      <c r="O47" s="24"/>
      <c r="P47" s="10"/>
      <c r="T47" s="10"/>
      <c r="U47" s="30"/>
    </row>
    <row r="48" spans="1:21" x14ac:dyDescent="0.25">
      <c r="A48" s="109" t="s">
        <v>14</v>
      </c>
      <c r="B48" s="118"/>
      <c r="C48" s="118"/>
      <c r="D48" s="119"/>
      <c r="E48" s="119"/>
      <c r="F48" s="78"/>
      <c r="M48" s="24"/>
      <c r="N48" s="24"/>
      <c r="O48" s="24"/>
      <c r="P48" s="10"/>
      <c r="T48" s="10"/>
      <c r="U48" s="30"/>
    </row>
    <row r="49" spans="1:21" x14ac:dyDescent="0.25">
      <c r="A49" s="120" t="s">
        <v>14</v>
      </c>
      <c r="B49" s="121">
        <v>30</v>
      </c>
      <c r="C49" s="122" t="s">
        <v>7</v>
      </c>
      <c r="D49" s="123">
        <f>SUM(E9:E46)/2</f>
        <v>24771962.160000004</v>
      </c>
      <c r="E49" s="124">
        <f>D49*B49/100</f>
        <v>7431588.648000001</v>
      </c>
      <c r="F49" s="78"/>
      <c r="M49" s="24"/>
      <c r="N49" s="24"/>
      <c r="O49" s="24"/>
      <c r="P49" s="10"/>
      <c r="T49" s="10"/>
      <c r="U49" s="30"/>
    </row>
    <row r="50" spans="1:21" x14ac:dyDescent="0.25">
      <c r="A50" s="78" t="s">
        <v>6</v>
      </c>
      <c r="B50" s="116"/>
      <c r="C50" s="116"/>
      <c r="D50" s="104"/>
      <c r="E50" s="104">
        <f>SUM(E49)</f>
        <v>7431588.648000001</v>
      </c>
      <c r="F50" s="78"/>
      <c r="M50" s="24"/>
      <c r="N50" s="24"/>
      <c r="O50" s="24"/>
      <c r="P50" s="10"/>
      <c r="T50" s="10"/>
      <c r="U50" s="30"/>
    </row>
    <row r="51" spans="1:21" x14ac:dyDescent="0.25">
      <c r="A51" s="78"/>
      <c r="B51" s="78"/>
      <c r="C51" s="78"/>
      <c r="D51" s="78"/>
      <c r="E51" s="78"/>
      <c r="F51" s="78"/>
      <c r="M51" s="24"/>
      <c r="N51" s="24"/>
      <c r="O51" s="24"/>
      <c r="P51" s="10"/>
      <c r="T51" s="10"/>
      <c r="U51" s="30"/>
    </row>
    <row r="52" spans="1:21" s="55" customFormat="1" x14ac:dyDescent="0.25">
      <c r="A52" s="109" t="s">
        <v>151</v>
      </c>
      <c r="B52" s="118"/>
      <c r="C52" s="118"/>
      <c r="D52" s="119"/>
      <c r="E52" s="119"/>
      <c r="F52" s="113"/>
      <c r="M52" s="56"/>
      <c r="N52" s="56"/>
      <c r="O52" s="56"/>
      <c r="P52" s="56"/>
      <c r="T52" s="10"/>
      <c r="U52" s="30"/>
    </row>
    <row r="53" spans="1:21" x14ac:dyDescent="0.25">
      <c r="A53" s="15" t="s">
        <v>73</v>
      </c>
      <c r="B53" s="110">
        <f>5.1/0.6</f>
        <v>8.5</v>
      </c>
      <c r="C53" s="110" t="s">
        <v>72</v>
      </c>
      <c r="D53" s="112">
        <v>500000</v>
      </c>
      <c r="E53" s="112">
        <f>B53*D53</f>
        <v>4250000</v>
      </c>
      <c r="F53" s="96" t="s">
        <v>152</v>
      </c>
      <c r="M53" s="10"/>
      <c r="N53" s="25"/>
      <c r="O53" s="19"/>
      <c r="P53" s="10"/>
      <c r="T53" s="10"/>
      <c r="U53" s="30"/>
    </row>
    <row r="54" spans="1:21" x14ac:dyDescent="0.25">
      <c r="A54" s="96" t="s">
        <v>6</v>
      </c>
      <c r="B54" s="91"/>
      <c r="C54" s="91"/>
      <c r="D54" s="108"/>
      <c r="E54" s="108">
        <f>SUM(E53)</f>
        <v>4250000</v>
      </c>
      <c r="F54" s="96" t="s">
        <v>150</v>
      </c>
      <c r="M54" s="10"/>
      <c r="N54" s="10"/>
      <c r="O54" s="10"/>
      <c r="P54" s="10"/>
      <c r="T54" s="10"/>
      <c r="U54" s="30"/>
    </row>
    <row r="55" spans="1:21" x14ac:dyDescent="0.25">
      <c r="A55" s="78"/>
      <c r="B55" s="78"/>
      <c r="C55" s="78"/>
      <c r="D55" s="78"/>
      <c r="E55" s="78"/>
      <c r="F55" s="78"/>
      <c r="T55" s="10"/>
      <c r="U55" s="30"/>
    </row>
    <row r="56" spans="1:21" x14ac:dyDescent="0.25">
      <c r="A56" s="78"/>
      <c r="B56" s="78"/>
      <c r="C56" s="78"/>
      <c r="D56" s="78"/>
      <c r="E56" s="78"/>
      <c r="F56" s="78"/>
      <c r="T56" s="10"/>
      <c r="U56" s="30"/>
    </row>
    <row r="57" spans="1:21" x14ac:dyDescent="0.25">
      <c r="A57" s="54" t="s">
        <v>153</v>
      </c>
      <c r="B57" s="100"/>
      <c r="C57" s="78"/>
      <c r="D57" s="116"/>
      <c r="E57" s="126">
        <f>SUM(E9:E50)/2</f>
        <v>32203550.808000006</v>
      </c>
      <c r="F57" s="104"/>
      <c r="T57" s="10"/>
      <c r="U57" s="30"/>
    </row>
    <row r="58" spans="1:21" x14ac:dyDescent="0.25">
      <c r="A58" s="78"/>
      <c r="B58" s="100"/>
      <c r="C58" s="100"/>
      <c r="D58" s="93"/>
      <c r="E58" s="127"/>
      <c r="F58" s="78"/>
      <c r="T58" s="10"/>
      <c r="U58" s="30"/>
    </row>
    <row r="59" spans="1:21" x14ac:dyDescent="0.25">
      <c r="A59" s="54" t="s">
        <v>154</v>
      </c>
      <c r="B59" s="128"/>
      <c r="C59" s="100"/>
      <c r="D59" s="93"/>
      <c r="E59" s="104">
        <f>E54</f>
        <v>4250000</v>
      </c>
      <c r="F59" s="78"/>
      <c r="T59" s="10"/>
      <c r="U59" s="30"/>
    </row>
    <row r="60" spans="1:21" x14ac:dyDescent="0.25">
      <c r="A60" s="78"/>
      <c r="B60" s="100"/>
      <c r="C60" s="100"/>
      <c r="D60" s="93"/>
      <c r="E60" s="93"/>
      <c r="F60" s="78"/>
      <c r="T60" s="10"/>
      <c r="U60" s="30"/>
    </row>
    <row r="61" spans="1:21" x14ac:dyDescent="0.25">
      <c r="A61" s="54" t="s">
        <v>155</v>
      </c>
      <c r="B61" s="78"/>
      <c r="C61" s="78"/>
      <c r="D61" s="78"/>
      <c r="E61" s="129">
        <f>+PMT(0.03375,50,-E57-E59,0)</f>
        <v>1519284.0563965715</v>
      </c>
      <c r="F61" s="96" t="s">
        <v>156</v>
      </c>
      <c r="T61" s="10"/>
      <c r="U61" s="30"/>
    </row>
    <row r="62" spans="1:21" x14ac:dyDescent="0.25">
      <c r="A62" s="78"/>
      <c r="B62" s="78"/>
      <c r="C62" s="78"/>
      <c r="D62" s="78"/>
      <c r="E62" s="78"/>
      <c r="F62" s="78"/>
      <c r="T62" s="10"/>
      <c r="U62" s="30"/>
    </row>
    <row r="63" spans="1:21" x14ac:dyDescent="0.25">
      <c r="A63" s="130" t="s">
        <v>25</v>
      </c>
      <c r="B63" s="39"/>
      <c r="C63" s="39"/>
      <c r="D63" s="93"/>
      <c r="E63" s="93">
        <f>N31+P26+O10</f>
        <v>682295.75862698222</v>
      </c>
      <c r="F63" s="78"/>
      <c r="T63" s="10"/>
      <c r="U63" s="30"/>
    </row>
    <row r="64" spans="1:21" x14ac:dyDescent="0.25">
      <c r="A64" s="54"/>
      <c r="B64" s="100"/>
      <c r="C64" s="100"/>
      <c r="D64" s="93"/>
      <c r="E64" s="93"/>
      <c r="F64" s="78"/>
      <c r="T64" s="10"/>
      <c r="U64" s="30"/>
    </row>
    <row r="65" spans="1:21" x14ac:dyDescent="0.25">
      <c r="A65" s="130" t="s">
        <v>35</v>
      </c>
      <c r="B65" s="78"/>
      <c r="C65" s="78"/>
      <c r="D65" s="78"/>
      <c r="E65" s="131">
        <f>5.1*277.98</f>
        <v>1417.6980000000001</v>
      </c>
      <c r="F65" s="96" t="s">
        <v>141</v>
      </c>
      <c r="T65" s="10"/>
      <c r="U65" s="30"/>
    </row>
    <row r="66" spans="1:21" x14ac:dyDescent="0.25">
      <c r="A66" s="39"/>
      <c r="B66" s="100"/>
      <c r="C66" s="100"/>
      <c r="D66" s="93"/>
      <c r="E66" s="93"/>
      <c r="F66" s="78"/>
      <c r="T66" s="10"/>
      <c r="U66" s="30"/>
    </row>
    <row r="67" spans="1:21" x14ac:dyDescent="0.25">
      <c r="A67" s="54" t="s">
        <v>157</v>
      </c>
      <c r="B67" s="100"/>
      <c r="C67" s="100"/>
      <c r="D67" s="93"/>
      <c r="E67" s="93">
        <f>+(E61+E63)/E65</f>
        <v>1552.9258100269262</v>
      </c>
      <c r="F67" s="78"/>
      <c r="T67" s="10"/>
      <c r="U67" s="30"/>
    </row>
    <row r="68" spans="1:21" x14ac:dyDescent="0.25">
      <c r="A68" s="78"/>
      <c r="B68" s="78"/>
      <c r="C68" s="78"/>
      <c r="D68" s="78"/>
      <c r="E68" s="78"/>
      <c r="F68" s="78"/>
      <c r="T68" s="10"/>
      <c r="U68" s="30"/>
    </row>
    <row r="69" spans="1:21" x14ac:dyDescent="0.25">
      <c r="A69" s="78"/>
      <c r="B69" s="78"/>
      <c r="C69" s="78"/>
      <c r="D69" s="78"/>
      <c r="E69" s="78"/>
      <c r="F69" s="78"/>
      <c r="T69" s="10"/>
      <c r="U69" s="30"/>
    </row>
    <row r="70" spans="1:21" x14ac:dyDescent="0.25">
      <c r="T70" s="10"/>
      <c r="U70" s="30"/>
    </row>
    <row r="71" spans="1:21" x14ac:dyDescent="0.25">
      <c r="T71" s="10"/>
      <c r="U71" s="30"/>
    </row>
    <row r="72" spans="1:21" x14ac:dyDescent="0.25">
      <c r="T72" s="10"/>
      <c r="U72" s="30"/>
    </row>
  </sheetData>
  <pageMargins left="0.75" right="0.75" top="1" bottom="1" header="0.5" footer="0.5"/>
  <pageSetup scale="46" orientation="landscape"/>
  <headerFooter alignWithMargins="0">
    <oddFooter>&amp;LLA Basin Stormwater Conservation Study_Project Costs&amp;R&amp;D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2"/>
  <sheetViews>
    <sheetView topLeftCell="A18" zoomScaleNormal="100" zoomScaleSheetLayoutView="80" workbookViewId="0">
      <selection activeCell="B27" sqref="B27"/>
    </sheetView>
  </sheetViews>
  <sheetFormatPr defaultRowHeight="13.2" x14ac:dyDescent="0.25"/>
  <cols>
    <col min="1" max="1" width="54.6640625" customWidth="1"/>
    <col min="4" max="4" width="13.88671875" bestFit="1" customWidth="1"/>
    <col min="5" max="5" width="15.44140625" customWidth="1"/>
    <col min="12" max="12" width="13.88671875" customWidth="1"/>
    <col min="13" max="13" width="29.44140625" customWidth="1"/>
    <col min="14" max="14" width="14" customWidth="1"/>
    <col min="15" max="15" width="17.109375" customWidth="1"/>
    <col min="16" max="16" width="16.5546875" customWidth="1"/>
    <col min="17" max="17" width="17.109375" customWidth="1"/>
    <col min="18" max="18" width="19.33203125" customWidth="1"/>
    <col min="19" max="19" width="11.44140625" customWidth="1"/>
    <col min="20" max="20" width="15" customWidth="1"/>
    <col min="21" max="21" width="26.33203125" customWidth="1"/>
    <col min="23" max="23" width="28.6640625" customWidth="1"/>
  </cols>
  <sheetData>
    <row r="1" spans="1:24" ht="14.4" x14ac:dyDescent="0.3">
      <c r="A1" s="1" t="str">
        <f>Summary!A1</f>
        <v>LACDPW Basin Study</v>
      </c>
      <c r="M1" s="45"/>
      <c r="N1" s="46"/>
      <c r="O1" s="45"/>
      <c r="P1" s="47"/>
      <c r="Q1" s="47"/>
      <c r="R1" s="47"/>
      <c r="S1" s="48"/>
    </row>
    <row r="2" spans="1:24" x14ac:dyDescent="0.25">
      <c r="A2" s="1" t="str">
        <f>Summary!A2</f>
        <v>N Summerville</v>
      </c>
      <c r="M2" s="49"/>
      <c r="N2" s="50"/>
      <c r="O2" s="49"/>
      <c r="P2" s="50"/>
      <c r="Q2" s="50"/>
      <c r="R2" s="50"/>
      <c r="S2" s="51"/>
    </row>
    <row r="3" spans="1:24" x14ac:dyDescent="0.25">
      <c r="A3" s="13">
        <f>Summary!A3</f>
        <v>42275</v>
      </c>
      <c r="M3" s="49"/>
      <c r="N3" s="49"/>
      <c r="O3" s="49"/>
      <c r="P3" s="51"/>
      <c r="Q3" s="51"/>
      <c r="R3" s="51"/>
      <c r="S3" s="51"/>
      <c r="T3" s="32"/>
      <c r="U3" s="32"/>
      <c r="V3" s="32"/>
    </row>
    <row r="4" spans="1:24" x14ac:dyDescent="0.25">
      <c r="M4" s="49"/>
      <c r="N4" s="50"/>
      <c r="O4" s="52"/>
      <c r="P4" s="53"/>
      <c r="Q4" s="53"/>
      <c r="R4" s="53"/>
      <c r="S4" s="51"/>
      <c r="T4" s="32"/>
      <c r="U4" s="32"/>
      <c r="V4" s="32"/>
    </row>
    <row r="5" spans="1:24" ht="13.8" thickBot="1" x14ac:dyDescent="0.3">
      <c r="A5" s="16" t="s">
        <v>112</v>
      </c>
      <c r="B5" s="17"/>
      <c r="C5" s="17"/>
      <c r="D5" s="17"/>
      <c r="E5" s="17"/>
      <c r="M5" s="76" t="s">
        <v>146</v>
      </c>
      <c r="N5" s="77"/>
      <c r="O5" s="78"/>
      <c r="P5" s="53"/>
      <c r="Q5" s="53"/>
      <c r="R5" s="53"/>
      <c r="S5" s="51"/>
      <c r="T5" s="32"/>
      <c r="U5" s="32"/>
      <c r="V5" s="32"/>
    </row>
    <row r="6" spans="1:24" x14ac:dyDescent="0.25">
      <c r="M6" s="78"/>
      <c r="N6" s="78"/>
      <c r="O6" s="77"/>
      <c r="P6" s="53"/>
      <c r="Q6" s="53"/>
      <c r="R6" s="53"/>
      <c r="S6" s="51"/>
      <c r="T6" s="32"/>
      <c r="U6" s="32"/>
      <c r="V6" s="32"/>
    </row>
    <row r="7" spans="1:24" x14ac:dyDescent="0.25">
      <c r="A7" s="1" t="s">
        <v>0</v>
      </c>
      <c r="B7" s="3" t="s">
        <v>1</v>
      </c>
      <c r="C7" s="3" t="s">
        <v>2</v>
      </c>
      <c r="D7" s="4" t="s">
        <v>3</v>
      </c>
      <c r="E7" s="4" t="s">
        <v>4</v>
      </c>
      <c r="M7" s="79" t="s">
        <v>147</v>
      </c>
      <c r="N7" s="80" t="s">
        <v>4</v>
      </c>
      <c r="O7" s="91" t="s">
        <v>21</v>
      </c>
      <c r="P7" s="53"/>
      <c r="Q7" s="53"/>
      <c r="R7" s="53"/>
      <c r="S7" s="51"/>
      <c r="T7" s="32"/>
      <c r="U7" s="32"/>
      <c r="V7" s="32"/>
    </row>
    <row r="8" spans="1:24" x14ac:dyDescent="0.25">
      <c r="A8" s="58"/>
      <c r="B8" s="12"/>
      <c r="C8" s="12"/>
      <c r="D8" s="8"/>
      <c r="E8" s="8"/>
      <c r="M8" s="78"/>
      <c r="N8" s="81" t="s">
        <v>24</v>
      </c>
      <c r="O8" s="81" t="s">
        <v>24</v>
      </c>
      <c r="P8" s="53"/>
      <c r="Q8" s="53"/>
      <c r="R8" s="53"/>
      <c r="S8" s="51"/>
      <c r="T8" s="32"/>
      <c r="U8" s="32"/>
      <c r="V8" s="32"/>
    </row>
    <row r="9" spans="1:24" x14ac:dyDescent="0.25">
      <c r="A9" s="65" t="s">
        <v>65</v>
      </c>
      <c r="B9" s="64" t="s">
        <v>66</v>
      </c>
      <c r="C9" s="66">
        <v>17800</v>
      </c>
      <c r="D9" s="67">
        <v>2.25</v>
      </c>
      <c r="E9" s="68">
        <f t="shared" ref="E9:E21" si="0">ROUND(D9*C9,-3)</f>
        <v>40000</v>
      </c>
      <c r="F9" s="6" t="s">
        <v>113</v>
      </c>
      <c r="M9" s="78"/>
      <c r="N9" s="78"/>
      <c r="O9" s="78"/>
      <c r="P9" s="53"/>
      <c r="Q9" s="53"/>
      <c r="R9" s="53"/>
      <c r="S9" s="51"/>
      <c r="T9" s="32"/>
      <c r="U9" s="32"/>
      <c r="V9" s="32"/>
    </row>
    <row r="10" spans="1:24" ht="12.75" customHeight="1" x14ac:dyDescent="0.25">
      <c r="A10" s="6" t="s">
        <v>67</v>
      </c>
      <c r="B10" s="20" t="s">
        <v>46</v>
      </c>
      <c r="C10" s="59">
        <v>20320</v>
      </c>
      <c r="D10" s="62">
        <v>25</v>
      </c>
      <c r="E10" s="61">
        <f t="shared" si="0"/>
        <v>508000</v>
      </c>
      <c r="F10" s="6" t="s">
        <v>114</v>
      </c>
      <c r="M10" s="6" t="s">
        <v>69</v>
      </c>
      <c r="N10" s="82">
        <f>E13</f>
        <v>1000000</v>
      </c>
      <c r="O10" s="90">
        <f>+PMT(0.03375,50,-N10,0)</f>
        <v>41677.25839380105</v>
      </c>
      <c r="P10" s="53"/>
      <c r="Q10" s="53"/>
      <c r="R10" s="53"/>
      <c r="S10" s="51"/>
      <c r="T10" s="32"/>
      <c r="U10" s="32"/>
      <c r="V10" s="32"/>
    </row>
    <row r="11" spans="1:24" x14ac:dyDescent="0.25">
      <c r="A11" s="6" t="s">
        <v>115</v>
      </c>
      <c r="B11" s="20" t="s">
        <v>41</v>
      </c>
      <c r="C11" s="59">
        <v>320</v>
      </c>
      <c r="D11" s="62">
        <v>40</v>
      </c>
      <c r="E11" s="61">
        <f t="shared" si="0"/>
        <v>13000</v>
      </c>
      <c r="F11" s="6" t="s">
        <v>116</v>
      </c>
      <c r="M11" s="49"/>
      <c r="N11" s="50"/>
      <c r="O11" s="52"/>
      <c r="P11" s="53"/>
      <c r="Q11" s="53"/>
      <c r="R11" s="53"/>
      <c r="S11" s="51"/>
      <c r="T11" s="32"/>
      <c r="U11" s="32"/>
      <c r="V11" s="32"/>
    </row>
    <row r="12" spans="1:24" x14ac:dyDescent="0.25">
      <c r="A12" s="6" t="s">
        <v>81</v>
      </c>
      <c r="B12" s="20" t="s">
        <v>55</v>
      </c>
      <c r="C12" s="59">
        <v>2</v>
      </c>
      <c r="D12" s="60">
        <v>50000</v>
      </c>
      <c r="E12" s="61">
        <f t="shared" si="0"/>
        <v>100000</v>
      </c>
      <c r="F12" s="6" t="s">
        <v>117</v>
      </c>
      <c r="M12" s="49"/>
      <c r="N12" s="50"/>
      <c r="O12" s="52"/>
      <c r="P12" s="53"/>
      <c r="Q12" s="53"/>
      <c r="R12" s="53"/>
      <c r="S12" s="51"/>
      <c r="T12" s="32"/>
      <c r="U12" s="32"/>
      <c r="V12" s="32"/>
    </row>
    <row r="13" spans="1:24" x14ac:dyDescent="0.25">
      <c r="A13" s="6" t="s">
        <v>69</v>
      </c>
      <c r="B13" s="20" t="s">
        <v>55</v>
      </c>
      <c r="C13" s="59">
        <v>4</v>
      </c>
      <c r="D13" s="60">
        <v>250000</v>
      </c>
      <c r="E13" s="61">
        <f t="shared" si="0"/>
        <v>1000000</v>
      </c>
      <c r="F13" s="6" t="s">
        <v>93</v>
      </c>
      <c r="M13" s="49"/>
      <c r="N13" s="50"/>
      <c r="O13" s="52"/>
      <c r="P13" s="53"/>
      <c r="Q13" s="53"/>
      <c r="R13" s="53"/>
      <c r="S13" s="51"/>
      <c r="T13" s="32"/>
      <c r="U13" s="32"/>
      <c r="V13" s="32"/>
    </row>
    <row r="14" spans="1:24" x14ac:dyDescent="0.25">
      <c r="A14" s="6" t="s">
        <v>61</v>
      </c>
      <c r="B14" s="20" t="s">
        <v>55</v>
      </c>
      <c r="C14" s="59">
        <v>4</v>
      </c>
      <c r="D14" s="60">
        <v>15000</v>
      </c>
      <c r="E14" s="61">
        <f t="shared" si="0"/>
        <v>60000</v>
      </c>
      <c r="F14" s="6"/>
      <c r="M14" s="49"/>
      <c r="N14" s="50"/>
      <c r="O14" s="52"/>
      <c r="P14" s="53"/>
      <c r="Q14" s="53"/>
      <c r="R14" s="53"/>
      <c r="S14" s="51"/>
      <c r="T14" s="32"/>
      <c r="U14" s="32"/>
      <c r="V14" s="32"/>
    </row>
    <row r="15" spans="1:24" x14ac:dyDescent="0.25">
      <c r="A15" s="6" t="s">
        <v>62</v>
      </c>
      <c r="B15" s="20" t="s">
        <v>55</v>
      </c>
      <c r="C15" s="59">
        <v>8</v>
      </c>
      <c r="D15" s="60">
        <v>350000</v>
      </c>
      <c r="E15" s="61">
        <f t="shared" si="0"/>
        <v>2800000</v>
      </c>
      <c r="F15" s="6"/>
      <c r="M15" s="49"/>
      <c r="N15" s="50"/>
      <c r="O15" s="52"/>
      <c r="P15" s="53"/>
      <c r="Q15" s="53"/>
      <c r="R15" s="53"/>
      <c r="S15" s="51"/>
      <c r="T15" s="32"/>
      <c r="U15" s="32"/>
      <c r="V15" s="32"/>
    </row>
    <row r="16" spans="1:24" x14ac:dyDescent="0.25">
      <c r="A16" s="6" t="s">
        <v>63</v>
      </c>
      <c r="B16" s="20" t="s">
        <v>55</v>
      </c>
      <c r="C16" s="59">
        <v>8</v>
      </c>
      <c r="D16" s="60">
        <v>5000</v>
      </c>
      <c r="E16" s="61">
        <f t="shared" si="0"/>
        <v>40000</v>
      </c>
      <c r="F16" s="6"/>
      <c r="L16" s="40"/>
      <c r="M16" s="49"/>
      <c r="N16" s="50"/>
      <c r="O16" s="52"/>
      <c r="P16" s="53"/>
      <c r="Q16" s="53"/>
      <c r="R16" s="53"/>
      <c r="S16" s="51"/>
      <c r="T16" s="32"/>
      <c r="U16" s="32"/>
      <c r="V16" s="32"/>
      <c r="X16" s="39"/>
    </row>
    <row r="17" spans="1:24" x14ac:dyDescent="0.25">
      <c r="A17" s="6" t="s">
        <v>86</v>
      </c>
      <c r="B17" s="20" t="s">
        <v>39</v>
      </c>
      <c r="C17" s="59">
        <v>1</v>
      </c>
      <c r="D17" s="60">
        <v>35000</v>
      </c>
      <c r="E17" s="61">
        <f t="shared" si="0"/>
        <v>35000</v>
      </c>
      <c r="F17" s="6"/>
      <c r="L17" s="40"/>
      <c r="M17" s="49"/>
      <c r="N17" s="50"/>
      <c r="O17" s="52"/>
      <c r="P17" s="53"/>
      <c r="Q17" s="53"/>
      <c r="R17" s="53"/>
      <c r="S17" s="51"/>
      <c r="T17" s="32"/>
      <c r="U17" s="32"/>
      <c r="V17" s="32"/>
      <c r="X17" s="39"/>
    </row>
    <row r="18" spans="1:24" x14ac:dyDescent="0.25">
      <c r="A18" s="6" t="s">
        <v>85</v>
      </c>
      <c r="B18" s="20" t="s">
        <v>39</v>
      </c>
      <c r="C18" s="59">
        <v>1</v>
      </c>
      <c r="D18" s="60">
        <v>40000</v>
      </c>
      <c r="E18" s="61">
        <f t="shared" si="0"/>
        <v>40000</v>
      </c>
      <c r="F18" s="6"/>
      <c r="L18" s="40"/>
      <c r="M18" s="49"/>
      <c r="N18" s="50"/>
      <c r="O18" s="52"/>
      <c r="P18" s="53"/>
      <c r="Q18" s="53"/>
      <c r="R18" s="53"/>
      <c r="S18" s="51"/>
      <c r="T18" s="41"/>
      <c r="U18" s="32"/>
      <c r="V18" s="32"/>
      <c r="X18" s="39"/>
    </row>
    <row r="19" spans="1:24" ht="14.4" x14ac:dyDescent="0.3">
      <c r="A19" s="6" t="s">
        <v>102</v>
      </c>
      <c r="B19" s="20" t="s">
        <v>39</v>
      </c>
      <c r="C19" s="59">
        <v>1</v>
      </c>
      <c r="D19" s="60">
        <v>50000</v>
      </c>
      <c r="E19" s="61">
        <f t="shared" si="0"/>
        <v>50000</v>
      </c>
      <c r="F19" s="6"/>
      <c r="L19" s="41"/>
      <c r="U19" s="42"/>
      <c r="V19" s="41"/>
      <c r="W19" s="43"/>
      <c r="X19" s="39"/>
    </row>
    <row r="20" spans="1:24" x14ac:dyDescent="0.25">
      <c r="A20" s="6" t="s">
        <v>87</v>
      </c>
      <c r="B20" s="20" t="s">
        <v>39</v>
      </c>
      <c r="C20" s="59">
        <v>1</v>
      </c>
      <c r="D20" s="60">
        <v>15000</v>
      </c>
      <c r="E20" s="61">
        <f t="shared" si="0"/>
        <v>15000</v>
      </c>
      <c r="F20" s="6"/>
      <c r="L20" s="41"/>
      <c r="M20" s="42"/>
      <c r="N20" s="41"/>
      <c r="O20" s="41"/>
      <c r="P20" s="41"/>
      <c r="Q20" s="41"/>
      <c r="R20" s="41"/>
      <c r="S20" s="41"/>
      <c r="T20" s="41"/>
      <c r="U20" s="42"/>
      <c r="V20" s="41"/>
      <c r="W20" s="42"/>
      <c r="X20" s="39"/>
    </row>
    <row r="21" spans="1:24" ht="14.4" x14ac:dyDescent="0.3">
      <c r="A21" s="6" t="s">
        <v>88</v>
      </c>
      <c r="B21" s="20" t="s">
        <v>41</v>
      </c>
      <c r="C21" s="59">
        <v>300</v>
      </c>
      <c r="D21" s="62">
        <v>216</v>
      </c>
      <c r="E21" s="61">
        <f t="shared" si="0"/>
        <v>65000</v>
      </c>
      <c r="F21" s="6"/>
      <c r="L21" s="41"/>
      <c r="M21" s="26" t="s">
        <v>36</v>
      </c>
      <c r="N21" s="10"/>
      <c r="O21" s="10"/>
      <c r="P21" s="10"/>
      <c r="R21" s="41"/>
      <c r="S21" s="41"/>
      <c r="T21" s="21"/>
      <c r="U21" s="23"/>
      <c r="V21" s="41"/>
      <c r="W21" s="43"/>
      <c r="X21" s="39"/>
    </row>
    <row r="22" spans="1:24" x14ac:dyDescent="0.25">
      <c r="A22" s="6" t="s">
        <v>103</v>
      </c>
      <c r="B22" s="20" t="s">
        <v>41</v>
      </c>
      <c r="C22" s="59">
        <v>200</v>
      </c>
      <c r="D22" s="62">
        <v>2000</v>
      </c>
      <c r="E22" s="61">
        <f>ROUND(D22*C22,-3)</f>
        <v>400000</v>
      </c>
      <c r="F22" s="6"/>
      <c r="L22" s="41"/>
      <c r="M22" s="10"/>
      <c r="N22" s="10"/>
      <c r="O22" s="10"/>
      <c r="P22" s="10"/>
      <c r="R22" s="41"/>
      <c r="S22" s="41"/>
      <c r="V22" s="41"/>
      <c r="W22" s="44"/>
      <c r="X22" s="39"/>
    </row>
    <row r="23" spans="1:24" x14ac:dyDescent="0.25">
      <c r="A23" s="83" t="s">
        <v>6</v>
      </c>
      <c r="B23" s="84"/>
      <c r="C23" s="84"/>
      <c r="D23" s="22"/>
      <c r="E23" s="22">
        <f>SUM(E9:E22)</f>
        <v>5166000</v>
      </c>
      <c r="L23" s="41"/>
      <c r="M23" s="27" t="s">
        <v>16</v>
      </c>
      <c r="N23" s="28"/>
      <c r="O23" s="24" t="s">
        <v>19</v>
      </c>
      <c r="P23" s="24" t="s">
        <v>21</v>
      </c>
      <c r="R23" s="41"/>
      <c r="S23" s="41"/>
      <c r="T23" s="10"/>
      <c r="U23" s="30"/>
      <c r="V23" s="41"/>
      <c r="W23" s="42"/>
      <c r="X23" s="39"/>
    </row>
    <row r="24" spans="1:24" x14ac:dyDescent="0.25">
      <c r="B24" s="7"/>
      <c r="C24" s="7"/>
      <c r="D24" s="8"/>
      <c r="E24" s="8"/>
      <c r="M24" s="24" t="s">
        <v>17</v>
      </c>
      <c r="N24" s="24" t="s">
        <v>18</v>
      </c>
      <c r="O24" s="24" t="s">
        <v>20</v>
      </c>
      <c r="P24" s="24" t="s">
        <v>24</v>
      </c>
      <c r="T24" s="10"/>
      <c r="U24" s="30"/>
    </row>
    <row r="25" spans="1:24" x14ac:dyDescent="0.25">
      <c r="A25" s="14" t="s">
        <v>70</v>
      </c>
      <c r="B25" s="11"/>
      <c r="C25" s="11"/>
      <c r="D25" s="5"/>
      <c r="E25" s="5"/>
      <c r="M25" s="10"/>
      <c r="N25" s="10"/>
      <c r="O25" s="10"/>
      <c r="P25" s="10"/>
      <c r="T25" s="10"/>
      <c r="U25" s="30"/>
    </row>
    <row r="26" spans="1:24" x14ac:dyDescent="0.25">
      <c r="A26" s="6" t="s">
        <v>71</v>
      </c>
      <c r="B26" s="149">
        <f>B53*0.1*0.6</f>
        <v>0.27000000000000007</v>
      </c>
      <c r="C26" s="20" t="s">
        <v>72</v>
      </c>
      <c r="D26" s="8">
        <v>35000</v>
      </c>
      <c r="E26" s="8">
        <f t="shared" ref="E26" si="1">+B26*D26</f>
        <v>9450.0000000000018</v>
      </c>
      <c r="F26" s="21" t="s">
        <v>94</v>
      </c>
      <c r="M26" s="10">
        <v>200</v>
      </c>
      <c r="N26" s="25">
        <f>0.746*M26*3*30.4*24</f>
        <v>326568.95999999996</v>
      </c>
      <c r="O26" s="29">
        <v>0.15</v>
      </c>
      <c r="P26" s="30">
        <f>+N26*O26</f>
        <v>48985.34399999999</v>
      </c>
      <c r="T26" s="10"/>
      <c r="U26" s="30"/>
    </row>
    <row r="27" spans="1:24" x14ac:dyDescent="0.25">
      <c r="A27" s="97" t="s">
        <v>6</v>
      </c>
      <c r="B27" s="98"/>
      <c r="C27" s="98"/>
      <c r="D27" s="99"/>
      <c r="E27" s="99">
        <f>SUM(E26:E26)</f>
        <v>9450.0000000000018</v>
      </c>
      <c r="F27" s="78"/>
      <c r="M27" s="10"/>
      <c r="N27" s="10"/>
      <c r="O27" s="10"/>
      <c r="P27" s="10"/>
      <c r="T27" s="10"/>
      <c r="U27" s="30"/>
    </row>
    <row r="28" spans="1:24" x14ac:dyDescent="0.25">
      <c r="A28" s="9"/>
      <c r="B28" s="100"/>
      <c r="C28" s="100"/>
      <c r="D28" s="93"/>
      <c r="E28" s="104"/>
      <c r="F28" s="78"/>
      <c r="M28" s="24" t="s">
        <v>22</v>
      </c>
      <c r="N28" s="24" t="s">
        <v>21</v>
      </c>
      <c r="O28" s="24" t="s">
        <v>26</v>
      </c>
      <c r="Q28" s="24"/>
      <c r="T28" s="10"/>
      <c r="U28" s="30"/>
    </row>
    <row r="29" spans="1:24" x14ac:dyDescent="0.25">
      <c r="A29" s="54" t="s">
        <v>74</v>
      </c>
      <c r="B29" s="100"/>
      <c r="C29" s="100"/>
      <c r="D29" s="93"/>
      <c r="E29" s="93"/>
      <c r="F29" s="78"/>
      <c r="M29" s="24" t="s">
        <v>23</v>
      </c>
      <c r="N29" s="24" t="s">
        <v>24</v>
      </c>
      <c r="O29" s="24" t="s">
        <v>27</v>
      </c>
      <c r="Q29" s="24"/>
      <c r="T29" s="10"/>
      <c r="U29" s="30"/>
    </row>
    <row r="30" spans="1:24" x14ac:dyDescent="0.25">
      <c r="A30" s="63" t="s">
        <v>75</v>
      </c>
      <c r="B30" s="136">
        <v>1170</v>
      </c>
      <c r="C30" s="106" t="s">
        <v>5</v>
      </c>
      <c r="D30" s="99">
        <v>25</v>
      </c>
      <c r="E30" s="99">
        <f>+B30*D30</f>
        <v>29250</v>
      </c>
      <c r="F30" s="96" t="s">
        <v>95</v>
      </c>
      <c r="M30" s="10"/>
      <c r="N30" s="10"/>
      <c r="O30" s="10"/>
      <c r="T30" s="10"/>
      <c r="U30" s="30"/>
    </row>
    <row r="31" spans="1:24" x14ac:dyDescent="0.25">
      <c r="A31" s="97" t="s">
        <v>6</v>
      </c>
      <c r="B31" s="98"/>
      <c r="C31" s="98"/>
      <c r="D31" s="99"/>
      <c r="E31" s="99">
        <f>SUM(E30:E30)</f>
        <v>29250</v>
      </c>
      <c r="F31" s="78"/>
      <c r="M31" s="31">
        <v>0.05</v>
      </c>
      <c r="N31" s="29">
        <f>+M31*SUM(E9:E34)/2</f>
        <v>286258.5</v>
      </c>
      <c r="O31" s="10">
        <v>50</v>
      </c>
      <c r="Q31" s="2"/>
      <c r="T31" s="56"/>
      <c r="U31" s="30"/>
    </row>
    <row r="32" spans="1:24" x14ac:dyDescent="0.25">
      <c r="A32" s="113"/>
      <c r="B32" s="113"/>
      <c r="C32" s="113"/>
      <c r="D32" s="113"/>
      <c r="E32" s="113"/>
      <c r="F32" s="78"/>
      <c r="T32" s="10"/>
      <c r="U32" s="30"/>
    </row>
    <row r="33" spans="1:21" x14ac:dyDescent="0.25">
      <c r="A33" s="109" t="s">
        <v>138</v>
      </c>
      <c r="B33" s="110">
        <v>10</v>
      </c>
      <c r="C33" s="110" t="s">
        <v>7</v>
      </c>
      <c r="D33" s="111">
        <f>SUM(E9:E31)/2</f>
        <v>5204700</v>
      </c>
      <c r="E33" s="112">
        <f>D33*B33/100</f>
        <v>520470</v>
      </c>
      <c r="F33" s="96"/>
      <c r="T33" s="10"/>
      <c r="U33" s="30"/>
    </row>
    <row r="34" spans="1:21" x14ac:dyDescent="0.25">
      <c r="A34" s="78" t="s">
        <v>6</v>
      </c>
      <c r="B34" s="91"/>
      <c r="C34" s="91"/>
      <c r="D34" s="108"/>
      <c r="E34" s="108">
        <f>SUM(E33)</f>
        <v>520470</v>
      </c>
      <c r="F34" s="96"/>
      <c r="T34" s="10"/>
      <c r="U34" s="30"/>
    </row>
    <row r="35" spans="1:21" x14ac:dyDescent="0.25">
      <c r="A35" s="113"/>
      <c r="B35" s="91"/>
      <c r="C35" s="91"/>
      <c r="D35" s="108"/>
      <c r="E35" s="108"/>
      <c r="F35" s="78"/>
      <c r="T35" s="10"/>
      <c r="U35" s="30"/>
    </row>
    <row r="36" spans="1:21" x14ac:dyDescent="0.25">
      <c r="A36" s="109" t="s">
        <v>8</v>
      </c>
      <c r="B36" s="110">
        <v>10</v>
      </c>
      <c r="C36" s="110" t="s">
        <v>7</v>
      </c>
      <c r="D36" s="111">
        <f>SUM(E9:E34)/2</f>
        <v>5725170</v>
      </c>
      <c r="E36" s="112">
        <f>D36*B36/100</f>
        <v>572517</v>
      </c>
      <c r="F36" s="78"/>
      <c r="T36" s="10"/>
      <c r="U36" s="30"/>
    </row>
    <row r="37" spans="1:21" x14ac:dyDescent="0.25">
      <c r="A37" s="78" t="s">
        <v>6</v>
      </c>
      <c r="B37" s="91"/>
      <c r="C37" s="91"/>
      <c r="D37" s="108"/>
      <c r="E37" s="108">
        <f>SUM(E36)</f>
        <v>572517</v>
      </c>
      <c r="F37" s="78"/>
      <c r="T37" s="10"/>
      <c r="U37" s="30"/>
    </row>
    <row r="38" spans="1:21" x14ac:dyDescent="0.25">
      <c r="A38" s="78"/>
      <c r="B38" s="91"/>
      <c r="C38" s="91"/>
      <c r="D38" s="108"/>
      <c r="E38" s="108"/>
      <c r="F38" s="78"/>
      <c r="T38" s="10"/>
      <c r="U38" s="30"/>
    </row>
    <row r="39" spans="1:21" x14ac:dyDescent="0.25">
      <c r="A39" s="109" t="s">
        <v>10</v>
      </c>
      <c r="B39" s="110"/>
      <c r="C39" s="110"/>
      <c r="D39" s="95"/>
      <c r="E39" s="95"/>
      <c r="F39" s="78"/>
      <c r="T39" s="10"/>
      <c r="U39" s="30"/>
    </row>
    <row r="40" spans="1:21" x14ac:dyDescent="0.25">
      <c r="A40" s="87" t="s">
        <v>148</v>
      </c>
      <c r="B40" s="88">
        <v>10</v>
      </c>
      <c r="C40" s="88" t="s">
        <v>7</v>
      </c>
      <c r="D40" s="114">
        <f>SUM(E9:E37)/2</f>
        <v>6297687</v>
      </c>
      <c r="E40" s="107">
        <f>D40*B40/100</f>
        <v>629768.69999999995</v>
      </c>
      <c r="F40" s="78"/>
      <c r="T40" s="10"/>
      <c r="U40" s="30"/>
    </row>
    <row r="41" spans="1:21" x14ac:dyDescent="0.25">
      <c r="A41" s="9" t="s">
        <v>149</v>
      </c>
      <c r="B41" s="100">
        <v>15</v>
      </c>
      <c r="C41" s="89" t="s">
        <v>7</v>
      </c>
      <c r="D41" s="115">
        <f>SUM(E9:E37)/2</f>
        <v>6297687</v>
      </c>
      <c r="E41" s="95">
        <f>D41*B41/100</f>
        <v>944653.05</v>
      </c>
      <c r="F41" s="78"/>
      <c r="T41" s="10"/>
      <c r="U41" s="30"/>
    </row>
    <row r="42" spans="1:21" x14ac:dyDescent="0.25">
      <c r="A42" s="9" t="s">
        <v>15</v>
      </c>
      <c r="B42" s="100">
        <v>11</v>
      </c>
      <c r="C42" s="89" t="s">
        <v>7</v>
      </c>
      <c r="D42" s="115">
        <f>SUM(E9:E37)/2+SUM(D40:D41)+SUM(D43:D45)</f>
        <v>37786122</v>
      </c>
      <c r="E42" s="95">
        <f t="shared" ref="E42:E45" si="2">D42*B42/100</f>
        <v>4156473.42</v>
      </c>
      <c r="F42" s="78"/>
      <c r="T42" s="10"/>
      <c r="U42" s="30"/>
    </row>
    <row r="43" spans="1:21" x14ac:dyDescent="0.25">
      <c r="A43" s="9" t="s">
        <v>11</v>
      </c>
      <c r="B43" s="100">
        <v>5</v>
      </c>
      <c r="C43" s="89" t="s">
        <v>7</v>
      </c>
      <c r="D43" s="115">
        <f>SUM(E9:E37)/2</f>
        <v>6297687</v>
      </c>
      <c r="E43" s="95">
        <f t="shared" si="2"/>
        <v>314884.34999999998</v>
      </c>
      <c r="F43" s="78"/>
      <c r="T43" s="10"/>
      <c r="U43" s="30"/>
    </row>
    <row r="44" spans="1:21" x14ac:dyDescent="0.25">
      <c r="A44" s="9" t="s">
        <v>12</v>
      </c>
      <c r="B44" s="100">
        <v>10</v>
      </c>
      <c r="C44" s="89" t="s">
        <v>7</v>
      </c>
      <c r="D44" s="115">
        <f>SUM(E9:E37)/2</f>
        <v>6297687</v>
      </c>
      <c r="E44" s="95">
        <f t="shared" si="2"/>
        <v>629768.69999999995</v>
      </c>
      <c r="F44" s="96"/>
      <c r="T44" s="10"/>
      <c r="U44" s="30"/>
    </row>
    <row r="45" spans="1:21" x14ac:dyDescent="0.25">
      <c r="A45" s="15" t="s">
        <v>13</v>
      </c>
      <c r="B45" s="102">
        <v>10</v>
      </c>
      <c r="C45" s="110" t="s">
        <v>7</v>
      </c>
      <c r="D45" s="111">
        <f>SUM(E9:E37)/2</f>
        <v>6297687</v>
      </c>
      <c r="E45" s="112">
        <f t="shared" si="2"/>
        <v>629768.69999999995</v>
      </c>
      <c r="F45" s="78"/>
      <c r="T45" s="10"/>
      <c r="U45" s="30"/>
    </row>
    <row r="46" spans="1:21" x14ac:dyDescent="0.25">
      <c r="A46" s="78" t="s">
        <v>6</v>
      </c>
      <c r="B46" s="116"/>
      <c r="C46" s="116"/>
      <c r="D46" s="104"/>
      <c r="E46" s="104">
        <f>SUM(E40:E45)</f>
        <v>7305316.9199999999</v>
      </c>
      <c r="F46" s="78"/>
      <c r="M46" s="24"/>
      <c r="N46" s="24"/>
      <c r="O46" s="24"/>
      <c r="P46" s="10"/>
      <c r="T46" s="10"/>
      <c r="U46" s="30"/>
    </row>
    <row r="47" spans="1:21" x14ac:dyDescent="0.25">
      <c r="A47" s="54"/>
      <c r="B47" s="100"/>
      <c r="C47" s="100"/>
      <c r="D47" s="93"/>
      <c r="E47" s="117"/>
      <c r="F47" s="78"/>
      <c r="M47" s="24"/>
      <c r="N47" s="24"/>
      <c r="O47" s="24"/>
      <c r="P47" s="10"/>
      <c r="T47" s="10"/>
      <c r="U47" s="30"/>
    </row>
    <row r="48" spans="1:21" x14ac:dyDescent="0.25">
      <c r="A48" s="109" t="s">
        <v>14</v>
      </c>
      <c r="B48" s="118"/>
      <c r="C48" s="118"/>
      <c r="D48" s="119"/>
      <c r="E48" s="119"/>
      <c r="F48" s="78"/>
      <c r="M48" s="24"/>
      <c r="N48" s="24"/>
      <c r="O48" s="24"/>
      <c r="P48" s="10"/>
      <c r="T48" s="10"/>
      <c r="U48" s="30"/>
    </row>
    <row r="49" spans="1:21" x14ac:dyDescent="0.25">
      <c r="A49" s="120" t="s">
        <v>14</v>
      </c>
      <c r="B49" s="121">
        <v>30</v>
      </c>
      <c r="C49" s="122" t="s">
        <v>7</v>
      </c>
      <c r="D49" s="123">
        <f>SUM(E9:E46)/2</f>
        <v>13603003.920000002</v>
      </c>
      <c r="E49" s="124">
        <f>D49*B49/100</f>
        <v>4080901.1760000004</v>
      </c>
      <c r="F49" s="78"/>
      <c r="M49" s="24"/>
      <c r="N49" s="24"/>
      <c r="O49" s="24"/>
      <c r="P49" s="10"/>
      <c r="T49" s="10"/>
      <c r="U49" s="30"/>
    </row>
    <row r="50" spans="1:21" x14ac:dyDescent="0.25">
      <c r="A50" s="78" t="s">
        <v>6</v>
      </c>
      <c r="B50" s="116"/>
      <c r="C50" s="116"/>
      <c r="D50" s="104"/>
      <c r="E50" s="104">
        <f>SUM(E49)</f>
        <v>4080901.1760000004</v>
      </c>
      <c r="F50" s="78"/>
      <c r="M50" s="24"/>
      <c r="N50" s="24"/>
      <c r="O50" s="24"/>
      <c r="P50" s="10"/>
      <c r="T50" s="10"/>
      <c r="U50" s="30"/>
    </row>
    <row r="51" spans="1:21" x14ac:dyDescent="0.25">
      <c r="A51" s="78"/>
      <c r="B51" s="78"/>
      <c r="C51" s="78"/>
      <c r="D51" s="78"/>
      <c r="E51" s="78"/>
      <c r="F51" s="78"/>
      <c r="M51" s="24"/>
      <c r="N51" s="24"/>
      <c r="O51" s="24"/>
      <c r="P51" s="10"/>
      <c r="T51" s="10"/>
      <c r="U51" s="30"/>
    </row>
    <row r="52" spans="1:21" s="55" customFormat="1" x14ac:dyDescent="0.25">
      <c r="A52" s="109" t="s">
        <v>151</v>
      </c>
      <c r="B52" s="118"/>
      <c r="C52" s="118"/>
      <c r="D52" s="119"/>
      <c r="E52" s="119"/>
      <c r="F52" s="78"/>
      <c r="G52"/>
      <c r="M52" s="56"/>
      <c r="N52" s="56"/>
      <c r="O52" s="56"/>
      <c r="P52" s="56"/>
      <c r="T52" s="10"/>
      <c r="U52" s="30"/>
    </row>
    <row r="53" spans="1:21" x14ac:dyDescent="0.25">
      <c r="A53" s="15" t="s">
        <v>73</v>
      </c>
      <c r="B53" s="110">
        <f>2.7/0.6</f>
        <v>4.5000000000000009</v>
      </c>
      <c r="C53" s="110" t="s">
        <v>72</v>
      </c>
      <c r="D53" s="112">
        <v>500000</v>
      </c>
      <c r="E53" s="112">
        <f>B53*D53</f>
        <v>2250000.0000000005</v>
      </c>
      <c r="F53" s="96" t="s">
        <v>152</v>
      </c>
      <c r="G53" s="55"/>
      <c r="M53" s="10"/>
      <c r="N53" s="25"/>
      <c r="O53" s="19"/>
      <c r="P53" s="10"/>
      <c r="T53" s="10"/>
      <c r="U53" s="30"/>
    </row>
    <row r="54" spans="1:21" x14ac:dyDescent="0.25">
      <c r="A54" s="96" t="s">
        <v>6</v>
      </c>
      <c r="B54" s="91"/>
      <c r="C54" s="91"/>
      <c r="D54" s="108"/>
      <c r="E54" s="108">
        <f>SUM(E53)</f>
        <v>2250000.0000000005</v>
      </c>
      <c r="F54" s="96" t="s">
        <v>150</v>
      </c>
      <c r="M54" s="10"/>
      <c r="N54" s="10"/>
      <c r="O54" s="10"/>
      <c r="P54" s="10"/>
      <c r="T54" s="10"/>
      <c r="U54" s="30"/>
    </row>
    <row r="55" spans="1:21" x14ac:dyDescent="0.25">
      <c r="A55" s="78"/>
      <c r="B55" s="78"/>
      <c r="C55" s="78"/>
      <c r="D55" s="78"/>
      <c r="E55" s="78"/>
      <c r="F55" s="78"/>
      <c r="T55" s="10"/>
      <c r="U55" s="30"/>
    </row>
    <row r="56" spans="1:21" x14ac:dyDescent="0.25">
      <c r="A56" s="78"/>
      <c r="B56" s="78"/>
      <c r="C56" s="78"/>
      <c r="D56" s="78"/>
      <c r="E56" s="78"/>
      <c r="F56" s="104"/>
      <c r="T56" s="10"/>
      <c r="U56" s="30"/>
    </row>
    <row r="57" spans="1:21" x14ac:dyDescent="0.25">
      <c r="A57" s="54" t="s">
        <v>153</v>
      </c>
      <c r="B57" s="100"/>
      <c r="C57" s="78"/>
      <c r="D57" s="116"/>
      <c r="E57" s="126">
        <f>SUM(E9:E50)/2</f>
        <v>17683905.096000001</v>
      </c>
      <c r="F57" s="78"/>
      <c r="T57" s="10"/>
      <c r="U57" s="30"/>
    </row>
    <row r="58" spans="1:21" x14ac:dyDescent="0.25">
      <c r="A58" s="78"/>
      <c r="B58" s="100"/>
      <c r="C58" s="100"/>
      <c r="D58" s="93"/>
      <c r="E58" s="127"/>
      <c r="F58" s="78"/>
      <c r="T58" s="10"/>
      <c r="U58" s="30"/>
    </row>
    <row r="59" spans="1:21" x14ac:dyDescent="0.25">
      <c r="A59" s="54" t="s">
        <v>154</v>
      </c>
      <c r="B59" s="128"/>
      <c r="C59" s="100"/>
      <c r="D59" s="93"/>
      <c r="E59" s="104">
        <f>E54</f>
        <v>2250000.0000000005</v>
      </c>
      <c r="F59" s="96" t="s">
        <v>156</v>
      </c>
      <c r="T59" s="10"/>
      <c r="U59" s="30"/>
    </row>
    <row r="60" spans="1:21" x14ac:dyDescent="0.25">
      <c r="A60" s="78"/>
      <c r="B60" s="100"/>
      <c r="C60" s="100"/>
      <c r="D60" s="93"/>
      <c r="E60" s="93"/>
      <c r="F60" s="78"/>
      <c r="T60" s="10"/>
      <c r="U60" s="30"/>
    </row>
    <row r="61" spans="1:21" x14ac:dyDescent="0.25">
      <c r="A61" s="54" t="s">
        <v>155</v>
      </c>
      <c r="B61" s="78"/>
      <c r="C61" s="78"/>
      <c r="D61" s="78"/>
      <c r="E61" s="129">
        <f>+PMT(0.03375,50,-E57-E59,0)</f>
        <v>830790.51348349964</v>
      </c>
      <c r="F61" s="78"/>
      <c r="T61" s="10"/>
      <c r="U61" s="30"/>
    </row>
    <row r="62" spans="1:21" x14ac:dyDescent="0.25">
      <c r="A62" s="78"/>
      <c r="B62" s="78"/>
      <c r="C62" s="78"/>
      <c r="D62" s="78"/>
      <c r="E62" s="78"/>
      <c r="F62" s="78"/>
      <c r="T62" s="10"/>
      <c r="U62" s="30"/>
    </row>
    <row r="63" spans="1:21" x14ac:dyDescent="0.25">
      <c r="A63" s="130" t="s">
        <v>25</v>
      </c>
      <c r="B63" s="39"/>
      <c r="C63" s="39"/>
      <c r="D63" s="93"/>
      <c r="E63" s="93">
        <f>N31+P26+O10</f>
        <v>376921.10239380103</v>
      </c>
      <c r="F63" s="78"/>
      <c r="T63" s="10"/>
      <c r="U63" s="30"/>
    </row>
    <row r="64" spans="1:21" x14ac:dyDescent="0.25">
      <c r="A64" s="54"/>
      <c r="B64" s="100"/>
      <c r="C64" s="100"/>
      <c r="D64" s="93"/>
      <c r="E64" s="93"/>
      <c r="F64" s="78"/>
      <c r="T64" s="10"/>
      <c r="U64" s="30"/>
    </row>
    <row r="65" spans="1:21" x14ac:dyDescent="0.25">
      <c r="A65" s="130" t="s">
        <v>35</v>
      </c>
      <c r="B65" s="78"/>
      <c r="C65" s="78"/>
      <c r="D65" s="78"/>
      <c r="E65" s="131">
        <f>2.7*277.98</f>
        <v>750.54600000000005</v>
      </c>
      <c r="F65" s="96" t="s">
        <v>141</v>
      </c>
      <c r="T65" s="10"/>
      <c r="U65" s="30"/>
    </row>
    <row r="66" spans="1:21" x14ac:dyDescent="0.25">
      <c r="A66" s="39"/>
      <c r="B66" s="100"/>
      <c r="C66" s="100"/>
      <c r="D66" s="93"/>
      <c r="E66" s="93"/>
      <c r="F66" s="78"/>
      <c r="T66" s="10"/>
      <c r="U66" s="30"/>
    </row>
    <row r="67" spans="1:21" x14ac:dyDescent="0.25">
      <c r="A67" s="54" t="s">
        <v>157</v>
      </c>
      <c r="B67" s="100"/>
      <c r="C67" s="100"/>
      <c r="D67" s="93"/>
      <c r="E67" s="93">
        <f>+(E61+E63)/E65</f>
        <v>1609.1107218975262</v>
      </c>
      <c r="F67" s="78"/>
      <c r="T67" s="10"/>
      <c r="U67" s="30"/>
    </row>
    <row r="68" spans="1:21" x14ac:dyDescent="0.25">
      <c r="A68" s="78"/>
      <c r="B68" s="78"/>
      <c r="C68" s="78"/>
      <c r="D68" s="78"/>
      <c r="E68" s="78"/>
      <c r="F68" s="78"/>
      <c r="T68" s="10"/>
      <c r="U68" s="30"/>
    </row>
    <row r="69" spans="1:21" x14ac:dyDescent="0.25">
      <c r="A69" s="78"/>
      <c r="B69" s="78"/>
      <c r="C69" s="78"/>
      <c r="D69" s="78"/>
      <c r="E69" s="78"/>
      <c r="F69" s="78"/>
      <c r="T69" s="10"/>
      <c r="U69" s="30"/>
    </row>
    <row r="70" spans="1:21" x14ac:dyDescent="0.25">
      <c r="T70" s="10"/>
      <c r="U70" s="30"/>
    </row>
    <row r="71" spans="1:21" x14ac:dyDescent="0.25">
      <c r="T71" s="10"/>
      <c r="U71" s="30"/>
    </row>
    <row r="72" spans="1:21" x14ac:dyDescent="0.25">
      <c r="T72" s="10"/>
      <c r="U72" s="30"/>
    </row>
  </sheetData>
  <pageMargins left="0.75" right="0.75" top="1" bottom="1" header="0.5" footer="0.5"/>
  <pageSetup scale="45" orientation="landscape"/>
  <headerFooter alignWithMargins="0">
    <oddFooter>&amp;LLA Basin Stormwater Conservation Study_Project Costs&amp;R&amp;D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2"/>
  <sheetViews>
    <sheetView topLeftCell="A15" zoomScaleNormal="100" zoomScaleSheetLayoutView="80" workbookViewId="0">
      <selection activeCell="B27" sqref="B27"/>
    </sheetView>
  </sheetViews>
  <sheetFormatPr defaultRowHeight="13.2" x14ac:dyDescent="0.25"/>
  <cols>
    <col min="1" max="1" width="54.6640625" customWidth="1"/>
    <col min="4" max="4" width="13.88671875" bestFit="1" customWidth="1"/>
    <col min="5" max="5" width="15.44140625" customWidth="1"/>
    <col min="12" max="12" width="14.33203125" customWidth="1"/>
    <col min="13" max="13" width="28.6640625" customWidth="1"/>
    <col min="14" max="14" width="14" customWidth="1"/>
    <col min="15" max="15" width="17.109375" customWidth="1"/>
    <col min="16" max="16" width="16.5546875" customWidth="1"/>
    <col min="17" max="17" width="17.109375" customWidth="1"/>
    <col min="18" max="18" width="19.33203125" customWidth="1"/>
    <col min="19" max="19" width="11.44140625" customWidth="1"/>
    <col min="20" max="20" width="15" customWidth="1"/>
    <col min="21" max="21" width="26.33203125" customWidth="1"/>
    <col min="23" max="23" width="28.6640625" customWidth="1"/>
  </cols>
  <sheetData>
    <row r="1" spans="1:24" ht="14.4" x14ac:dyDescent="0.3">
      <c r="A1" s="1" t="str">
        <f>Summary!A1</f>
        <v>LACDPW Basin Study</v>
      </c>
      <c r="M1" s="45"/>
      <c r="N1" s="46"/>
      <c r="O1" s="45"/>
      <c r="P1" s="47"/>
      <c r="Q1" s="47"/>
      <c r="R1" s="47"/>
      <c r="S1" s="48"/>
    </row>
    <row r="2" spans="1:24" x14ac:dyDescent="0.25">
      <c r="A2" s="1" t="str">
        <f>Summary!A2</f>
        <v>N Summerville</v>
      </c>
      <c r="M2" s="49"/>
      <c r="N2" s="50"/>
      <c r="O2" s="49"/>
      <c r="P2" s="50"/>
      <c r="Q2" s="50"/>
      <c r="R2" s="50"/>
      <c r="S2" s="51"/>
    </row>
    <row r="3" spans="1:24" x14ac:dyDescent="0.25">
      <c r="A3" s="13">
        <f>Summary!A3</f>
        <v>42275</v>
      </c>
      <c r="M3" s="49"/>
      <c r="N3" s="49"/>
      <c r="O3" s="49"/>
      <c r="P3" s="51"/>
      <c r="Q3" s="51"/>
      <c r="R3" s="51"/>
      <c r="S3" s="51"/>
      <c r="T3" s="32"/>
      <c r="U3" s="32"/>
      <c r="V3" s="32"/>
    </row>
    <row r="4" spans="1:24" x14ac:dyDescent="0.25">
      <c r="M4" s="49"/>
      <c r="N4" s="50"/>
      <c r="O4" s="52"/>
      <c r="P4" s="53"/>
      <c r="Q4" s="53"/>
      <c r="R4" s="53"/>
      <c r="S4" s="51"/>
      <c r="T4" s="32"/>
      <c r="U4" s="32"/>
      <c r="V4" s="32"/>
    </row>
    <row r="5" spans="1:24" ht="13.8" thickBot="1" x14ac:dyDescent="0.3">
      <c r="A5" s="16" t="s">
        <v>118</v>
      </c>
      <c r="B5" s="17"/>
      <c r="C5" s="17"/>
      <c r="D5" s="17"/>
      <c r="E5" s="17"/>
      <c r="M5" s="49"/>
      <c r="N5" s="50"/>
      <c r="O5" s="52"/>
      <c r="P5" s="53"/>
      <c r="Q5" s="53"/>
      <c r="R5" s="53"/>
      <c r="S5" s="51"/>
      <c r="T5" s="32"/>
      <c r="U5" s="32"/>
      <c r="V5" s="32"/>
    </row>
    <row r="6" spans="1:24" x14ac:dyDescent="0.25">
      <c r="M6" s="76" t="s">
        <v>146</v>
      </c>
      <c r="N6" s="77"/>
      <c r="O6" s="78"/>
      <c r="P6" s="53"/>
      <c r="Q6" s="53"/>
      <c r="R6" s="53"/>
      <c r="S6" s="51"/>
      <c r="T6" s="32"/>
      <c r="U6" s="32"/>
      <c r="V6" s="32"/>
    </row>
    <row r="7" spans="1:24" x14ac:dyDescent="0.25">
      <c r="A7" s="130" t="s">
        <v>0</v>
      </c>
      <c r="B7" s="134" t="s">
        <v>1</v>
      </c>
      <c r="C7" s="134" t="s">
        <v>2</v>
      </c>
      <c r="D7" s="135" t="s">
        <v>3</v>
      </c>
      <c r="E7" s="135" t="s">
        <v>4</v>
      </c>
      <c r="F7" s="78"/>
      <c r="M7" s="78"/>
      <c r="N7" s="78"/>
      <c r="O7" s="77"/>
      <c r="P7" s="53"/>
      <c r="Q7" s="53"/>
      <c r="R7" s="53"/>
      <c r="S7" s="51"/>
      <c r="T7" s="32"/>
      <c r="U7" s="32"/>
      <c r="V7" s="32"/>
    </row>
    <row r="8" spans="1:24" x14ac:dyDescent="0.25">
      <c r="A8" s="92"/>
      <c r="B8" s="39"/>
      <c r="C8" s="39"/>
      <c r="D8" s="93"/>
      <c r="E8" s="93"/>
      <c r="F8" s="39"/>
      <c r="M8" s="79" t="s">
        <v>147</v>
      </c>
      <c r="N8" s="80" t="s">
        <v>4</v>
      </c>
      <c r="O8" s="91" t="s">
        <v>21</v>
      </c>
      <c r="P8" s="53"/>
      <c r="Q8" s="53"/>
      <c r="R8" s="53"/>
      <c r="S8" s="51"/>
      <c r="T8" s="32"/>
      <c r="U8" s="32"/>
      <c r="V8" s="32"/>
    </row>
    <row r="9" spans="1:24" x14ac:dyDescent="0.25">
      <c r="A9" s="63" t="s">
        <v>65</v>
      </c>
      <c r="B9" s="106" t="s">
        <v>66</v>
      </c>
      <c r="C9" s="137">
        <v>21110</v>
      </c>
      <c r="D9" s="138">
        <v>2.25</v>
      </c>
      <c r="E9" s="107">
        <f t="shared" ref="E9:E22" si="0">ROUND(D9*C9,-3)</f>
        <v>47000</v>
      </c>
      <c r="F9" s="9" t="s">
        <v>119</v>
      </c>
      <c r="M9" s="78"/>
      <c r="N9" s="81" t="s">
        <v>24</v>
      </c>
      <c r="O9" s="81" t="s">
        <v>24</v>
      </c>
      <c r="P9" s="53"/>
      <c r="Q9" s="53"/>
      <c r="R9" s="53"/>
      <c r="S9" s="51"/>
      <c r="T9" s="32"/>
      <c r="U9" s="32"/>
      <c r="V9" s="32"/>
    </row>
    <row r="10" spans="1:24" ht="12.75" customHeight="1" x14ac:dyDescent="0.25">
      <c r="A10" s="9" t="s">
        <v>67</v>
      </c>
      <c r="B10" s="89" t="s">
        <v>46</v>
      </c>
      <c r="C10" s="94">
        <v>23145</v>
      </c>
      <c r="D10" s="72">
        <v>25</v>
      </c>
      <c r="E10" s="95">
        <f t="shared" si="0"/>
        <v>579000</v>
      </c>
      <c r="F10" s="9" t="s">
        <v>120</v>
      </c>
      <c r="M10" s="78"/>
      <c r="N10" s="78"/>
      <c r="O10" s="78"/>
      <c r="P10" s="53"/>
      <c r="Q10" s="53"/>
      <c r="R10" s="53"/>
      <c r="S10" s="51"/>
      <c r="T10" s="32"/>
      <c r="U10" s="32"/>
      <c r="V10" s="32"/>
    </row>
    <row r="11" spans="1:24" x14ac:dyDescent="0.25">
      <c r="A11" s="9" t="s">
        <v>121</v>
      </c>
      <c r="B11" s="89" t="s">
        <v>41</v>
      </c>
      <c r="C11" s="94">
        <v>360</v>
      </c>
      <c r="D11" s="72">
        <v>40</v>
      </c>
      <c r="E11" s="95">
        <f t="shared" si="0"/>
        <v>14000</v>
      </c>
      <c r="F11" s="9" t="s">
        <v>122</v>
      </c>
      <c r="M11" s="6" t="s">
        <v>69</v>
      </c>
      <c r="N11" s="82">
        <f>E13</f>
        <v>700000</v>
      </c>
      <c r="O11" s="90">
        <f>+PMT(0.03375,50,-N11,0)</f>
        <v>29174.080875660737</v>
      </c>
      <c r="P11" s="53"/>
      <c r="Q11" s="53"/>
      <c r="R11" s="53"/>
      <c r="S11" s="51"/>
      <c r="T11" s="32"/>
      <c r="U11" s="32"/>
      <c r="V11" s="32"/>
    </row>
    <row r="12" spans="1:24" x14ac:dyDescent="0.25">
      <c r="A12" s="9" t="s">
        <v>81</v>
      </c>
      <c r="B12" s="89" t="s">
        <v>55</v>
      </c>
      <c r="C12" s="94">
        <v>4</v>
      </c>
      <c r="D12" s="73">
        <v>50000</v>
      </c>
      <c r="E12" s="95">
        <f t="shared" si="0"/>
        <v>200000</v>
      </c>
      <c r="F12" s="9" t="s">
        <v>123</v>
      </c>
      <c r="M12" s="49"/>
      <c r="N12" s="50"/>
      <c r="O12" s="52"/>
      <c r="P12" s="53"/>
      <c r="Q12" s="53"/>
      <c r="R12" s="53"/>
      <c r="S12" s="51"/>
      <c r="T12" s="32"/>
      <c r="U12" s="32"/>
      <c r="V12" s="32"/>
    </row>
    <row r="13" spans="1:24" x14ac:dyDescent="0.25">
      <c r="A13" s="9" t="s">
        <v>69</v>
      </c>
      <c r="B13" s="89" t="s">
        <v>55</v>
      </c>
      <c r="C13" s="94">
        <v>2</v>
      </c>
      <c r="D13" s="73">
        <v>350000</v>
      </c>
      <c r="E13" s="95">
        <f t="shared" si="0"/>
        <v>700000</v>
      </c>
      <c r="F13" s="9" t="s">
        <v>83</v>
      </c>
      <c r="M13" s="49"/>
      <c r="N13" s="50"/>
      <c r="O13" s="52"/>
      <c r="P13" s="53"/>
      <c r="Q13" s="53"/>
      <c r="R13" s="53"/>
      <c r="S13" s="51"/>
      <c r="T13" s="32"/>
      <c r="U13" s="32"/>
      <c r="V13" s="32"/>
    </row>
    <row r="14" spans="1:24" x14ac:dyDescent="0.25">
      <c r="A14" s="9" t="s">
        <v>61</v>
      </c>
      <c r="B14" s="89" t="s">
        <v>55</v>
      </c>
      <c r="C14" s="94">
        <v>2</v>
      </c>
      <c r="D14" s="73">
        <v>15000</v>
      </c>
      <c r="E14" s="95">
        <f t="shared" si="0"/>
        <v>30000</v>
      </c>
      <c r="F14" s="9"/>
      <c r="M14" s="49"/>
      <c r="N14" s="50"/>
      <c r="O14" s="52"/>
      <c r="P14" s="53"/>
      <c r="Q14" s="53"/>
      <c r="R14" s="53"/>
      <c r="S14" s="51"/>
      <c r="T14" s="32"/>
      <c r="U14" s="32"/>
      <c r="V14" s="32"/>
    </row>
    <row r="15" spans="1:24" x14ac:dyDescent="0.25">
      <c r="A15" s="9" t="s">
        <v>62</v>
      </c>
      <c r="B15" s="89" t="s">
        <v>55</v>
      </c>
      <c r="C15" s="94">
        <v>4</v>
      </c>
      <c r="D15" s="73">
        <v>450000</v>
      </c>
      <c r="E15" s="95">
        <f t="shared" si="0"/>
        <v>1800000</v>
      </c>
      <c r="F15" s="9"/>
      <c r="M15" s="49"/>
      <c r="N15" s="50"/>
      <c r="O15" s="52"/>
      <c r="P15" s="53"/>
      <c r="Q15" s="53"/>
      <c r="R15" s="53"/>
      <c r="S15" s="51"/>
      <c r="T15" s="32"/>
      <c r="U15" s="32"/>
      <c r="V15" s="32"/>
    </row>
    <row r="16" spans="1:24" x14ac:dyDescent="0.25">
      <c r="A16" s="9" t="s">
        <v>63</v>
      </c>
      <c r="B16" s="89" t="s">
        <v>55</v>
      </c>
      <c r="C16" s="94">
        <v>4</v>
      </c>
      <c r="D16" s="73">
        <v>5000</v>
      </c>
      <c r="E16" s="95">
        <f t="shared" si="0"/>
        <v>20000</v>
      </c>
      <c r="F16" s="9"/>
      <c r="L16" s="40"/>
      <c r="M16" s="49"/>
      <c r="N16" s="50"/>
      <c r="O16" s="52"/>
      <c r="P16" s="53"/>
      <c r="Q16" s="53"/>
      <c r="R16" s="53"/>
      <c r="S16" s="51"/>
      <c r="T16" s="32"/>
      <c r="U16" s="32"/>
      <c r="V16" s="32"/>
      <c r="X16" s="39"/>
    </row>
    <row r="17" spans="1:24" x14ac:dyDescent="0.25">
      <c r="A17" s="9" t="s">
        <v>86</v>
      </c>
      <c r="B17" s="89" t="s">
        <v>39</v>
      </c>
      <c r="C17" s="94">
        <v>1</v>
      </c>
      <c r="D17" s="73">
        <v>70000</v>
      </c>
      <c r="E17" s="95">
        <f t="shared" si="0"/>
        <v>70000</v>
      </c>
      <c r="F17" s="9"/>
      <c r="L17" s="40"/>
      <c r="M17" s="49"/>
      <c r="N17" s="50"/>
      <c r="O17" s="52"/>
      <c r="P17" s="53"/>
      <c r="Q17" s="53"/>
      <c r="R17" s="53"/>
      <c r="S17" s="51"/>
      <c r="T17" s="32"/>
      <c r="U17" s="32"/>
      <c r="V17" s="32"/>
      <c r="X17" s="39"/>
    </row>
    <row r="18" spans="1:24" x14ac:dyDescent="0.25">
      <c r="A18" s="9" t="s">
        <v>85</v>
      </c>
      <c r="B18" s="89" t="s">
        <v>39</v>
      </c>
      <c r="C18" s="94">
        <v>1</v>
      </c>
      <c r="D18" s="73">
        <v>40000</v>
      </c>
      <c r="E18" s="95">
        <f t="shared" si="0"/>
        <v>40000</v>
      </c>
      <c r="F18" s="9"/>
      <c r="L18" s="40"/>
      <c r="M18" s="49"/>
      <c r="N18" s="50"/>
      <c r="O18" s="52"/>
      <c r="P18" s="53"/>
      <c r="Q18" s="53"/>
      <c r="R18" s="53"/>
      <c r="S18" s="51"/>
      <c r="T18" s="41"/>
      <c r="U18" s="32"/>
      <c r="V18" s="32"/>
      <c r="X18" s="39"/>
    </row>
    <row r="19" spans="1:24" ht="14.4" x14ac:dyDescent="0.3">
      <c r="A19" s="9" t="s">
        <v>102</v>
      </c>
      <c r="B19" s="89" t="s">
        <v>39</v>
      </c>
      <c r="C19" s="94">
        <v>1</v>
      </c>
      <c r="D19" s="73">
        <v>30000</v>
      </c>
      <c r="E19" s="95">
        <f t="shared" si="0"/>
        <v>30000</v>
      </c>
      <c r="F19" s="9"/>
      <c r="L19" s="41"/>
      <c r="U19" s="42"/>
      <c r="V19" s="41"/>
      <c r="W19" s="43"/>
      <c r="X19" s="39"/>
    </row>
    <row r="20" spans="1:24" x14ac:dyDescent="0.25">
      <c r="A20" s="9" t="s">
        <v>87</v>
      </c>
      <c r="B20" s="89" t="s">
        <v>39</v>
      </c>
      <c r="C20" s="94">
        <v>1</v>
      </c>
      <c r="D20" s="73">
        <v>15000</v>
      </c>
      <c r="E20" s="95">
        <f t="shared" si="0"/>
        <v>15000</v>
      </c>
      <c r="F20" s="9"/>
      <c r="L20" s="41"/>
      <c r="M20" s="42"/>
      <c r="N20" s="41"/>
      <c r="O20" s="41"/>
      <c r="P20" s="41"/>
      <c r="Q20" s="41"/>
      <c r="R20" s="41"/>
      <c r="S20" s="41"/>
      <c r="T20" s="41"/>
      <c r="U20" s="42"/>
      <c r="V20" s="41"/>
      <c r="W20" s="42"/>
      <c r="X20" s="39"/>
    </row>
    <row r="21" spans="1:24" ht="14.4" x14ac:dyDescent="0.3">
      <c r="A21" s="9" t="s">
        <v>88</v>
      </c>
      <c r="B21" s="89" t="s">
        <v>41</v>
      </c>
      <c r="C21" s="94">
        <v>250</v>
      </c>
      <c r="D21" s="72">
        <v>216</v>
      </c>
      <c r="E21" s="95">
        <f t="shared" si="0"/>
        <v>54000</v>
      </c>
      <c r="F21" s="9"/>
      <c r="L21" s="41"/>
      <c r="M21" s="26" t="s">
        <v>36</v>
      </c>
      <c r="N21" s="10"/>
      <c r="O21" s="10"/>
      <c r="P21" s="10"/>
      <c r="R21" s="41"/>
      <c r="S21" s="41"/>
      <c r="T21" s="21"/>
      <c r="U21" s="23"/>
      <c r="V21" s="41"/>
      <c r="W21" s="43"/>
      <c r="X21" s="39"/>
    </row>
    <row r="22" spans="1:24" x14ac:dyDescent="0.25">
      <c r="A22" s="9" t="s">
        <v>103</v>
      </c>
      <c r="B22" s="89" t="s">
        <v>41</v>
      </c>
      <c r="C22" s="94">
        <v>175</v>
      </c>
      <c r="D22" s="72">
        <v>2000</v>
      </c>
      <c r="E22" s="95">
        <f t="shared" si="0"/>
        <v>350000</v>
      </c>
      <c r="F22" s="9"/>
      <c r="L22" s="41"/>
      <c r="M22" s="10"/>
      <c r="N22" s="10"/>
      <c r="O22" s="10"/>
      <c r="P22" s="10"/>
      <c r="R22" s="41"/>
      <c r="S22" s="41"/>
      <c r="V22" s="41"/>
      <c r="W22" s="44"/>
      <c r="X22" s="39"/>
    </row>
    <row r="23" spans="1:24" x14ac:dyDescent="0.25">
      <c r="A23" s="97" t="s">
        <v>6</v>
      </c>
      <c r="B23" s="98"/>
      <c r="C23" s="98"/>
      <c r="D23" s="99"/>
      <c r="E23" s="99">
        <f>SUM(E9:E22)</f>
        <v>3949000</v>
      </c>
      <c r="F23" s="78"/>
      <c r="L23" s="41"/>
      <c r="M23" s="27" t="s">
        <v>16</v>
      </c>
      <c r="N23" s="28"/>
      <c r="O23" s="24" t="s">
        <v>19</v>
      </c>
      <c r="P23" s="24" t="s">
        <v>21</v>
      </c>
      <c r="R23" s="41"/>
      <c r="S23" s="41"/>
      <c r="T23" s="10"/>
      <c r="U23" s="30"/>
      <c r="V23" s="41"/>
      <c r="W23" s="42"/>
      <c r="X23" s="39"/>
    </row>
    <row r="24" spans="1:24" x14ac:dyDescent="0.25">
      <c r="A24" s="78"/>
      <c r="B24" s="100"/>
      <c r="C24" s="100"/>
      <c r="D24" s="93"/>
      <c r="E24" s="93"/>
      <c r="F24" s="39"/>
      <c r="M24" s="24" t="s">
        <v>17</v>
      </c>
      <c r="N24" s="24" t="s">
        <v>18</v>
      </c>
      <c r="O24" s="24" t="s">
        <v>20</v>
      </c>
      <c r="P24" s="24" t="s">
        <v>24</v>
      </c>
      <c r="T24" s="10"/>
      <c r="U24" s="30"/>
    </row>
    <row r="25" spans="1:24" x14ac:dyDescent="0.25">
      <c r="A25" s="101" t="s">
        <v>70</v>
      </c>
      <c r="B25" s="102"/>
      <c r="C25" s="102"/>
      <c r="D25" s="103"/>
      <c r="E25" s="103"/>
      <c r="F25" s="78"/>
      <c r="M25" s="10"/>
      <c r="N25" s="10"/>
      <c r="O25" s="10"/>
      <c r="P25" s="10"/>
      <c r="T25" s="10"/>
      <c r="U25" s="30"/>
    </row>
    <row r="26" spans="1:24" x14ac:dyDescent="0.25">
      <c r="A26" s="9" t="s">
        <v>71</v>
      </c>
      <c r="B26" s="148">
        <f>B53*0.1*0.6</f>
        <v>0.25000000000000006</v>
      </c>
      <c r="C26" s="89" t="s">
        <v>72</v>
      </c>
      <c r="D26" s="93">
        <v>35000</v>
      </c>
      <c r="E26" s="93">
        <f t="shared" ref="E26" si="1">+B26*D26</f>
        <v>8750.0000000000018</v>
      </c>
      <c r="F26" s="96" t="s">
        <v>94</v>
      </c>
      <c r="M26" s="10">
        <v>100</v>
      </c>
      <c r="N26" s="25">
        <f>0.746*M26*3*30.4*24</f>
        <v>163284.47999999998</v>
      </c>
      <c r="O26" s="29">
        <v>0.15</v>
      </c>
      <c r="P26" s="30">
        <f>+N26*O26</f>
        <v>24492.671999999995</v>
      </c>
      <c r="T26" s="10"/>
      <c r="U26" s="30"/>
    </row>
    <row r="27" spans="1:24" x14ac:dyDescent="0.25">
      <c r="A27" s="97" t="s">
        <v>6</v>
      </c>
      <c r="B27" s="98"/>
      <c r="C27" s="98"/>
      <c r="D27" s="99"/>
      <c r="E27" s="99">
        <f>SUM(E26:E26)</f>
        <v>8750.0000000000018</v>
      </c>
      <c r="F27" s="78"/>
      <c r="M27" s="10"/>
      <c r="N27" s="10"/>
      <c r="O27" s="10"/>
      <c r="P27" s="10"/>
      <c r="T27" s="10"/>
      <c r="U27" s="30"/>
    </row>
    <row r="28" spans="1:24" x14ac:dyDescent="0.25">
      <c r="A28" s="9"/>
      <c r="B28" s="100"/>
      <c r="C28" s="100"/>
      <c r="D28" s="93"/>
      <c r="E28" s="104"/>
      <c r="F28" s="78"/>
      <c r="M28" s="24" t="s">
        <v>22</v>
      </c>
      <c r="N28" s="24" t="s">
        <v>21</v>
      </c>
      <c r="O28" s="24" t="s">
        <v>26</v>
      </c>
      <c r="Q28" s="24"/>
      <c r="T28" s="10"/>
      <c r="U28" s="30"/>
    </row>
    <row r="29" spans="1:24" x14ac:dyDescent="0.25">
      <c r="A29" s="54" t="s">
        <v>74</v>
      </c>
      <c r="B29" s="100"/>
      <c r="C29" s="100"/>
      <c r="D29" s="93"/>
      <c r="E29" s="93"/>
      <c r="F29" s="78"/>
      <c r="M29" s="24" t="s">
        <v>23</v>
      </c>
      <c r="N29" s="24" t="s">
        <v>24</v>
      </c>
      <c r="O29" s="24" t="s">
        <v>27</v>
      </c>
      <c r="Q29" s="24"/>
      <c r="T29" s="10"/>
      <c r="U29" s="30"/>
    </row>
    <row r="30" spans="1:24" x14ac:dyDescent="0.25">
      <c r="A30" s="63" t="s">
        <v>75</v>
      </c>
      <c r="B30" s="136">
        <v>2600</v>
      </c>
      <c r="C30" s="106" t="s">
        <v>5</v>
      </c>
      <c r="D30" s="99">
        <v>25</v>
      </c>
      <c r="E30" s="99">
        <f>+B30*D30</f>
        <v>65000</v>
      </c>
      <c r="F30" s="96" t="s">
        <v>95</v>
      </c>
      <c r="M30" s="10"/>
      <c r="N30" s="10"/>
      <c r="O30" s="10"/>
      <c r="T30" s="10"/>
      <c r="U30" s="30"/>
    </row>
    <row r="31" spans="1:24" x14ac:dyDescent="0.25">
      <c r="A31" s="97" t="s">
        <v>6</v>
      </c>
      <c r="B31" s="98"/>
      <c r="C31" s="98"/>
      <c r="D31" s="99"/>
      <c r="E31" s="99">
        <f>SUM(E30)</f>
        <v>65000</v>
      </c>
      <c r="F31" s="78"/>
      <c r="M31" s="31">
        <v>0.05</v>
      </c>
      <c r="N31" s="29">
        <f>+M31*SUM(E9:E34)/2</f>
        <v>221251.25</v>
      </c>
      <c r="O31" s="10">
        <v>50</v>
      </c>
      <c r="Q31" s="2"/>
      <c r="T31" s="56"/>
      <c r="U31" s="30"/>
    </row>
    <row r="32" spans="1:24" x14ac:dyDescent="0.25">
      <c r="A32" s="113"/>
      <c r="B32" s="113"/>
      <c r="C32" s="113"/>
      <c r="D32" s="113"/>
      <c r="E32" s="113"/>
      <c r="F32" s="78"/>
      <c r="T32" s="10"/>
      <c r="U32" s="30"/>
    </row>
    <row r="33" spans="1:21" x14ac:dyDescent="0.25">
      <c r="A33" s="109" t="s">
        <v>138</v>
      </c>
      <c r="B33" s="110">
        <v>10</v>
      </c>
      <c r="C33" s="110" t="s">
        <v>7</v>
      </c>
      <c r="D33" s="111">
        <f>SUM(E9:E31)/2</f>
        <v>4022750</v>
      </c>
      <c r="E33" s="112">
        <f>D33*B33/100</f>
        <v>402275</v>
      </c>
      <c r="F33" s="96"/>
      <c r="T33" s="10"/>
      <c r="U33" s="30"/>
    </row>
    <row r="34" spans="1:21" x14ac:dyDescent="0.25">
      <c r="A34" s="78" t="s">
        <v>6</v>
      </c>
      <c r="B34" s="91"/>
      <c r="C34" s="91"/>
      <c r="D34" s="108"/>
      <c r="E34" s="108">
        <f>SUM(E33)</f>
        <v>402275</v>
      </c>
      <c r="F34" s="96"/>
      <c r="T34" s="10"/>
      <c r="U34" s="30"/>
    </row>
    <row r="35" spans="1:21" x14ac:dyDescent="0.25">
      <c r="A35" s="113"/>
      <c r="B35" s="91"/>
      <c r="C35" s="91"/>
      <c r="D35" s="108"/>
      <c r="E35" s="108"/>
      <c r="F35" s="78"/>
      <c r="T35" s="10"/>
      <c r="U35" s="30"/>
    </row>
    <row r="36" spans="1:21" x14ac:dyDescent="0.25">
      <c r="A36" s="109" t="s">
        <v>8</v>
      </c>
      <c r="B36" s="110">
        <v>10</v>
      </c>
      <c r="C36" s="110" t="s">
        <v>7</v>
      </c>
      <c r="D36" s="111">
        <f>SUM(E9:E34)/2</f>
        <v>4425025</v>
      </c>
      <c r="E36" s="112">
        <f>D36*B36/100</f>
        <v>442502.5</v>
      </c>
      <c r="F36" s="78"/>
      <c r="T36" s="10"/>
      <c r="U36" s="30"/>
    </row>
    <row r="37" spans="1:21" x14ac:dyDescent="0.25">
      <c r="A37" s="78" t="s">
        <v>6</v>
      </c>
      <c r="B37" s="91"/>
      <c r="C37" s="91"/>
      <c r="D37" s="108"/>
      <c r="E37" s="108">
        <f>SUM(E36)</f>
        <v>442502.5</v>
      </c>
      <c r="F37" s="78"/>
      <c r="T37" s="10"/>
      <c r="U37" s="30"/>
    </row>
    <row r="38" spans="1:21" x14ac:dyDescent="0.25">
      <c r="A38" s="78"/>
      <c r="B38" s="91"/>
      <c r="C38" s="91"/>
      <c r="D38" s="108"/>
      <c r="E38" s="108"/>
      <c r="F38" s="78"/>
      <c r="T38" s="10"/>
      <c r="U38" s="30"/>
    </row>
    <row r="39" spans="1:21" x14ac:dyDescent="0.25">
      <c r="A39" s="109" t="s">
        <v>10</v>
      </c>
      <c r="B39" s="110"/>
      <c r="C39" s="110"/>
      <c r="D39" s="95"/>
      <c r="E39" s="95"/>
      <c r="F39" s="78"/>
      <c r="T39" s="10"/>
      <c r="U39" s="30"/>
    </row>
    <row r="40" spans="1:21" x14ac:dyDescent="0.25">
      <c r="A40" s="87" t="s">
        <v>148</v>
      </c>
      <c r="B40" s="88">
        <v>10</v>
      </c>
      <c r="C40" s="88" t="s">
        <v>7</v>
      </c>
      <c r="D40" s="114">
        <f>SUM(E9:E37)/2</f>
        <v>4867527.5</v>
      </c>
      <c r="E40" s="107">
        <f>D40*B40/100</f>
        <v>486752.75</v>
      </c>
      <c r="F40" s="78"/>
      <c r="T40" s="10"/>
      <c r="U40" s="30"/>
    </row>
    <row r="41" spans="1:21" x14ac:dyDescent="0.25">
      <c r="A41" s="9" t="s">
        <v>149</v>
      </c>
      <c r="B41" s="100">
        <v>15</v>
      </c>
      <c r="C41" s="89" t="s">
        <v>7</v>
      </c>
      <c r="D41" s="115">
        <f>SUM(E9:E37)/2</f>
        <v>4867527.5</v>
      </c>
      <c r="E41" s="95">
        <f>D41*B41/100</f>
        <v>730129.125</v>
      </c>
      <c r="F41" s="78"/>
      <c r="T41" s="10"/>
      <c r="U41" s="30"/>
    </row>
    <row r="42" spans="1:21" x14ac:dyDescent="0.25">
      <c r="A42" s="9" t="s">
        <v>15</v>
      </c>
      <c r="B42" s="100">
        <v>11</v>
      </c>
      <c r="C42" s="89" t="s">
        <v>7</v>
      </c>
      <c r="D42" s="115">
        <f>SUM(E9:E37)/2+SUM(D40:D41)+SUM(D43:D45)</f>
        <v>29205165</v>
      </c>
      <c r="E42" s="95">
        <f t="shared" ref="E42:E45" si="2">D42*B42/100</f>
        <v>3212568.15</v>
      </c>
      <c r="F42" s="78"/>
      <c r="T42" s="10"/>
      <c r="U42" s="30"/>
    </row>
    <row r="43" spans="1:21" x14ac:dyDescent="0.25">
      <c r="A43" s="9" t="s">
        <v>11</v>
      </c>
      <c r="B43" s="100">
        <v>5</v>
      </c>
      <c r="C43" s="89" t="s">
        <v>7</v>
      </c>
      <c r="D43" s="115">
        <f>SUM(E9:E37)/2</f>
        <v>4867527.5</v>
      </c>
      <c r="E43" s="95">
        <f t="shared" si="2"/>
        <v>243376.375</v>
      </c>
      <c r="F43" s="78"/>
      <c r="T43" s="10"/>
      <c r="U43" s="30"/>
    </row>
    <row r="44" spans="1:21" x14ac:dyDescent="0.25">
      <c r="A44" s="9" t="s">
        <v>12</v>
      </c>
      <c r="B44" s="100">
        <v>10</v>
      </c>
      <c r="C44" s="89" t="s">
        <v>7</v>
      </c>
      <c r="D44" s="115">
        <f>SUM(E9:E37)/2</f>
        <v>4867527.5</v>
      </c>
      <c r="E44" s="95">
        <f t="shared" si="2"/>
        <v>486752.75</v>
      </c>
      <c r="F44" s="96"/>
      <c r="T44" s="10"/>
      <c r="U44" s="30"/>
    </row>
    <row r="45" spans="1:21" x14ac:dyDescent="0.25">
      <c r="A45" s="15" t="s">
        <v>13</v>
      </c>
      <c r="B45" s="102">
        <v>10</v>
      </c>
      <c r="C45" s="110" t="s">
        <v>7</v>
      </c>
      <c r="D45" s="111">
        <f>SUM(E9:E37)/2</f>
        <v>4867527.5</v>
      </c>
      <c r="E45" s="112">
        <f t="shared" si="2"/>
        <v>486752.75</v>
      </c>
      <c r="F45" s="78"/>
      <c r="T45" s="10"/>
      <c r="U45" s="30"/>
    </row>
    <row r="46" spans="1:21" x14ac:dyDescent="0.25">
      <c r="A46" s="78" t="s">
        <v>6</v>
      </c>
      <c r="B46" s="116"/>
      <c r="C46" s="116"/>
      <c r="D46" s="104"/>
      <c r="E46" s="104">
        <f>SUM(E40:E45)</f>
        <v>5646331.9000000004</v>
      </c>
      <c r="F46" s="78"/>
      <c r="M46" s="24"/>
      <c r="N46" s="24"/>
      <c r="O46" s="24"/>
      <c r="P46" s="10"/>
      <c r="T46" s="10"/>
      <c r="U46" s="30"/>
    </row>
    <row r="47" spans="1:21" x14ac:dyDescent="0.25">
      <c r="A47" s="54"/>
      <c r="B47" s="100"/>
      <c r="C47" s="100"/>
      <c r="D47" s="93"/>
      <c r="E47" s="117"/>
      <c r="F47" s="78"/>
      <c r="M47" s="24"/>
      <c r="N47" s="24"/>
      <c r="O47" s="24"/>
      <c r="P47" s="10"/>
      <c r="T47" s="10"/>
      <c r="U47" s="30"/>
    </row>
    <row r="48" spans="1:21" x14ac:dyDescent="0.25">
      <c r="A48" s="109" t="s">
        <v>14</v>
      </c>
      <c r="B48" s="118"/>
      <c r="C48" s="118"/>
      <c r="D48" s="119"/>
      <c r="E48" s="119"/>
      <c r="F48" s="78"/>
      <c r="M48" s="24"/>
      <c r="N48" s="24"/>
      <c r="O48" s="24"/>
      <c r="P48" s="10"/>
      <c r="T48" s="10"/>
      <c r="U48" s="30"/>
    </row>
    <row r="49" spans="1:21" x14ac:dyDescent="0.25">
      <c r="A49" s="120" t="s">
        <v>14</v>
      </c>
      <c r="B49" s="121">
        <v>30</v>
      </c>
      <c r="C49" s="122" t="s">
        <v>7</v>
      </c>
      <c r="D49" s="123">
        <f>SUM(E9:E46)/2</f>
        <v>10513859.4</v>
      </c>
      <c r="E49" s="124">
        <f>D49*B49/100</f>
        <v>3154157.82</v>
      </c>
      <c r="F49" s="78"/>
      <c r="M49" s="24"/>
      <c r="N49" s="24"/>
      <c r="O49" s="24"/>
      <c r="P49" s="10"/>
      <c r="T49" s="10"/>
      <c r="U49" s="30"/>
    </row>
    <row r="50" spans="1:21" x14ac:dyDescent="0.25">
      <c r="A50" s="78" t="s">
        <v>6</v>
      </c>
      <c r="B50" s="116"/>
      <c r="C50" s="116"/>
      <c r="D50" s="104"/>
      <c r="E50" s="104">
        <f>SUM(E49)</f>
        <v>3154157.82</v>
      </c>
      <c r="F50" s="78"/>
      <c r="M50" s="24"/>
      <c r="N50" s="24"/>
      <c r="O50" s="24"/>
      <c r="P50" s="10"/>
      <c r="T50" s="10"/>
      <c r="U50" s="30"/>
    </row>
    <row r="51" spans="1:21" x14ac:dyDescent="0.25">
      <c r="A51" s="78"/>
      <c r="B51" s="78"/>
      <c r="C51" s="78"/>
      <c r="D51" s="78"/>
      <c r="E51" s="78"/>
      <c r="F51" s="78"/>
      <c r="M51" s="24"/>
      <c r="N51" s="24"/>
      <c r="O51" s="24"/>
      <c r="P51" s="10"/>
      <c r="T51" s="10"/>
      <c r="U51" s="30"/>
    </row>
    <row r="52" spans="1:21" s="55" customFormat="1" x14ac:dyDescent="0.25">
      <c r="A52" s="109" t="s">
        <v>151</v>
      </c>
      <c r="B52" s="118"/>
      <c r="C52" s="118"/>
      <c r="D52" s="119"/>
      <c r="E52" s="119"/>
      <c r="F52" s="113"/>
      <c r="M52" s="56"/>
      <c r="N52" s="56"/>
      <c r="O52" s="56"/>
      <c r="P52" s="56"/>
      <c r="T52" s="10"/>
      <c r="U52" s="30"/>
    </row>
    <row r="53" spans="1:21" x14ac:dyDescent="0.25">
      <c r="A53" s="15" t="s">
        <v>73</v>
      </c>
      <c r="B53" s="125">
        <f>2.5/0.6</f>
        <v>4.166666666666667</v>
      </c>
      <c r="C53" s="110" t="s">
        <v>72</v>
      </c>
      <c r="D53" s="112">
        <v>500000</v>
      </c>
      <c r="E53" s="112">
        <f>B53*D53</f>
        <v>2083333.3333333335</v>
      </c>
      <c r="F53" s="96" t="s">
        <v>152</v>
      </c>
      <c r="M53" s="10"/>
      <c r="N53" s="25"/>
      <c r="O53" s="19"/>
      <c r="P53" s="10"/>
      <c r="T53" s="10"/>
      <c r="U53" s="30"/>
    </row>
    <row r="54" spans="1:21" x14ac:dyDescent="0.25">
      <c r="A54" s="96" t="s">
        <v>6</v>
      </c>
      <c r="B54" s="91"/>
      <c r="C54" s="91"/>
      <c r="D54" s="108"/>
      <c r="E54" s="108">
        <f>SUM(E53)</f>
        <v>2083333.3333333335</v>
      </c>
      <c r="F54" s="96" t="s">
        <v>150</v>
      </c>
      <c r="M54" s="10"/>
      <c r="N54" s="10"/>
      <c r="O54" s="10"/>
      <c r="P54" s="10"/>
      <c r="T54" s="10"/>
      <c r="U54" s="30"/>
    </row>
    <row r="55" spans="1:21" x14ac:dyDescent="0.25">
      <c r="A55" s="78"/>
      <c r="B55" s="78"/>
      <c r="C55" s="78"/>
      <c r="D55" s="78"/>
      <c r="E55" s="78"/>
      <c r="F55" s="78"/>
      <c r="T55" s="10"/>
      <c r="U55" s="30"/>
    </row>
    <row r="56" spans="1:21" x14ac:dyDescent="0.25">
      <c r="A56" s="78"/>
      <c r="B56" s="78"/>
      <c r="C56" s="78"/>
      <c r="D56" s="78"/>
      <c r="E56" s="78"/>
      <c r="F56" s="104"/>
      <c r="T56" s="10"/>
      <c r="U56" s="30"/>
    </row>
    <row r="57" spans="1:21" x14ac:dyDescent="0.25">
      <c r="A57" s="54" t="s">
        <v>153</v>
      </c>
      <c r="B57" s="100"/>
      <c r="C57" s="78"/>
      <c r="D57" s="116"/>
      <c r="E57" s="126">
        <f>SUM(E9:E50)/2</f>
        <v>13668017.220000001</v>
      </c>
      <c r="F57" s="78"/>
      <c r="T57" s="10"/>
      <c r="U57" s="30"/>
    </row>
    <row r="58" spans="1:21" x14ac:dyDescent="0.25">
      <c r="A58" s="78"/>
      <c r="B58" s="100"/>
      <c r="C58" s="100"/>
      <c r="D58" s="93"/>
      <c r="E58" s="127"/>
      <c r="F58" s="78"/>
      <c r="T58" s="10"/>
      <c r="U58" s="30"/>
    </row>
    <row r="59" spans="1:21" x14ac:dyDescent="0.25">
      <c r="A59" s="54" t="s">
        <v>154</v>
      </c>
      <c r="B59" s="128"/>
      <c r="C59" s="100"/>
      <c r="D59" s="93"/>
      <c r="E59" s="104">
        <f>E54</f>
        <v>2083333.3333333335</v>
      </c>
      <c r="F59" s="78"/>
      <c r="T59" s="10"/>
      <c r="U59" s="30"/>
    </row>
    <row r="60" spans="1:21" x14ac:dyDescent="0.25">
      <c r="A60" s="78"/>
      <c r="B60" s="100"/>
      <c r="C60" s="100"/>
      <c r="D60" s="93"/>
      <c r="E60" s="93"/>
      <c r="F60" s="78"/>
      <c r="T60" s="10"/>
      <c r="U60" s="30"/>
    </row>
    <row r="61" spans="1:21" x14ac:dyDescent="0.25">
      <c r="A61" s="54" t="s">
        <v>155</v>
      </c>
      <c r="B61" s="78"/>
      <c r="C61" s="78"/>
      <c r="D61" s="78"/>
      <c r="E61" s="129">
        <f>+PMT(0.03375,50,-E57-E59,0)</f>
        <v>656473.10706261452</v>
      </c>
      <c r="F61" s="96" t="s">
        <v>156</v>
      </c>
      <c r="T61" s="10"/>
      <c r="U61" s="30"/>
    </row>
    <row r="62" spans="1:21" x14ac:dyDescent="0.25">
      <c r="A62" s="78"/>
      <c r="B62" s="78"/>
      <c r="C62" s="78"/>
      <c r="D62" s="78"/>
      <c r="E62" s="78"/>
      <c r="F62" s="78"/>
      <c r="T62" s="10"/>
      <c r="U62" s="30"/>
    </row>
    <row r="63" spans="1:21" x14ac:dyDescent="0.25">
      <c r="A63" s="130" t="s">
        <v>25</v>
      </c>
      <c r="B63" s="39"/>
      <c r="C63" s="39"/>
      <c r="D63" s="93"/>
      <c r="E63" s="93">
        <f>N31+P26+O11</f>
        <v>274918.00287566072</v>
      </c>
      <c r="F63" s="78"/>
      <c r="T63" s="10"/>
      <c r="U63" s="30"/>
    </row>
    <row r="64" spans="1:21" x14ac:dyDescent="0.25">
      <c r="A64" s="54"/>
      <c r="B64" s="100"/>
      <c r="C64" s="100"/>
      <c r="D64" s="93"/>
      <c r="E64" s="93"/>
      <c r="F64" s="78"/>
      <c r="T64" s="10"/>
      <c r="U64" s="30"/>
    </row>
    <row r="65" spans="1:21" x14ac:dyDescent="0.25">
      <c r="A65" s="130" t="s">
        <v>35</v>
      </c>
      <c r="B65" s="78"/>
      <c r="C65" s="78"/>
      <c r="D65" s="78"/>
      <c r="E65" s="131">
        <f>2.5*277.98</f>
        <v>694.95</v>
      </c>
      <c r="F65" s="96" t="s">
        <v>141</v>
      </c>
      <c r="T65" s="10"/>
      <c r="U65" s="30"/>
    </row>
    <row r="66" spans="1:21" x14ac:dyDescent="0.25">
      <c r="A66" s="39"/>
      <c r="B66" s="100"/>
      <c r="C66" s="100"/>
      <c r="D66" s="93"/>
      <c r="E66" s="93"/>
      <c r="F66" s="78"/>
      <c r="T66" s="10"/>
      <c r="U66" s="30"/>
    </row>
    <row r="67" spans="1:21" x14ac:dyDescent="0.25">
      <c r="A67" s="54" t="s">
        <v>157</v>
      </c>
      <c r="B67" s="100"/>
      <c r="C67" s="100"/>
      <c r="D67" s="93"/>
      <c r="E67" s="93">
        <f>+(E61+E63)/E65</f>
        <v>1340.227512681884</v>
      </c>
      <c r="F67" s="78"/>
      <c r="T67" s="10"/>
      <c r="U67" s="30"/>
    </row>
    <row r="68" spans="1:21" x14ac:dyDescent="0.25">
      <c r="A68" s="78"/>
      <c r="B68" s="78"/>
      <c r="C68" s="78"/>
      <c r="D68" s="78"/>
      <c r="E68" s="78"/>
      <c r="F68" s="78"/>
      <c r="T68" s="10"/>
      <c r="U68" s="30"/>
    </row>
    <row r="69" spans="1:21" x14ac:dyDescent="0.25">
      <c r="A69" s="78"/>
      <c r="B69" s="78"/>
      <c r="C69" s="78"/>
      <c r="D69" s="78"/>
      <c r="E69" s="78"/>
      <c r="F69" s="78"/>
      <c r="T69" s="10"/>
      <c r="U69" s="30"/>
    </row>
    <row r="70" spans="1:21" x14ac:dyDescent="0.25">
      <c r="T70" s="10"/>
      <c r="U70" s="30"/>
    </row>
    <row r="71" spans="1:21" x14ac:dyDescent="0.25">
      <c r="T71" s="10"/>
      <c r="U71" s="30"/>
    </row>
    <row r="72" spans="1:21" x14ac:dyDescent="0.25">
      <c r="T72" s="10"/>
      <c r="U72" s="30"/>
    </row>
  </sheetData>
  <pageMargins left="0.75" right="0.75" top="1" bottom="1" header="0.5" footer="0.5"/>
  <pageSetup scale="46" orientation="landscape"/>
  <headerFooter alignWithMargins="0">
    <oddFooter>&amp;LLA Basin Stormwater Conservation Study_Project Costs&amp;R&amp;D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2"/>
  <sheetViews>
    <sheetView topLeftCell="A21" zoomScaleNormal="100" zoomScaleSheetLayoutView="80" workbookViewId="0">
      <selection activeCell="F18" sqref="F18"/>
    </sheetView>
  </sheetViews>
  <sheetFormatPr defaultRowHeight="13.2" x14ac:dyDescent="0.25"/>
  <cols>
    <col min="1" max="1" width="54.6640625" customWidth="1"/>
    <col min="4" max="4" width="13.88671875" bestFit="1" customWidth="1"/>
    <col min="5" max="5" width="15.44140625" customWidth="1"/>
    <col min="12" max="12" width="14.33203125" customWidth="1"/>
    <col min="13" max="13" width="30.6640625" customWidth="1"/>
    <col min="14" max="14" width="14" customWidth="1"/>
    <col min="15" max="15" width="17.109375" customWidth="1"/>
    <col min="16" max="16" width="16.5546875" customWidth="1"/>
    <col min="17" max="17" width="17.109375" customWidth="1"/>
    <col min="18" max="18" width="19.33203125" customWidth="1"/>
    <col min="19" max="19" width="11.44140625" customWidth="1"/>
    <col min="20" max="20" width="15" customWidth="1"/>
    <col min="21" max="21" width="26.33203125" customWidth="1"/>
    <col min="23" max="23" width="28.6640625" customWidth="1"/>
  </cols>
  <sheetData>
    <row r="1" spans="1:24" ht="14.4" x14ac:dyDescent="0.3">
      <c r="A1" s="1" t="str">
        <f>Summary!A1</f>
        <v>LACDPW Basin Study</v>
      </c>
      <c r="M1" s="45"/>
      <c r="N1" s="46"/>
      <c r="O1" s="45"/>
      <c r="P1" s="47"/>
      <c r="Q1" s="47"/>
      <c r="R1" s="47"/>
      <c r="S1" s="48"/>
    </row>
    <row r="2" spans="1:24" x14ac:dyDescent="0.25">
      <c r="A2" s="1" t="str">
        <f>Summary!A2</f>
        <v>N Summerville</v>
      </c>
      <c r="M2" s="49"/>
      <c r="N2" s="50"/>
      <c r="O2" s="49"/>
      <c r="P2" s="50"/>
      <c r="Q2" s="50"/>
      <c r="R2" s="50"/>
      <c r="S2" s="51"/>
    </row>
    <row r="3" spans="1:24" x14ac:dyDescent="0.25">
      <c r="A3" s="13">
        <f>Summary!A3</f>
        <v>42275</v>
      </c>
      <c r="M3" s="49"/>
      <c r="N3" s="49"/>
      <c r="O3" s="49"/>
      <c r="P3" s="51"/>
      <c r="Q3" s="51"/>
      <c r="R3" s="51"/>
      <c r="S3" s="51"/>
      <c r="T3" s="32"/>
      <c r="U3" s="32"/>
      <c r="V3" s="32"/>
    </row>
    <row r="4" spans="1:24" x14ac:dyDescent="0.25">
      <c r="M4" s="49"/>
      <c r="N4" s="50"/>
      <c r="O4" s="52"/>
      <c r="P4" s="53"/>
      <c r="Q4" s="53"/>
      <c r="R4" s="53"/>
      <c r="S4" s="51"/>
      <c r="T4" s="32"/>
      <c r="U4" s="32"/>
      <c r="V4" s="32"/>
    </row>
    <row r="5" spans="1:24" ht="13.8" thickBot="1" x14ac:dyDescent="0.3">
      <c r="A5" s="132" t="s">
        <v>136</v>
      </c>
      <c r="B5" s="133"/>
      <c r="C5" s="133"/>
      <c r="D5" s="133"/>
      <c r="E5" s="133"/>
      <c r="F5" s="78"/>
      <c r="M5" s="76" t="s">
        <v>146</v>
      </c>
      <c r="N5" s="77"/>
      <c r="O5" s="78"/>
      <c r="P5" s="53"/>
      <c r="Q5" s="53"/>
      <c r="R5" s="53"/>
      <c r="S5" s="51"/>
      <c r="T5" s="32"/>
      <c r="U5" s="32"/>
      <c r="V5" s="32"/>
    </row>
    <row r="6" spans="1:24" x14ac:dyDescent="0.25">
      <c r="A6" s="78"/>
      <c r="B6" s="78"/>
      <c r="C6" s="78"/>
      <c r="D6" s="78"/>
      <c r="E6" s="78"/>
      <c r="F6" s="78"/>
      <c r="M6" s="78"/>
      <c r="N6" s="78"/>
      <c r="O6" s="77"/>
      <c r="P6" s="53"/>
      <c r="Q6" s="53"/>
      <c r="R6" s="53"/>
      <c r="S6" s="51"/>
      <c r="T6" s="32"/>
      <c r="U6" s="32"/>
      <c r="V6" s="32"/>
    </row>
    <row r="7" spans="1:24" x14ac:dyDescent="0.25">
      <c r="A7" s="130" t="s">
        <v>0</v>
      </c>
      <c r="B7" s="134" t="s">
        <v>1</v>
      </c>
      <c r="C7" s="134" t="s">
        <v>2</v>
      </c>
      <c r="D7" s="135" t="s">
        <v>3</v>
      </c>
      <c r="E7" s="135" t="s">
        <v>4</v>
      </c>
      <c r="F7" s="78"/>
      <c r="M7" s="79" t="s">
        <v>147</v>
      </c>
      <c r="N7" s="80" t="s">
        <v>4</v>
      </c>
      <c r="O7" s="91" t="s">
        <v>21</v>
      </c>
      <c r="P7" s="53"/>
      <c r="Q7" s="53"/>
      <c r="R7" s="53"/>
      <c r="S7" s="51"/>
      <c r="T7" s="32"/>
      <c r="U7" s="32"/>
      <c r="V7" s="32"/>
    </row>
    <row r="8" spans="1:24" x14ac:dyDescent="0.25">
      <c r="A8" s="92"/>
      <c r="B8" s="39"/>
      <c r="C8" s="39"/>
      <c r="D8" s="93"/>
      <c r="E8" s="93"/>
      <c r="F8" s="39"/>
      <c r="M8" s="78"/>
      <c r="N8" s="81" t="s">
        <v>24</v>
      </c>
      <c r="O8" s="81" t="s">
        <v>24</v>
      </c>
      <c r="P8" s="53"/>
      <c r="Q8" s="53"/>
      <c r="R8" s="53"/>
      <c r="S8" s="51"/>
      <c r="T8" s="32"/>
      <c r="U8" s="32"/>
      <c r="V8" s="32"/>
    </row>
    <row r="9" spans="1:24" x14ac:dyDescent="0.25">
      <c r="A9" s="63" t="s">
        <v>65</v>
      </c>
      <c r="B9" s="106" t="s">
        <v>66</v>
      </c>
      <c r="C9" s="137">
        <v>16155</v>
      </c>
      <c r="D9" s="138">
        <v>2.25</v>
      </c>
      <c r="E9" s="107">
        <f t="shared" ref="E9:E22" si="0">ROUND(D9*C9,-3)</f>
        <v>36000</v>
      </c>
      <c r="F9" s="9" t="s">
        <v>124</v>
      </c>
      <c r="M9" s="78"/>
      <c r="N9" s="78"/>
      <c r="O9" s="78"/>
      <c r="P9" s="53"/>
      <c r="Q9" s="53"/>
      <c r="R9" s="53"/>
      <c r="S9" s="51"/>
      <c r="T9" s="32"/>
      <c r="U9" s="32"/>
      <c r="V9" s="32"/>
    </row>
    <row r="10" spans="1:24" ht="12.75" customHeight="1" x14ac:dyDescent="0.25">
      <c r="A10" s="9" t="s">
        <v>67</v>
      </c>
      <c r="B10" s="89" t="s">
        <v>46</v>
      </c>
      <c r="C10" s="94">
        <v>24445</v>
      </c>
      <c r="D10" s="72">
        <v>25</v>
      </c>
      <c r="E10" s="95">
        <f t="shared" si="0"/>
        <v>611000</v>
      </c>
      <c r="F10" s="9" t="s">
        <v>125</v>
      </c>
      <c r="M10" s="6" t="s">
        <v>69</v>
      </c>
      <c r="N10" s="82">
        <f>E13</f>
        <v>700000</v>
      </c>
      <c r="O10" s="90">
        <f>+PMT(0.03375,50,-N10,0)</f>
        <v>29174.080875660737</v>
      </c>
      <c r="P10" s="53"/>
      <c r="Q10" s="53"/>
      <c r="R10" s="53"/>
      <c r="S10" s="51"/>
      <c r="T10" s="32"/>
      <c r="U10" s="32"/>
      <c r="V10" s="32"/>
    </row>
    <row r="11" spans="1:24" x14ac:dyDescent="0.25">
      <c r="A11" s="9" t="s">
        <v>126</v>
      </c>
      <c r="B11" s="89" t="s">
        <v>41</v>
      </c>
      <c r="C11" s="94">
        <v>285</v>
      </c>
      <c r="D11" s="72">
        <v>40</v>
      </c>
      <c r="E11" s="95">
        <f t="shared" si="0"/>
        <v>11000</v>
      </c>
      <c r="F11" s="9" t="s">
        <v>127</v>
      </c>
      <c r="M11" s="49"/>
      <c r="N11" s="50"/>
      <c r="O11" s="52"/>
      <c r="P11" s="53"/>
      <c r="Q11" s="53"/>
      <c r="R11" s="53"/>
      <c r="S11" s="51"/>
      <c r="T11" s="32"/>
      <c r="U11" s="32"/>
      <c r="V11" s="32"/>
    </row>
    <row r="12" spans="1:24" x14ac:dyDescent="0.25">
      <c r="A12" s="9" t="s">
        <v>81</v>
      </c>
      <c r="B12" s="89" t="s">
        <v>55</v>
      </c>
      <c r="C12" s="94">
        <v>2</v>
      </c>
      <c r="D12" s="73">
        <v>50000</v>
      </c>
      <c r="E12" s="95">
        <f t="shared" si="0"/>
        <v>100000</v>
      </c>
      <c r="F12" s="9" t="s">
        <v>128</v>
      </c>
      <c r="M12" s="49"/>
      <c r="N12" s="50"/>
      <c r="O12" s="52"/>
      <c r="P12" s="53"/>
      <c r="Q12" s="53"/>
      <c r="R12" s="53"/>
      <c r="S12" s="51"/>
      <c r="T12" s="32"/>
      <c r="U12" s="32"/>
      <c r="V12" s="32"/>
    </row>
    <row r="13" spans="1:24" x14ac:dyDescent="0.25">
      <c r="A13" s="9" t="s">
        <v>69</v>
      </c>
      <c r="B13" s="89" t="s">
        <v>55</v>
      </c>
      <c r="C13" s="94">
        <v>2</v>
      </c>
      <c r="D13" s="73">
        <v>350000</v>
      </c>
      <c r="E13" s="95">
        <f t="shared" si="0"/>
        <v>700000</v>
      </c>
      <c r="F13" s="9" t="s">
        <v>83</v>
      </c>
      <c r="M13" s="49"/>
      <c r="N13" s="50"/>
      <c r="O13" s="52"/>
      <c r="P13" s="53"/>
      <c r="Q13" s="53"/>
      <c r="R13" s="53"/>
      <c r="S13" s="51"/>
      <c r="T13" s="32"/>
      <c r="U13" s="32"/>
      <c r="V13" s="32"/>
    </row>
    <row r="14" spans="1:24" x14ac:dyDescent="0.25">
      <c r="A14" s="9" t="s">
        <v>61</v>
      </c>
      <c r="B14" s="89" t="s">
        <v>55</v>
      </c>
      <c r="C14" s="94">
        <v>2</v>
      </c>
      <c r="D14" s="73">
        <v>15000</v>
      </c>
      <c r="E14" s="95">
        <f t="shared" si="0"/>
        <v>30000</v>
      </c>
      <c r="F14" s="9"/>
      <c r="M14" s="49"/>
      <c r="N14" s="50"/>
      <c r="O14" s="52"/>
      <c r="P14" s="53"/>
      <c r="Q14" s="53"/>
      <c r="R14" s="53"/>
      <c r="S14" s="51"/>
      <c r="T14" s="32"/>
      <c r="U14" s="32"/>
      <c r="V14" s="32"/>
    </row>
    <row r="15" spans="1:24" x14ac:dyDescent="0.25">
      <c r="A15" s="9" t="s">
        <v>62</v>
      </c>
      <c r="B15" s="89" t="s">
        <v>55</v>
      </c>
      <c r="C15" s="94">
        <v>4</v>
      </c>
      <c r="D15" s="73">
        <v>450000</v>
      </c>
      <c r="E15" s="95">
        <f t="shared" si="0"/>
        <v>1800000</v>
      </c>
      <c r="F15" s="9"/>
      <c r="M15" s="49"/>
      <c r="N15" s="50"/>
      <c r="O15" s="52"/>
      <c r="P15" s="53"/>
      <c r="Q15" s="53"/>
      <c r="R15" s="53"/>
      <c r="S15" s="51"/>
      <c r="T15" s="32"/>
      <c r="U15" s="32"/>
      <c r="V15" s="32"/>
    </row>
    <row r="16" spans="1:24" x14ac:dyDescent="0.25">
      <c r="A16" s="9" t="s">
        <v>63</v>
      </c>
      <c r="B16" s="89" t="s">
        <v>55</v>
      </c>
      <c r="C16" s="94">
        <v>4</v>
      </c>
      <c r="D16" s="72">
        <v>5000</v>
      </c>
      <c r="E16" s="95">
        <f t="shared" si="0"/>
        <v>20000</v>
      </c>
      <c r="F16" s="9"/>
      <c r="L16" s="40"/>
      <c r="M16" s="49"/>
      <c r="N16" s="50"/>
      <c r="O16" s="52"/>
      <c r="P16" s="53"/>
      <c r="Q16" s="53"/>
      <c r="R16" s="53"/>
      <c r="S16" s="51"/>
      <c r="T16" s="32"/>
      <c r="U16" s="32"/>
      <c r="V16" s="32"/>
      <c r="X16" s="39"/>
    </row>
    <row r="17" spans="1:24" x14ac:dyDescent="0.25">
      <c r="A17" s="9" t="s">
        <v>86</v>
      </c>
      <c r="B17" s="89" t="s">
        <v>39</v>
      </c>
      <c r="C17" s="94">
        <v>1</v>
      </c>
      <c r="D17" s="73">
        <v>35000</v>
      </c>
      <c r="E17" s="95">
        <f t="shared" si="0"/>
        <v>35000</v>
      </c>
      <c r="F17" s="9"/>
      <c r="L17" s="40"/>
      <c r="M17" s="49"/>
      <c r="N17" s="50"/>
      <c r="O17" s="52"/>
      <c r="P17" s="53"/>
      <c r="Q17" s="53"/>
      <c r="R17" s="53"/>
      <c r="S17" s="51"/>
      <c r="T17" s="32"/>
      <c r="U17" s="32"/>
      <c r="V17" s="32"/>
      <c r="X17" s="39"/>
    </row>
    <row r="18" spans="1:24" x14ac:dyDescent="0.25">
      <c r="A18" s="9" t="s">
        <v>85</v>
      </c>
      <c r="B18" s="89" t="s">
        <v>39</v>
      </c>
      <c r="C18" s="94">
        <v>1</v>
      </c>
      <c r="D18" s="73">
        <v>40000</v>
      </c>
      <c r="E18" s="95">
        <f t="shared" si="0"/>
        <v>40000</v>
      </c>
      <c r="F18" s="9"/>
      <c r="L18" s="40"/>
      <c r="M18" s="49"/>
      <c r="N18" s="50"/>
      <c r="O18" s="52"/>
      <c r="P18" s="53"/>
      <c r="Q18" s="53"/>
      <c r="R18" s="53"/>
      <c r="S18" s="51"/>
      <c r="T18" s="41"/>
      <c r="U18" s="32"/>
      <c r="V18" s="32"/>
      <c r="X18" s="39"/>
    </row>
    <row r="19" spans="1:24" ht="14.4" x14ac:dyDescent="0.3">
      <c r="A19" s="9" t="s">
        <v>102</v>
      </c>
      <c r="B19" s="89" t="s">
        <v>39</v>
      </c>
      <c r="C19" s="94">
        <v>1</v>
      </c>
      <c r="D19" s="73">
        <v>30000</v>
      </c>
      <c r="E19" s="95">
        <f t="shared" si="0"/>
        <v>30000</v>
      </c>
      <c r="F19" s="9"/>
      <c r="L19" s="41"/>
      <c r="U19" s="42"/>
      <c r="V19" s="41"/>
      <c r="W19" s="43"/>
      <c r="X19" s="39"/>
    </row>
    <row r="20" spans="1:24" x14ac:dyDescent="0.25">
      <c r="A20" s="9" t="s">
        <v>87</v>
      </c>
      <c r="B20" s="89" t="s">
        <v>39</v>
      </c>
      <c r="C20" s="94">
        <v>1</v>
      </c>
      <c r="D20" s="73">
        <v>15000</v>
      </c>
      <c r="E20" s="95">
        <f t="shared" si="0"/>
        <v>15000</v>
      </c>
      <c r="F20" s="9"/>
      <c r="L20" s="41"/>
      <c r="M20" s="42"/>
      <c r="N20" s="41"/>
      <c r="O20" s="41"/>
      <c r="P20" s="41"/>
      <c r="Q20" s="41"/>
      <c r="R20" s="41"/>
      <c r="S20" s="41"/>
      <c r="T20" s="41"/>
      <c r="U20" s="42"/>
      <c r="V20" s="41"/>
      <c r="W20" s="42"/>
      <c r="X20" s="39"/>
    </row>
    <row r="21" spans="1:24" ht="14.4" x14ac:dyDescent="0.3">
      <c r="A21" s="9" t="s">
        <v>88</v>
      </c>
      <c r="B21" s="89" t="s">
        <v>41</v>
      </c>
      <c r="C21" s="94">
        <v>650</v>
      </c>
      <c r="D21" s="72">
        <v>216</v>
      </c>
      <c r="E21" s="95">
        <f t="shared" si="0"/>
        <v>140000</v>
      </c>
      <c r="F21" s="9"/>
      <c r="L21" s="41"/>
      <c r="M21" s="26" t="s">
        <v>36</v>
      </c>
      <c r="N21" s="10"/>
      <c r="O21" s="10"/>
      <c r="P21" s="10"/>
      <c r="R21" s="41"/>
      <c r="S21" s="41"/>
      <c r="T21" s="21"/>
      <c r="U21" s="23"/>
      <c r="V21" s="41"/>
      <c r="W21" s="43"/>
      <c r="X21" s="39"/>
    </row>
    <row r="22" spans="1:24" x14ac:dyDescent="0.25">
      <c r="A22" s="9" t="s">
        <v>103</v>
      </c>
      <c r="B22" s="89" t="s">
        <v>41</v>
      </c>
      <c r="C22" s="94">
        <v>150</v>
      </c>
      <c r="D22" s="72">
        <v>2000</v>
      </c>
      <c r="E22" s="95">
        <f t="shared" si="0"/>
        <v>300000</v>
      </c>
      <c r="F22" s="9"/>
      <c r="L22" s="41"/>
      <c r="M22" s="10"/>
      <c r="N22" s="10"/>
      <c r="O22" s="10"/>
      <c r="P22" s="10"/>
      <c r="R22" s="41"/>
      <c r="S22" s="41"/>
      <c r="V22" s="41"/>
      <c r="W22" s="44"/>
      <c r="X22" s="39"/>
    </row>
    <row r="23" spans="1:24" x14ac:dyDescent="0.25">
      <c r="A23" s="97" t="s">
        <v>6</v>
      </c>
      <c r="B23" s="98"/>
      <c r="C23" s="98"/>
      <c r="D23" s="99"/>
      <c r="E23" s="99">
        <f>SUM(E9:E22)</f>
        <v>3868000</v>
      </c>
      <c r="F23" s="78"/>
      <c r="L23" s="41"/>
      <c r="M23" s="27" t="s">
        <v>16</v>
      </c>
      <c r="N23" s="28"/>
      <c r="O23" s="24" t="s">
        <v>19</v>
      </c>
      <c r="P23" s="24" t="s">
        <v>21</v>
      </c>
      <c r="R23" s="41"/>
      <c r="S23" s="41"/>
      <c r="T23" s="10"/>
      <c r="U23" s="30"/>
      <c r="V23" s="41"/>
      <c r="W23" s="42"/>
      <c r="X23" s="39"/>
    </row>
    <row r="24" spans="1:24" x14ac:dyDescent="0.25">
      <c r="A24" s="78"/>
      <c r="B24" s="100"/>
      <c r="C24" s="100"/>
      <c r="D24" s="93"/>
      <c r="E24" s="93"/>
      <c r="F24" s="39"/>
      <c r="M24" s="24" t="s">
        <v>17</v>
      </c>
      <c r="N24" s="24" t="s">
        <v>18</v>
      </c>
      <c r="O24" s="24" t="s">
        <v>20</v>
      </c>
      <c r="P24" s="24" t="s">
        <v>24</v>
      </c>
      <c r="T24" s="10"/>
      <c r="U24" s="30"/>
    </row>
    <row r="25" spans="1:24" x14ac:dyDescent="0.25">
      <c r="A25" s="101" t="s">
        <v>70</v>
      </c>
      <c r="B25" s="102"/>
      <c r="C25" s="102"/>
      <c r="D25" s="103"/>
      <c r="E25" s="103"/>
      <c r="F25" s="78"/>
      <c r="M25" s="10"/>
      <c r="N25" s="10"/>
      <c r="O25" s="10"/>
      <c r="P25" s="10"/>
      <c r="T25" s="10"/>
      <c r="U25" s="30"/>
    </row>
    <row r="26" spans="1:24" x14ac:dyDescent="0.25">
      <c r="A26" s="9" t="s">
        <v>71</v>
      </c>
      <c r="B26" s="148">
        <f>B53*0.1*0.6</f>
        <v>0.14000000000000001</v>
      </c>
      <c r="C26" s="89" t="s">
        <v>72</v>
      </c>
      <c r="D26" s="93">
        <v>35000</v>
      </c>
      <c r="E26" s="93">
        <f t="shared" ref="E26" si="1">+B26*D26</f>
        <v>4900.0000000000009</v>
      </c>
      <c r="F26" s="96" t="s">
        <v>94</v>
      </c>
      <c r="M26" s="10">
        <v>100</v>
      </c>
      <c r="N26" s="25">
        <f>0.746*M26*3*30.4*24</f>
        <v>163284.47999999998</v>
      </c>
      <c r="O26" s="29">
        <v>0.15</v>
      </c>
      <c r="P26" s="30">
        <f>+N26*O26</f>
        <v>24492.671999999995</v>
      </c>
      <c r="T26" s="10"/>
      <c r="U26" s="30"/>
    </row>
    <row r="27" spans="1:24" x14ac:dyDescent="0.25">
      <c r="A27" s="97" t="s">
        <v>6</v>
      </c>
      <c r="B27" s="98"/>
      <c r="C27" s="98"/>
      <c r="D27" s="99"/>
      <c r="E27" s="99">
        <f>SUM(E26:E26)</f>
        <v>4900.0000000000009</v>
      </c>
      <c r="F27" s="78"/>
      <c r="M27" s="10"/>
      <c r="N27" s="10"/>
      <c r="O27" s="10"/>
      <c r="P27" s="10"/>
      <c r="T27" s="10"/>
      <c r="U27" s="30"/>
    </row>
    <row r="28" spans="1:24" x14ac:dyDescent="0.25">
      <c r="A28" s="9"/>
      <c r="B28" s="100"/>
      <c r="C28" s="100"/>
      <c r="D28" s="93"/>
      <c r="E28" s="104"/>
      <c r="F28" s="96"/>
      <c r="M28" s="24" t="s">
        <v>22</v>
      </c>
      <c r="N28" s="24" t="s">
        <v>21</v>
      </c>
      <c r="O28" s="24" t="s">
        <v>26</v>
      </c>
      <c r="Q28" s="24"/>
      <c r="T28" s="10"/>
      <c r="U28" s="30"/>
    </row>
    <row r="29" spans="1:24" x14ac:dyDescent="0.25">
      <c r="A29" s="54" t="s">
        <v>74</v>
      </c>
      <c r="B29" s="100"/>
      <c r="C29" s="100"/>
      <c r="D29" s="93"/>
      <c r="E29" s="93"/>
      <c r="F29" s="78"/>
      <c r="M29" s="24" t="s">
        <v>23</v>
      </c>
      <c r="N29" s="24" t="s">
        <v>24</v>
      </c>
      <c r="O29" s="24" t="s">
        <v>27</v>
      </c>
      <c r="Q29" s="24"/>
      <c r="T29" s="10"/>
      <c r="U29" s="30"/>
    </row>
    <row r="30" spans="1:24" x14ac:dyDescent="0.25">
      <c r="A30" s="63" t="s">
        <v>75</v>
      </c>
      <c r="B30" s="105">
        <v>1355</v>
      </c>
      <c r="C30" s="106" t="s">
        <v>5</v>
      </c>
      <c r="D30" s="107">
        <v>25</v>
      </c>
      <c r="E30" s="107">
        <f>+B30*D30</f>
        <v>33875</v>
      </c>
      <c r="F30" s="96" t="s">
        <v>95</v>
      </c>
      <c r="M30" s="10"/>
      <c r="N30" s="10"/>
      <c r="O30" s="10"/>
      <c r="T30" s="10"/>
      <c r="U30" s="30"/>
    </row>
    <row r="31" spans="1:24" x14ac:dyDescent="0.25">
      <c r="A31" s="78" t="s">
        <v>6</v>
      </c>
      <c r="B31" s="91"/>
      <c r="C31" s="91"/>
      <c r="D31" s="108"/>
      <c r="E31" s="108">
        <f>SUM(E30:E30)</f>
        <v>33875</v>
      </c>
      <c r="F31" s="96"/>
      <c r="M31" s="31">
        <v>0.05</v>
      </c>
      <c r="N31" s="29">
        <f>+M31*SUM(E9:E34)/2</f>
        <v>214872.625</v>
      </c>
      <c r="O31" s="10">
        <v>50</v>
      </c>
      <c r="Q31" s="2"/>
      <c r="T31" s="56"/>
      <c r="U31" s="30"/>
    </row>
    <row r="32" spans="1:24" x14ac:dyDescent="0.25">
      <c r="A32" s="113"/>
      <c r="B32" s="96"/>
      <c r="C32" s="96"/>
      <c r="D32" s="96"/>
      <c r="E32" s="96"/>
      <c r="F32" s="78"/>
      <c r="T32" s="10"/>
      <c r="U32" s="30"/>
    </row>
    <row r="33" spans="1:21" x14ac:dyDescent="0.25">
      <c r="A33" s="109" t="s">
        <v>138</v>
      </c>
      <c r="B33" s="110">
        <v>10</v>
      </c>
      <c r="C33" s="110" t="s">
        <v>7</v>
      </c>
      <c r="D33" s="111">
        <f>SUM(E9:E31)/2</f>
        <v>3906775</v>
      </c>
      <c r="E33" s="112">
        <f>D33*B33/100</f>
        <v>390677.5</v>
      </c>
      <c r="F33" s="78"/>
      <c r="T33" s="10"/>
      <c r="U33" s="30"/>
    </row>
    <row r="34" spans="1:21" x14ac:dyDescent="0.25">
      <c r="A34" s="78" t="s">
        <v>6</v>
      </c>
      <c r="B34" s="91"/>
      <c r="C34" s="91"/>
      <c r="D34" s="108"/>
      <c r="E34" s="108">
        <f>SUM(E33)</f>
        <v>390677.5</v>
      </c>
      <c r="F34" s="96"/>
      <c r="T34" s="10"/>
      <c r="U34" s="30"/>
    </row>
    <row r="35" spans="1:21" x14ac:dyDescent="0.25">
      <c r="A35" s="113"/>
      <c r="B35" s="91"/>
      <c r="C35" s="91"/>
      <c r="D35" s="108"/>
      <c r="E35" s="108"/>
      <c r="F35" s="96"/>
      <c r="T35" s="10"/>
      <c r="U35" s="30"/>
    </row>
    <row r="36" spans="1:21" x14ac:dyDescent="0.25">
      <c r="A36" s="109" t="s">
        <v>8</v>
      </c>
      <c r="B36" s="110">
        <v>10</v>
      </c>
      <c r="C36" s="110" t="s">
        <v>7</v>
      </c>
      <c r="D36" s="111">
        <f>SUM(E9:E34)/2</f>
        <v>4297452.5</v>
      </c>
      <c r="E36" s="112">
        <f>D36*B36/100</f>
        <v>429745.25</v>
      </c>
      <c r="F36" s="78"/>
      <c r="T36" s="10"/>
      <c r="U36" s="30"/>
    </row>
    <row r="37" spans="1:21" x14ac:dyDescent="0.25">
      <c r="A37" s="78" t="s">
        <v>6</v>
      </c>
      <c r="B37" s="91"/>
      <c r="C37" s="91"/>
      <c r="D37" s="108"/>
      <c r="E37" s="108">
        <f>SUM(E36)</f>
        <v>429745.25</v>
      </c>
      <c r="F37" s="78"/>
      <c r="T37" s="10"/>
      <c r="U37" s="30"/>
    </row>
    <row r="38" spans="1:21" x14ac:dyDescent="0.25">
      <c r="A38" s="78"/>
      <c r="B38" s="91"/>
      <c r="C38" s="91"/>
      <c r="D38" s="108"/>
      <c r="E38" s="108"/>
      <c r="F38" s="78"/>
      <c r="T38" s="10"/>
      <c r="U38" s="30"/>
    </row>
    <row r="39" spans="1:21" x14ac:dyDescent="0.25">
      <c r="A39" s="109" t="s">
        <v>10</v>
      </c>
      <c r="B39" s="110"/>
      <c r="C39" s="110"/>
      <c r="D39" s="95"/>
      <c r="E39" s="95"/>
      <c r="F39" s="78"/>
      <c r="T39" s="10"/>
      <c r="U39" s="30"/>
    </row>
    <row r="40" spans="1:21" x14ac:dyDescent="0.25">
      <c r="A40" s="87" t="s">
        <v>148</v>
      </c>
      <c r="B40" s="88">
        <v>10</v>
      </c>
      <c r="C40" s="88" t="s">
        <v>7</v>
      </c>
      <c r="D40" s="114">
        <f>SUM(E9:E37)/2</f>
        <v>4727197.75</v>
      </c>
      <c r="E40" s="107">
        <f>D40*B40/100</f>
        <v>472719.77500000002</v>
      </c>
      <c r="F40" s="78"/>
      <c r="T40" s="10"/>
      <c r="U40" s="30"/>
    </row>
    <row r="41" spans="1:21" x14ac:dyDescent="0.25">
      <c r="A41" s="9" t="s">
        <v>149</v>
      </c>
      <c r="B41" s="100">
        <v>15</v>
      </c>
      <c r="C41" s="89" t="s">
        <v>7</v>
      </c>
      <c r="D41" s="115">
        <f>SUM(E9:E37)/2</f>
        <v>4727197.75</v>
      </c>
      <c r="E41" s="95">
        <f>D41*B41/100</f>
        <v>709079.66249999998</v>
      </c>
      <c r="F41" s="78"/>
      <c r="T41" s="10"/>
      <c r="U41" s="30"/>
    </row>
    <row r="42" spans="1:21" x14ac:dyDescent="0.25">
      <c r="A42" s="9" t="s">
        <v>15</v>
      </c>
      <c r="B42" s="100">
        <v>11</v>
      </c>
      <c r="C42" s="89" t="s">
        <v>7</v>
      </c>
      <c r="D42" s="115">
        <f>SUM(E9:E37)/2+SUM(D40:D41)+SUM(D43:D45)</f>
        <v>28363186.5</v>
      </c>
      <c r="E42" s="95">
        <f t="shared" ref="E42:E45" si="2">D42*B42/100</f>
        <v>3119950.5150000001</v>
      </c>
      <c r="F42" s="78"/>
      <c r="T42" s="10"/>
      <c r="U42" s="30"/>
    </row>
    <row r="43" spans="1:21" x14ac:dyDescent="0.25">
      <c r="A43" s="9" t="s">
        <v>11</v>
      </c>
      <c r="B43" s="100">
        <v>5</v>
      </c>
      <c r="C43" s="89" t="s">
        <v>7</v>
      </c>
      <c r="D43" s="115">
        <f>SUM(E9:E37)/2</f>
        <v>4727197.75</v>
      </c>
      <c r="E43" s="95">
        <f t="shared" si="2"/>
        <v>236359.88750000001</v>
      </c>
      <c r="F43" s="78"/>
      <c r="T43" s="10"/>
      <c r="U43" s="30"/>
    </row>
    <row r="44" spans="1:21" x14ac:dyDescent="0.25">
      <c r="A44" s="9" t="s">
        <v>12</v>
      </c>
      <c r="B44" s="100">
        <v>10</v>
      </c>
      <c r="C44" s="89" t="s">
        <v>7</v>
      </c>
      <c r="D44" s="115">
        <f>SUM(E9:E37)/2</f>
        <v>4727197.75</v>
      </c>
      <c r="E44" s="95">
        <f t="shared" si="2"/>
        <v>472719.77500000002</v>
      </c>
      <c r="F44" s="78"/>
      <c r="T44" s="10"/>
      <c r="U44" s="30"/>
    </row>
    <row r="45" spans="1:21" x14ac:dyDescent="0.25">
      <c r="A45" s="15" t="s">
        <v>13</v>
      </c>
      <c r="B45" s="102">
        <v>10</v>
      </c>
      <c r="C45" s="110" t="s">
        <v>7</v>
      </c>
      <c r="D45" s="111">
        <f>SUM(E9:E37)/2</f>
        <v>4727197.75</v>
      </c>
      <c r="E45" s="112">
        <f t="shared" si="2"/>
        <v>472719.77500000002</v>
      </c>
      <c r="F45" s="96"/>
      <c r="T45" s="10"/>
      <c r="U45" s="30"/>
    </row>
    <row r="46" spans="1:21" x14ac:dyDescent="0.25">
      <c r="A46" s="78" t="s">
        <v>6</v>
      </c>
      <c r="B46" s="91"/>
      <c r="C46" s="91"/>
      <c r="D46" s="108"/>
      <c r="E46" s="108">
        <f>SUM(E40:E45)</f>
        <v>5483549.3900000015</v>
      </c>
      <c r="F46" s="78"/>
      <c r="M46" s="24"/>
      <c r="N46" s="24"/>
      <c r="O46" s="24"/>
      <c r="P46" s="10"/>
      <c r="T46" s="10"/>
      <c r="U46" s="30"/>
    </row>
    <row r="47" spans="1:21" x14ac:dyDescent="0.25">
      <c r="A47" s="54"/>
      <c r="B47" s="89"/>
      <c r="C47" s="89"/>
      <c r="D47" s="95"/>
      <c r="E47" s="117"/>
      <c r="F47" s="78"/>
      <c r="M47" s="24"/>
      <c r="N47" s="24"/>
      <c r="O47" s="24"/>
      <c r="P47" s="10"/>
      <c r="T47" s="10"/>
      <c r="U47" s="30"/>
    </row>
    <row r="48" spans="1:21" x14ac:dyDescent="0.25">
      <c r="A48" s="109" t="s">
        <v>14</v>
      </c>
      <c r="B48" s="118"/>
      <c r="C48" s="118"/>
      <c r="D48" s="119"/>
      <c r="E48" s="119"/>
      <c r="F48" s="78"/>
      <c r="M48" s="24"/>
      <c r="N48" s="24"/>
      <c r="O48" s="24"/>
      <c r="P48" s="10"/>
      <c r="T48" s="10"/>
      <c r="U48" s="30"/>
    </row>
    <row r="49" spans="1:21" x14ac:dyDescent="0.25">
      <c r="A49" s="120" t="s">
        <v>14</v>
      </c>
      <c r="B49" s="122">
        <v>30</v>
      </c>
      <c r="C49" s="122" t="s">
        <v>7</v>
      </c>
      <c r="D49" s="146">
        <f>SUM(E9:E46)/2</f>
        <v>10210747.140000001</v>
      </c>
      <c r="E49" s="147">
        <f>D49*B49/100</f>
        <v>3063224.1420000005</v>
      </c>
      <c r="F49" s="78"/>
      <c r="M49" s="24"/>
      <c r="N49" s="24"/>
      <c r="O49" s="24"/>
      <c r="P49" s="10"/>
      <c r="T49" s="10"/>
      <c r="U49" s="30"/>
    </row>
    <row r="50" spans="1:21" x14ac:dyDescent="0.25">
      <c r="A50" s="78" t="s">
        <v>6</v>
      </c>
      <c r="B50" s="116"/>
      <c r="C50" s="116"/>
      <c r="D50" s="104"/>
      <c r="E50" s="104">
        <f>SUM(E49)</f>
        <v>3063224.1420000005</v>
      </c>
      <c r="F50" s="78"/>
      <c r="M50" s="24"/>
      <c r="N50" s="24"/>
      <c r="O50" s="24"/>
      <c r="P50" s="10"/>
      <c r="T50" s="10"/>
      <c r="U50" s="30"/>
    </row>
    <row r="51" spans="1:21" x14ac:dyDescent="0.25">
      <c r="A51" s="78"/>
      <c r="B51" s="78"/>
      <c r="C51" s="78"/>
      <c r="D51" s="78"/>
      <c r="E51" s="78"/>
      <c r="F51" s="78"/>
      <c r="M51" s="24"/>
      <c r="N51" s="24"/>
      <c r="O51" s="24"/>
      <c r="P51" s="10"/>
      <c r="T51" s="10"/>
      <c r="U51" s="30"/>
    </row>
    <row r="52" spans="1:21" s="55" customFormat="1" x14ac:dyDescent="0.25">
      <c r="A52" s="109" t="s">
        <v>151</v>
      </c>
      <c r="B52" s="118"/>
      <c r="C52" s="118"/>
      <c r="D52" s="119"/>
      <c r="E52" s="119"/>
      <c r="F52" s="78"/>
      <c r="M52" s="56"/>
      <c r="N52" s="56"/>
      <c r="O52" s="56"/>
      <c r="P52" s="56"/>
      <c r="T52" s="10"/>
      <c r="U52" s="30"/>
    </row>
    <row r="53" spans="1:21" x14ac:dyDescent="0.25">
      <c r="A53" s="15" t="s">
        <v>73</v>
      </c>
      <c r="B53" s="125">
        <f>1.4/0.6</f>
        <v>2.3333333333333335</v>
      </c>
      <c r="C53" s="110" t="s">
        <v>72</v>
      </c>
      <c r="D53" s="112">
        <v>500000</v>
      </c>
      <c r="E53" s="112">
        <f>B53*D53</f>
        <v>1166666.6666666667</v>
      </c>
      <c r="F53" s="96" t="s">
        <v>152</v>
      </c>
      <c r="M53" s="10"/>
      <c r="N53" s="25"/>
      <c r="O53" s="19"/>
      <c r="P53" s="10"/>
      <c r="T53" s="10"/>
      <c r="U53" s="30"/>
    </row>
    <row r="54" spans="1:21" x14ac:dyDescent="0.25">
      <c r="A54" s="96" t="s">
        <v>6</v>
      </c>
      <c r="B54" s="91"/>
      <c r="C54" s="91"/>
      <c r="D54" s="108"/>
      <c r="E54" s="108">
        <f>SUM(E53)</f>
        <v>1166666.6666666667</v>
      </c>
      <c r="F54" s="96" t="s">
        <v>150</v>
      </c>
      <c r="M54" s="10"/>
      <c r="N54" s="10"/>
      <c r="O54" s="10"/>
      <c r="P54" s="10"/>
      <c r="T54" s="10"/>
      <c r="U54" s="30"/>
    </row>
    <row r="55" spans="1:21" x14ac:dyDescent="0.25">
      <c r="A55" s="78"/>
      <c r="B55" s="78"/>
      <c r="C55" s="78"/>
      <c r="D55" s="78"/>
      <c r="E55" s="78"/>
      <c r="F55" s="78"/>
      <c r="T55" s="10"/>
      <c r="U55" s="30"/>
    </row>
    <row r="56" spans="1:21" x14ac:dyDescent="0.25">
      <c r="A56" s="78"/>
      <c r="B56" s="78"/>
      <c r="C56" s="78"/>
      <c r="D56" s="78"/>
      <c r="E56" s="78"/>
      <c r="F56" s="78"/>
      <c r="T56" s="10"/>
      <c r="U56" s="30"/>
    </row>
    <row r="57" spans="1:21" x14ac:dyDescent="0.25">
      <c r="A57" s="54" t="s">
        <v>153</v>
      </c>
      <c r="B57" s="100"/>
      <c r="C57" s="78"/>
      <c r="D57" s="116"/>
      <c r="E57" s="126">
        <f>SUM(E9:E50)/2</f>
        <v>13273971.282000002</v>
      </c>
      <c r="F57" s="104"/>
      <c r="T57" s="10"/>
      <c r="U57" s="30"/>
    </row>
    <row r="58" spans="1:21" x14ac:dyDescent="0.25">
      <c r="A58" s="78"/>
      <c r="B58" s="100"/>
      <c r="C58" s="100"/>
      <c r="D58" s="93"/>
      <c r="E58" s="127"/>
      <c r="F58" s="78"/>
      <c r="T58" s="10"/>
      <c r="U58" s="30"/>
    </row>
    <row r="59" spans="1:21" x14ac:dyDescent="0.25">
      <c r="A59" s="54" t="s">
        <v>154</v>
      </c>
      <c r="B59" s="128"/>
      <c r="C59" s="100"/>
      <c r="D59" s="93"/>
      <c r="E59" s="104">
        <f>E54</f>
        <v>1166666.6666666667</v>
      </c>
      <c r="F59" s="78"/>
      <c r="T59" s="10"/>
      <c r="U59" s="30"/>
    </row>
    <row r="60" spans="1:21" x14ac:dyDescent="0.25">
      <c r="A60" s="78"/>
      <c r="B60" s="100"/>
      <c r="C60" s="100"/>
      <c r="D60" s="93"/>
      <c r="E60" s="93"/>
      <c r="F60" s="78"/>
      <c r="T60" s="10"/>
      <c r="U60" s="30"/>
    </row>
    <row r="61" spans="1:21" x14ac:dyDescent="0.25">
      <c r="A61" s="54" t="s">
        <v>155</v>
      </c>
      <c r="B61" s="78"/>
      <c r="C61" s="78"/>
      <c r="D61" s="78"/>
      <c r="E61" s="129">
        <f>+PMT(0.03375,50,-E57-E59,0)</f>
        <v>601846.19915790984</v>
      </c>
      <c r="F61" s="96" t="s">
        <v>156</v>
      </c>
      <c r="T61" s="10"/>
      <c r="U61" s="30"/>
    </row>
    <row r="62" spans="1:21" x14ac:dyDescent="0.25">
      <c r="A62" s="78"/>
      <c r="B62" s="78"/>
      <c r="C62" s="78"/>
      <c r="D62" s="78"/>
      <c r="E62" s="78"/>
      <c r="F62" s="78"/>
      <c r="T62" s="10"/>
      <c r="U62" s="30"/>
    </row>
    <row r="63" spans="1:21" x14ac:dyDescent="0.25">
      <c r="A63" s="130" t="s">
        <v>25</v>
      </c>
      <c r="B63" s="39"/>
      <c r="C63" s="39"/>
      <c r="D63" s="93"/>
      <c r="E63" s="93">
        <f>N31+P26+O10</f>
        <v>268539.37787566072</v>
      </c>
      <c r="F63" s="78"/>
      <c r="T63" s="10"/>
      <c r="U63" s="30"/>
    </row>
    <row r="64" spans="1:21" x14ac:dyDescent="0.25">
      <c r="A64" s="54"/>
      <c r="B64" s="100"/>
      <c r="C64" s="100"/>
      <c r="D64" s="93"/>
      <c r="E64" s="93"/>
      <c r="F64" s="78"/>
      <c r="T64" s="10"/>
      <c r="U64" s="30"/>
    </row>
    <row r="65" spans="1:21" x14ac:dyDescent="0.25">
      <c r="A65" s="130" t="s">
        <v>35</v>
      </c>
      <c r="B65" s="78"/>
      <c r="C65" s="78"/>
      <c r="D65" s="78"/>
      <c r="E65" s="131">
        <f>1.4*277.98</f>
        <v>389.17200000000003</v>
      </c>
      <c r="F65" s="96" t="s">
        <v>141</v>
      </c>
      <c r="T65" s="10"/>
      <c r="U65" s="30"/>
    </row>
    <row r="66" spans="1:21" x14ac:dyDescent="0.25">
      <c r="A66" s="39"/>
      <c r="B66" s="100"/>
      <c r="C66" s="100"/>
      <c r="D66" s="93"/>
      <c r="E66" s="93"/>
      <c r="F66" s="78"/>
      <c r="T66" s="10"/>
      <c r="U66" s="30"/>
    </row>
    <row r="67" spans="1:21" x14ac:dyDescent="0.25">
      <c r="A67" s="54" t="s">
        <v>157</v>
      </c>
      <c r="B67" s="100"/>
      <c r="C67" s="100"/>
      <c r="D67" s="93"/>
      <c r="E67" s="93">
        <f>+(E61+E63)/E65</f>
        <v>2236.5061644557431</v>
      </c>
      <c r="F67" s="78"/>
      <c r="T67" s="10"/>
      <c r="U67" s="30"/>
    </row>
    <row r="68" spans="1:21" x14ac:dyDescent="0.25">
      <c r="A68" s="78"/>
      <c r="B68" s="78"/>
      <c r="C68" s="78"/>
      <c r="D68" s="78"/>
      <c r="E68" s="78"/>
      <c r="F68" s="78"/>
      <c r="T68" s="10"/>
      <c r="U68" s="30"/>
    </row>
    <row r="69" spans="1:21" x14ac:dyDescent="0.25">
      <c r="A69" s="78"/>
      <c r="B69" s="78"/>
      <c r="C69" s="78"/>
      <c r="D69" s="78"/>
      <c r="E69" s="78"/>
      <c r="F69" s="78"/>
      <c r="T69" s="10"/>
      <c r="U69" s="30"/>
    </row>
    <row r="70" spans="1:21" x14ac:dyDescent="0.25">
      <c r="T70" s="10"/>
      <c r="U70" s="30"/>
    </row>
    <row r="71" spans="1:21" x14ac:dyDescent="0.25">
      <c r="T71" s="10"/>
      <c r="U71" s="30"/>
    </row>
    <row r="72" spans="1:21" x14ac:dyDescent="0.25">
      <c r="T72" s="10"/>
      <c r="U72" s="30"/>
    </row>
  </sheetData>
  <pageMargins left="0.75" right="0.75" top="1" bottom="1" header="0.5" footer="0.5"/>
  <pageSetup scale="46" orientation="landscape"/>
  <headerFooter alignWithMargins="0">
    <oddFooter>&amp;LLA Basin Stormwater Conservation Study_Project Costs&amp;R&amp;D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Title</vt:lpstr>
      <vt:lpstr>Summary</vt:lpstr>
      <vt:lpstr>Reach 0</vt:lpstr>
      <vt:lpstr>Reach 1</vt:lpstr>
      <vt:lpstr>Reach 2</vt:lpstr>
      <vt:lpstr>Reach 3</vt:lpstr>
      <vt:lpstr>Reach 4</vt:lpstr>
      <vt:lpstr>Reach 5</vt:lpstr>
      <vt:lpstr>Reach 6</vt:lpstr>
      <vt:lpstr>Reach 7</vt:lpstr>
      <vt:lpstr>'Reach 0'!Print_Area</vt:lpstr>
      <vt:lpstr>'Reach 1'!Print_Area</vt:lpstr>
      <vt:lpstr>'Reach 2'!Print_Area</vt:lpstr>
      <vt:lpstr>'Reach 3'!Print_Area</vt:lpstr>
      <vt:lpstr>'Reach 4'!Print_Area</vt:lpstr>
      <vt:lpstr>'Reach 5'!Print_Area</vt:lpstr>
      <vt:lpstr>'Reach 6'!Print_Area</vt:lpstr>
      <vt:lpstr>'Reach 7'!Print_Area</vt:lpstr>
      <vt:lpstr>Summary!Print_Area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Bral</dc:creator>
  <cp:lastModifiedBy>Summerville, Nathaniel/SCO</cp:lastModifiedBy>
  <cp:lastPrinted>2015-08-07T22:46:41Z</cp:lastPrinted>
  <dcterms:created xsi:type="dcterms:W3CDTF">2002-10-09T16:06:11Z</dcterms:created>
  <dcterms:modified xsi:type="dcterms:W3CDTF">2015-10-13T15:42:28Z</dcterms:modified>
</cp:coreProperties>
</file>