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ERON\Projects\Los Angeles County DPW\477376WatershedCall\LABasinStormwaterCaptureStudy\Report\AppendixD_Cost\"/>
    </mc:Choice>
  </mc:AlternateContent>
  <bookViews>
    <workbookView xWindow="360" yWindow="108" windowWidth="11340" windowHeight="8328"/>
  </bookViews>
  <sheets>
    <sheet name="Title" sheetId="24" r:id="rId1"/>
    <sheet name="Summary" sheetId="8" r:id="rId2"/>
    <sheet name="5 Aliso" sheetId="3" r:id="rId3"/>
    <sheet name="5 Arroyo" sheetId="9" r:id="rId4"/>
    <sheet name="5 Bell" sheetId="10" r:id="rId5"/>
    <sheet name="5 Browns" sheetId="11" r:id="rId6"/>
    <sheet name="5 Bull" sheetId="12" r:id="rId7"/>
    <sheet name="5 Burbank" sheetId="13" r:id="rId8"/>
    <sheet name="5 Tejunga" sheetId="14" r:id="rId9"/>
    <sheet name="5 Verdugo" sheetId="15" r:id="rId10"/>
    <sheet name="5 Alhambra" sheetId="16" r:id="rId11"/>
    <sheet name="5 Big Dalton" sheetId="17" r:id="rId12"/>
    <sheet name="5 Eaton" sheetId="18" r:id="rId13"/>
    <sheet name="5 Rio Hondo" sheetId="19" r:id="rId14"/>
    <sheet name="5 Rubio" sheetId="20" r:id="rId15"/>
    <sheet name="5 San Jose" sheetId="21" r:id="rId16"/>
    <sheet name="5 Walnut" sheetId="22" r:id="rId17"/>
  </sheets>
  <definedNames>
    <definedName name="_xlnm.Print_Area" localSheetId="10">'5 Alhambra'!$A$1:$R$66</definedName>
    <definedName name="_xlnm.Print_Area" localSheetId="2">'5 Aliso'!$A$1:$R$64</definedName>
    <definedName name="_xlnm.Print_Area" localSheetId="3">'5 Arroyo'!$A$1:$R$56</definedName>
    <definedName name="_xlnm.Print_Area" localSheetId="4">'5 Bell'!$A$1:$R$66</definedName>
    <definedName name="_xlnm.Print_Area" localSheetId="11">'5 Big Dalton'!$A$1:$R$66</definedName>
    <definedName name="_xlnm.Print_Area" localSheetId="5">'5 Browns'!$A$1:$R$66</definedName>
    <definedName name="_xlnm.Print_Area" localSheetId="6">'5 Bull'!$A$1:$R$68</definedName>
    <definedName name="_xlnm.Print_Area" localSheetId="7">'5 Burbank'!$A$1:$R$66</definedName>
    <definedName name="_xlnm.Print_Area" localSheetId="12">'5 Eaton'!$A$1:$R$66</definedName>
    <definedName name="_xlnm.Print_Area" localSheetId="13">'5 Rio Hondo'!$A$1:$R$66</definedName>
    <definedName name="_xlnm.Print_Area" localSheetId="14">'5 Rubio'!$A$1:$R$66</definedName>
    <definedName name="_xlnm.Print_Area" localSheetId="15">'5 San Jose'!$A$1:$R$66</definedName>
    <definedName name="_xlnm.Print_Area" localSheetId="8">'5 Tejunga'!$A$1:$R$66</definedName>
    <definedName name="_xlnm.Print_Area" localSheetId="9">'5 Verdugo'!$A$1:$R$66</definedName>
    <definedName name="_xlnm.Print_Area" localSheetId="16">'5 Walnut'!$A$1:$R$66</definedName>
    <definedName name="_xlnm.Print_Area" localSheetId="1">Summary!$A$1:$K$38</definedName>
    <definedName name="_xlnm.Print_Area" localSheetId="0">Title!$A$1:$C$40</definedName>
  </definedNames>
  <calcPr calcId="152511"/>
</workbook>
</file>

<file path=xl/calcChain.xml><?xml version="1.0" encoding="utf-8"?>
<calcChain xmlns="http://schemas.openxmlformats.org/spreadsheetml/2006/main">
  <c r="E69" i="3" l="1"/>
  <c r="B28" i="24"/>
  <c r="B34" i="22" l="1"/>
  <c r="B34" i="21"/>
  <c r="B34" i="20"/>
  <c r="B34" i="19"/>
  <c r="B34" i="18"/>
  <c r="B34" i="17"/>
  <c r="B34" i="16"/>
  <c r="B34" i="15"/>
  <c r="B34" i="14"/>
  <c r="B34" i="13"/>
  <c r="B12" i="13"/>
  <c r="B11" i="13"/>
  <c r="B10" i="13"/>
  <c r="B34" i="12"/>
  <c r="B11" i="12"/>
  <c r="B12" i="12"/>
  <c r="B10" i="12"/>
  <c r="B34" i="11" l="1"/>
  <c r="B12" i="11"/>
  <c r="B11" i="11"/>
  <c r="B10" i="11"/>
  <c r="B34" i="10"/>
  <c r="B33" i="3" l="1"/>
  <c r="B34" i="3"/>
  <c r="B27" i="3"/>
  <c r="B23" i="3"/>
  <c r="B27" i="11"/>
  <c r="B19" i="11"/>
  <c r="B18" i="11"/>
  <c r="B17" i="11"/>
  <c r="B16" i="11"/>
  <c r="B58" i="10"/>
  <c r="E69" i="9"/>
  <c r="B57" i="3"/>
  <c r="I10" i="8" l="1"/>
  <c r="B58" i="22"/>
  <c r="B58" i="21"/>
  <c r="B58" i="20"/>
  <c r="B58" i="18"/>
  <c r="B58" i="17"/>
  <c r="B58" i="16"/>
  <c r="E58" i="16" s="1"/>
  <c r="B58" i="15"/>
  <c r="B58" i="14"/>
  <c r="B58" i="13"/>
  <c r="B58" i="12"/>
  <c r="B58" i="11"/>
  <c r="E58" i="22" l="1"/>
  <c r="E59" i="22" s="1"/>
  <c r="E64" i="22" s="1"/>
  <c r="J28" i="8" s="1"/>
  <c r="E58" i="21"/>
  <c r="E59" i="21" s="1"/>
  <c r="E64" i="21" s="1"/>
  <c r="I28" i="8" s="1"/>
  <c r="E58" i="20"/>
  <c r="E59" i="20" s="1"/>
  <c r="E64" i="20" s="1"/>
  <c r="H28" i="8" s="1"/>
  <c r="B58" i="19"/>
  <c r="E58" i="19" s="1"/>
  <c r="E59" i="19" s="1"/>
  <c r="E64" i="19" s="1"/>
  <c r="G28" i="8" s="1"/>
  <c r="E58" i="18"/>
  <c r="E59" i="18" s="1"/>
  <c r="E64" i="18" s="1"/>
  <c r="F28" i="8" s="1"/>
  <c r="E58" i="17"/>
  <c r="E59" i="17" s="1"/>
  <c r="E64" i="17" s="1"/>
  <c r="E28" i="8" s="1"/>
  <c r="E59" i="16"/>
  <c r="E64" i="16" s="1"/>
  <c r="D28" i="8" s="1"/>
  <c r="E58" i="15"/>
  <c r="E59" i="15" s="1"/>
  <c r="E64" i="15" s="1"/>
  <c r="K10" i="8" s="1"/>
  <c r="E58" i="14"/>
  <c r="E59" i="14" s="1"/>
  <c r="E64" i="14" s="1"/>
  <c r="J10" i="8" s="1"/>
  <c r="E58" i="13"/>
  <c r="E59" i="13" s="1"/>
  <c r="E64" i="13" s="1"/>
  <c r="E58" i="12"/>
  <c r="E59" i="12" s="1"/>
  <c r="E64" i="12" s="1"/>
  <c r="H10" i="8" s="1"/>
  <c r="E58" i="11"/>
  <c r="E59" i="11" s="1"/>
  <c r="E64" i="11" s="1"/>
  <c r="G10" i="8" s="1"/>
  <c r="E58" i="10"/>
  <c r="E59" i="10" s="1"/>
  <c r="E64" i="10" s="1"/>
  <c r="F10" i="8" s="1"/>
  <c r="X5" i="9" l="1"/>
  <c r="W5" i="9"/>
  <c r="B18" i="9" l="1"/>
  <c r="B11" i="9"/>
  <c r="B17" i="9"/>
  <c r="B16" i="9"/>
  <c r="B12" i="9"/>
  <c r="B10" i="9"/>
  <c r="B19" i="9"/>
  <c r="B57" i="9"/>
  <c r="E57" i="9" s="1"/>
  <c r="E58" i="9" s="1"/>
  <c r="E63" i="9" s="1"/>
  <c r="E10" i="8" s="1"/>
  <c r="B34" i="9"/>
  <c r="B33" i="9"/>
  <c r="A3" i="3"/>
  <c r="E28" i="3"/>
  <c r="E57" i="3" l="1"/>
  <c r="E58" i="3" s="1"/>
  <c r="E34" i="3"/>
  <c r="E63" i="3" l="1"/>
  <c r="D10" i="8" s="1"/>
  <c r="B10" i="24" s="1"/>
  <c r="B35" i="13"/>
  <c r="B35" i="11"/>
  <c r="B35" i="12"/>
  <c r="B35" i="14"/>
  <c r="B35" i="15"/>
  <c r="B35" i="16"/>
  <c r="B35" i="17"/>
  <c r="B35" i="18"/>
  <c r="B35" i="19"/>
  <c r="B35" i="20"/>
  <c r="B35" i="22"/>
  <c r="B35" i="21"/>
  <c r="B29" i="22" l="1"/>
  <c r="B30" i="22" s="1"/>
  <c r="E30" i="22" s="1"/>
  <c r="B29" i="14"/>
  <c r="B29" i="21"/>
  <c r="B30" i="21" s="1"/>
  <c r="E30" i="21" s="1"/>
  <c r="B29" i="20"/>
  <c r="B30" i="20" s="1"/>
  <c r="E30" i="20" s="1"/>
  <c r="B29" i="19"/>
  <c r="B30" i="19" s="1"/>
  <c r="E30" i="19" s="1"/>
  <c r="B29" i="18"/>
  <c r="B30" i="18" s="1"/>
  <c r="E30" i="18" s="1"/>
  <c r="B29" i="17"/>
  <c r="B30" i="17" s="1"/>
  <c r="E30" i="17" s="1"/>
  <c r="B29" i="16"/>
  <c r="B30" i="16" s="1"/>
  <c r="B29" i="15"/>
  <c r="B30" i="15" s="1"/>
  <c r="E30" i="15" s="1"/>
  <c r="B30" i="13"/>
  <c r="E30" i="13" s="1"/>
  <c r="E28" i="12"/>
  <c r="B30" i="12"/>
  <c r="E30" i="12" s="1"/>
  <c r="B29" i="12"/>
  <c r="B27" i="12"/>
  <c r="E27" i="12" s="1"/>
  <c r="B29" i="13"/>
  <c r="B30" i="11"/>
  <c r="E30" i="11" s="1"/>
  <c r="B29" i="11"/>
  <c r="B30" i="10"/>
  <c r="E30" i="10" s="1"/>
  <c r="B35" i="10"/>
  <c r="B29" i="10"/>
  <c r="B23" i="22"/>
  <c r="B19" i="22"/>
  <c r="B18" i="22"/>
  <c r="B17" i="22"/>
  <c r="B16" i="22"/>
  <c r="B12" i="22"/>
  <c r="B11" i="22"/>
  <c r="B10" i="22"/>
  <c r="B23" i="21"/>
  <c r="B19" i="21"/>
  <c r="B18" i="21"/>
  <c r="B17" i="21"/>
  <c r="B16" i="21"/>
  <c r="B12" i="21"/>
  <c r="B11" i="21"/>
  <c r="B10" i="21"/>
  <c r="B23" i="20"/>
  <c r="B19" i="20"/>
  <c r="B18" i="20"/>
  <c r="B17" i="20"/>
  <c r="B16" i="20"/>
  <c r="B12" i="20"/>
  <c r="B11" i="20"/>
  <c r="B10" i="20"/>
  <c r="B23" i="19"/>
  <c r="B19" i="19"/>
  <c r="B18" i="19"/>
  <c r="B17" i="19"/>
  <c r="B16" i="19"/>
  <c r="B12" i="19"/>
  <c r="B11" i="19"/>
  <c r="B10" i="19"/>
  <c r="B23" i="18"/>
  <c r="B19" i="18"/>
  <c r="B18" i="18"/>
  <c r="B17" i="18"/>
  <c r="B16" i="18"/>
  <c r="B12" i="18"/>
  <c r="B11" i="18"/>
  <c r="B10" i="18"/>
  <c r="B23" i="17"/>
  <c r="B19" i="17"/>
  <c r="B18" i="17"/>
  <c r="B17" i="17"/>
  <c r="B16" i="17"/>
  <c r="B12" i="17"/>
  <c r="B11" i="17"/>
  <c r="B10" i="17"/>
  <c r="B23" i="16"/>
  <c r="B19" i="16"/>
  <c r="B18" i="16"/>
  <c r="B17" i="16"/>
  <c r="B16" i="16"/>
  <c r="B12" i="16"/>
  <c r="B11" i="16"/>
  <c r="B10" i="16"/>
  <c r="B23" i="15"/>
  <c r="B19" i="15"/>
  <c r="B18" i="15"/>
  <c r="B17" i="15"/>
  <c r="B16" i="15"/>
  <c r="B12" i="15"/>
  <c r="B11" i="15"/>
  <c r="B10" i="15"/>
  <c r="B23" i="14"/>
  <c r="B19" i="14"/>
  <c r="B18" i="14"/>
  <c r="B17" i="14"/>
  <c r="B16" i="14"/>
  <c r="B12" i="14"/>
  <c r="B11" i="14"/>
  <c r="B10" i="14"/>
  <c r="B23" i="13"/>
  <c r="B19" i="13"/>
  <c r="B18" i="13"/>
  <c r="B17" i="13"/>
  <c r="B16" i="13"/>
  <c r="B23" i="12"/>
  <c r="B19" i="12"/>
  <c r="B18" i="12"/>
  <c r="B17" i="12"/>
  <c r="B16" i="12"/>
  <c r="B23" i="11"/>
  <c r="B23" i="10"/>
  <c r="B19" i="10"/>
  <c r="B18" i="10"/>
  <c r="B17" i="10"/>
  <c r="B16" i="10"/>
  <c r="B12" i="10"/>
  <c r="B11" i="10"/>
  <c r="B10" i="10"/>
  <c r="B29" i="9"/>
  <c r="E34" i="9"/>
  <c r="E33" i="3"/>
  <c r="B29" i="3"/>
  <c r="B19" i="3"/>
  <c r="E19" i="3" s="1"/>
  <c r="B18" i="3"/>
  <c r="E18" i="3" s="1"/>
  <c r="B17" i="3"/>
  <c r="E17" i="3" s="1"/>
  <c r="B16" i="3"/>
  <c r="E16" i="3" s="1"/>
  <c r="B12" i="3"/>
  <c r="E12" i="3" s="1"/>
  <c r="B11" i="3"/>
  <c r="E11" i="3" s="1"/>
  <c r="B10" i="3"/>
  <c r="E10" i="3" s="1"/>
  <c r="B30" i="14" l="1"/>
  <c r="E30" i="14" s="1"/>
  <c r="E35" i="3"/>
  <c r="E20" i="3"/>
  <c r="E30" i="16"/>
  <c r="E13" i="3"/>
  <c r="B27" i="9"/>
  <c r="E27" i="9" s="1"/>
  <c r="B23" i="9"/>
  <c r="E33" i="9"/>
  <c r="E35" i="9" s="1"/>
  <c r="A1" i="22" l="1"/>
  <c r="A2" i="22"/>
  <c r="A3" i="22"/>
  <c r="A1" i="21"/>
  <c r="A2" i="21"/>
  <c r="A3" i="21"/>
  <c r="A1" i="20"/>
  <c r="A2" i="20"/>
  <c r="A3" i="20"/>
  <c r="A1" i="19"/>
  <c r="A2" i="19"/>
  <c r="A3" i="19"/>
  <c r="A1" i="18"/>
  <c r="A2" i="18"/>
  <c r="A3" i="18"/>
  <c r="A1" i="17"/>
  <c r="A2" i="17"/>
  <c r="A3" i="17"/>
  <c r="A1" i="16"/>
  <c r="A2" i="16"/>
  <c r="A3" i="16"/>
  <c r="A1" i="15"/>
  <c r="A2" i="15"/>
  <c r="A3" i="15"/>
  <c r="A1" i="14"/>
  <c r="A2" i="14"/>
  <c r="A3" i="14"/>
  <c r="A1" i="13"/>
  <c r="A2" i="13"/>
  <c r="A3" i="13"/>
  <c r="A1" i="12"/>
  <c r="A2" i="12"/>
  <c r="A3" i="12"/>
  <c r="A1" i="11"/>
  <c r="A2" i="11"/>
  <c r="A3" i="11"/>
  <c r="A1" i="10"/>
  <c r="A2" i="10"/>
  <c r="A3" i="10"/>
  <c r="A1" i="9"/>
  <c r="A2" i="9"/>
  <c r="A3" i="9"/>
  <c r="A1" i="3"/>
  <c r="A2" i="3"/>
  <c r="E28" i="22" l="1"/>
  <c r="E28" i="21"/>
  <c r="E28" i="20"/>
  <c r="E28" i="19"/>
  <c r="E28" i="18"/>
  <c r="E28" i="17"/>
  <c r="E28" i="16"/>
  <c r="E28" i="15"/>
  <c r="E28" i="14"/>
  <c r="E28" i="13"/>
  <c r="E28" i="11"/>
  <c r="E28" i="10"/>
  <c r="E28" i="9"/>
  <c r="J21" i="8"/>
  <c r="I21" i="8"/>
  <c r="H21" i="8"/>
  <c r="G21" i="8"/>
  <c r="F21" i="8"/>
  <c r="E21" i="8"/>
  <c r="D21" i="8"/>
  <c r="K4" i="8"/>
  <c r="J4" i="8"/>
  <c r="I4" i="8"/>
  <c r="D29" i="9" l="1"/>
  <c r="E29" i="9" s="1"/>
  <c r="E70" i="22"/>
  <c r="E23" i="22"/>
  <c r="E24" i="22" s="1"/>
  <c r="E18" i="22"/>
  <c r="E17" i="22"/>
  <c r="E16" i="22"/>
  <c r="E12" i="22"/>
  <c r="E11" i="22"/>
  <c r="E10" i="22"/>
  <c r="B27" i="22"/>
  <c r="E27" i="22" s="1"/>
  <c r="N26" i="22"/>
  <c r="E19" i="22"/>
  <c r="E70" i="21"/>
  <c r="D29" i="22" l="1"/>
  <c r="E29" i="22" s="1"/>
  <c r="E31" i="22"/>
  <c r="E30" i="9"/>
  <c r="J36" i="8"/>
  <c r="J24" i="8"/>
  <c r="P26" i="22"/>
  <c r="E34" i="22"/>
  <c r="J34" i="8"/>
  <c r="E35" i="22"/>
  <c r="J32" i="8"/>
  <c r="I32" i="8"/>
  <c r="I24" i="8"/>
  <c r="I34" i="8"/>
  <c r="E20" i="22"/>
  <c r="E13" i="22"/>
  <c r="E35" i="21"/>
  <c r="E34" i="21"/>
  <c r="B27" i="21"/>
  <c r="E27" i="21" s="1"/>
  <c r="D29" i="21" s="1"/>
  <c r="E29" i="21" s="1"/>
  <c r="E31" i="21" s="1"/>
  <c r="N26" i="21"/>
  <c r="E23" i="21"/>
  <c r="E24" i="21" s="1"/>
  <c r="E19" i="21"/>
  <c r="E18" i="21"/>
  <c r="E17" i="21"/>
  <c r="E16" i="21"/>
  <c r="E12" i="21"/>
  <c r="E11" i="21"/>
  <c r="E10" i="21"/>
  <c r="E70" i="20"/>
  <c r="E23" i="20"/>
  <c r="E24" i="20" s="1"/>
  <c r="E19" i="20"/>
  <c r="E17" i="20"/>
  <c r="E16" i="20"/>
  <c r="E12" i="20"/>
  <c r="E11" i="20"/>
  <c r="B27" i="20"/>
  <c r="E27" i="20" s="1"/>
  <c r="N26" i="20"/>
  <c r="E18" i="20"/>
  <c r="E10" i="20"/>
  <c r="E70" i="19"/>
  <c r="E34" i="19"/>
  <c r="E23" i="19"/>
  <c r="E24" i="19" s="1"/>
  <c r="E19" i="19"/>
  <c r="E18" i="19"/>
  <c r="E17" i="19"/>
  <c r="E16" i="19"/>
  <c r="E12" i="19"/>
  <c r="B27" i="19"/>
  <c r="E27" i="19" s="1"/>
  <c r="D29" i="19" s="1"/>
  <c r="E29" i="19" s="1"/>
  <c r="E31" i="19" s="1"/>
  <c r="N26" i="19"/>
  <c r="P26" i="19" s="1"/>
  <c r="E11" i="19"/>
  <c r="E10" i="19"/>
  <c r="E70" i="18"/>
  <c r="E34" i="18"/>
  <c r="E23" i="18"/>
  <c r="E24" i="18" s="1"/>
  <c r="E19" i="18"/>
  <c r="E11" i="18"/>
  <c r="E10" i="18"/>
  <c r="B27" i="18"/>
  <c r="E27" i="18" s="1"/>
  <c r="N26" i="18"/>
  <c r="E18" i="18"/>
  <c r="E17" i="18"/>
  <c r="E16" i="18"/>
  <c r="E12" i="18"/>
  <c r="E70" i="17"/>
  <c r="E23" i="17"/>
  <c r="E24" i="17" s="1"/>
  <c r="E19" i="17"/>
  <c r="E18" i="17"/>
  <c r="E17" i="17"/>
  <c r="E16" i="17"/>
  <c r="E12" i="17"/>
  <c r="E10" i="17"/>
  <c r="E35" i="17"/>
  <c r="B27" i="17"/>
  <c r="E27" i="17" s="1"/>
  <c r="N26" i="17"/>
  <c r="E11" i="17"/>
  <c r="E70" i="16"/>
  <c r="E35" i="16"/>
  <c r="E23" i="16"/>
  <c r="E24" i="16" s="1"/>
  <c r="E18" i="16"/>
  <c r="E17" i="16"/>
  <c r="E12" i="16"/>
  <c r="E10" i="16"/>
  <c r="B27" i="16"/>
  <c r="E27" i="16" s="1"/>
  <c r="N26" i="16"/>
  <c r="P26" i="16" s="1"/>
  <c r="E19" i="16"/>
  <c r="E16" i="16"/>
  <c r="E11" i="16"/>
  <c r="E70" i="15"/>
  <c r="E34" i="15"/>
  <c r="E23" i="15"/>
  <c r="E24" i="15" s="1"/>
  <c r="E19" i="15"/>
  <c r="E18" i="15"/>
  <c r="E17" i="15"/>
  <c r="E12" i="15"/>
  <c r="B27" i="15"/>
  <c r="E27" i="15" s="1"/>
  <c r="N26" i="15"/>
  <c r="E16" i="15"/>
  <c r="E11" i="15"/>
  <c r="E10" i="15"/>
  <c r="E70" i="14"/>
  <c r="E23" i="14"/>
  <c r="E24" i="14" s="1"/>
  <c r="E19" i="14"/>
  <c r="E18" i="14"/>
  <c r="E17" i="14"/>
  <c r="E16" i="14"/>
  <c r="E12" i="14"/>
  <c r="E11" i="14"/>
  <c r="B27" i="14"/>
  <c r="E27" i="14" s="1"/>
  <c r="N26" i="14"/>
  <c r="E10" i="14"/>
  <c r="E70" i="13"/>
  <c r="E23" i="13"/>
  <c r="E24" i="13" s="1"/>
  <c r="E19" i="13"/>
  <c r="E16" i="13"/>
  <c r="E12" i="13"/>
  <c r="E11" i="13"/>
  <c r="E10" i="13"/>
  <c r="B27" i="13"/>
  <c r="E27" i="13" s="1"/>
  <c r="N26" i="13"/>
  <c r="E18" i="13"/>
  <c r="E17" i="13"/>
  <c r="H4" i="8"/>
  <c r="E70" i="12"/>
  <c r="E19" i="12"/>
  <c r="E16" i="12"/>
  <c r="E12" i="12"/>
  <c r="E11" i="12"/>
  <c r="E10" i="12"/>
  <c r="N26" i="12"/>
  <c r="H18" i="8" s="1"/>
  <c r="E23" i="12"/>
  <c r="E24" i="12" s="1"/>
  <c r="E18" i="12"/>
  <c r="E17" i="12"/>
  <c r="G4" i="8"/>
  <c r="E70" i="10"/>
  <c r="E70" i="11"/>
  <c r="G16" i="8"/>
  <c r="E23" i="11"/>
  <c r="E24" i="11" s="1"/>
  <c r="E18" i="11"/>
  <c r="E16" i="11"/>
  <c r="E12" i="11"/>
  <c r="E11" i="11"/>
  <c r="E10" i="11"/>
  <c r="E27" i="11"/>
  <c r="N26" i="11"/>
  <c r="G18" i="8" s="1"/>
  <c r="E19" i="11"/>
  <c r="E17" i="11"/>
  <c r="D29" i="16" l="1"/>
  <c r="E29" i="16" s="1"/>
  <c r="E31" i="16"/>
  <c r="E36" i="22"/>
  <c r="D29" i="12"/>
  <c r="E29" i="12" s="1"/>
  <c r="E31" i="12" s="1"/>
  <c r="P26" i="21"/>
  <c r="I36" i="8"/>
  <c r="H24" i="8"/>
  <c r="P26" i="20"/>
  <c r="H36" i="8"/>
  <c r="D29" i="20"/>
  <c r="E29" i="20" s="1"/>
  <c r="E31" i="20" s="1"/>
  <c r="E34" i="20"/>
  <c r="H34" i="8"/>
  <c r="E35" i="20"/>
  <c r="H32" i="8"/>
  <c r="G34" i="8"/>
  <c r="G24" i="8"/>
  <c r="G36" i="8"/>
  <c r="E35" i="19"/>
  <c r="E36" i="19" s="1"/>
  <c r="G32" i="8"/>
  <c r="F34" i="8"/>
  <c r="E35" i="18"/>
  <c r="E36" i="18" s="1"/>
  <c r="F32" i="8"/>
  <c r="D29" i="18"/>
  <c r="E29" i="18" s="1"/>
  <c r="E31" i="18" s="1"/>
  <c r="F24" i="8"/>
  <c r="P26" i="18"/>
  <c r="F36" i="8"/>
  <c r="P26" i="17"/>
  <c r="E36" i="8"/>
  <c r="D29" i="17"/>
  <c r="E29" i="17" s="1"/>
  <c r="E31" i="17" s="1"/>
  <c r="E32" i="8"/>
  <c r="E34" i="17"/>
  <c r="E36" i="17" s="1"/>
  <c r="E34" i="8"/>
  <c r="E24" i="8"/>
  <c r="D34" i="8"/>
  <c r="D32" i="8"/>
  <c r="D36" i="8"/>
  <c r="D24" i="8"/>
  <c r="E34" i="16"/>
  <c r="E36" i="16" s="1"/>
  <c r="P26" i="15"/>
  <c r="K18" i="8"/>
  <c r="D29" i="15"/>
  <c r="E29" i="15" s="1"/>
  <c r="E31" i="15" s="1"/>
  <c r="E35" i="15"/>
  <c r="K14" i="8"/>
  <c r="K16" i="8"/>
  <c r="K6" i="8"/>
  <c r="J6" i="8"/>
  <c r="J18" i="8"/>
  <c r="P26" i="14"/>
  <c r="D29" i="14"/>
  <c r="E34" i="14"/>
  <c r="J16" i="8"/>
  <c r="E35" i="14"/>
  <c r="J14" i="8"/>
  <c r="E34" i="13"/>
  <c r="I16" i="8"/>
  <c r="E35" i="13"/>
  <c r="I14" i="8"/>
  <c r="P26" i="13"/>
  <c r="I18" i="8"/>
  <c r="I6" i="8"/>
  <c r="D29" i="13"/>
  <c r="E29" i="13" s="1"/>
  <c r="E31" i="13" s="1"/>
  <c r="E35" i="12"/>
  <c r="E34" i="12"/>
  <c r="E36" i="12" s="1"/>
  <c r="H6" i="8"/>
  <c r="P26" i="12"/>
  <c r="H14" i="8"/>
  <c r="H16" i="8"/>
  <c r="E20" i="11"/>
  <c r="E35" i="11"/>
  <c r="P26" i="11"/>
  <c r="G6" i="8"/>
  <c r="D29" i="11"/>
  <c r="E29" i="11" s="1"/>
  <c r="E31" i="11" s="1"/>
  <c r="E34" i="11"/>
  <c r="G14" i="8"/>
  <c r="E20" i="21"/>
  <c r="E36" i="21"/>
  <c r="E13" i="21"/>
  <c r="E20" i="20"/>
  <c r="E13" i="20"/>
  <c r="E20" i="19"/>
  <c r="E13" i="19"/>
  <c r="E13" i="18"/>
  <c r="E20" i="18"/>
  <c r="E20" i="17"/>
  <c r="E13" i="17"/>
  <c r="E20" i="16"/>
  <c r="E13" i="16"/>
  <c r="E20" i="15"/>
  <c r="E36" i="15"/>
  <c r="E13" i="15"/>
  <c r="E20" i="14"/>
  <c r="E13" i="14"/>
  <c r="E13" i="13"/>
  <c r="E20" i="13"/>
  <c r="E20" i="12"/>
  <c r="E13" i="12"/>
  <c r="E13" i="11"/>
  <c r="F4" i="8"/>
  <c r="E4" i="8"/>
  <c r="F14" i="8"/>
  <c r="E23" i="10"/>
  <c r="E24" i="10" s="1"/>
  <c r="E19" i="10"/>
  <c r="E18" i="10"/>
  <c r="E17" i="10"/>
  <c r="E16" i="10"/>
  <c r="E12" i="10"/>
  <c r="E11" i="10"/>
  <c r="E10" i="10"/>
  <c r="F6" i="8"/>
  <c r="B27" i="10"/>
  <c r="E27" i="10" s="1"/>
  <c r="N26" i="10"/>
  <c r="E29" i="14" l="1"/>
  <c r="E31" i="14" s="1"/>
  <c r="D29" i="10"/>
  <c r="E29" i="10" s="1"/>
  <c r="E31" i="10" s="1"/>
  <c r="E36" i="20"/>
  <c r="E36" i="13"/>
  <c r="D38" i="12"/>
  <c r="E38" i="12" s="1"/>
  <c r="E39" i="12" s="1"/>
  <c r="D38" i="18"/>
  <c r="E38" i="18" s="1"/>
  <c r="E39" i="18" s="1"/>
  <c r="D38" i="22"/>
  <c r="E38" i="22" s="1"/>
  <c r="E39" i="22" s="1"/>
  <c r="D38" i="21"/>
  <c r="E38" i="21" s="1"/>
  <c r="E39" i="21" s="1"/>
  <c r="D38" i="19"/>
  <c r="E38" i="19" s="1"/>
  <c r="E39" i="19" s="1"/>
  <c r="D38" i="17"/>
  <c r="E38" i="17" s="1"/>
  <c r="E39" i="17" s="1"/>
  <c r="D41" i="17" s="1"/>
  <c r="E41" i="17" s="1"/>
  <c r="E42" i="17" s="1"/>
  <c r="D38" i="16"/>
  <c r="E38" i="16" s="1"/>
  <c r="E39" i="16" s="1"/>
  <c r="D38" i="15"/>
  <c r="E38" i="15" s="1"/>
  <c r="E39" i="15" s="1"/>
  <c r="E36" i="14"/>
  <c r="D38" i="13"/>
  <c r="E38" i="13" s="1"/>
  <c r="E39" i="13" s="1"/>
  <c r="E34" i="10"/>
  <c r="F16" i="8"/>
  <c r="P26" i="10"/>
  <c r="F18" i="8"/>
  <c r="E35" i="10"/>
  <c r="E36" i="11"/>
  <c r="D38" i="11" s="1"/>
  <c r="E38" i="11" s="1"/>
  <c r="E39" i="11" s="1"/>
  <c r="E20" i="10"/>
  <c r="E13" i="10"/>
  <c r="D38" i="20" l="1"/>
  <c r="D46" i="17"/>
  <c r="E46" i="17" s="1"/>
  <c r="D41" i="18"/>
  <c r="E41" i="18" s="1"/>
  <c r="E42" i="18" s="1"/>
  <c r="D46" i="18" s="1"/>
  <c r="E46" i="18" s="1"/>
  <c r="D41" i="15"/>
  <c r="E41" i="15" s="1"/>
  <c r="E42" i="15" s="1"/>
  <c r="D46" i="15" s="1"/>
  <c r="D41" i="12"/>
  <c r="E41" i="12" s="1"/>
  <c r="E42" i="12" s="1"/>
  <c r="D41" i="22"/>
  <c r="E41" i="22" s="1"/>
  <c r="D41" i="21"/>
  <c r="E41" i="21" s="1"/>
  <c r="E42" i="21" s="1"/>
  <c r="N31" i="21" s="1"/>
  <c r="E68" i="21" s="1"/>
  <c r="D41" i="19"/>
  <c r="E41" i="19" s="1"/>
  <c r="E42" i="19" s="1"/>
  <c r="D49" i="19" s="1"/>
  <c r="E49" i="19" s="1"/>
  <c r="D41" i="16"/>
  <c r="E41" i="16" s="1"/>
  <c r="D38" i="14"/>
  <c r="E38" i="14" s="1"/>
  <c r="E39" i="14" s="1"/>
  <c r="D41" i="13"/>
  <c r="E41" i="13" s="1"/>
  <c r="E42" i="13" s="1"/>
  <c r="D48" i="13" s="1"/>
  <c r="E48" i="13" s="1"/>
  <c r="D41" i="11"/>
  <c r="E41" i="11" s="1"/>
  <c r="E42" i="11" s="1"/>
  <c r="D50" i="17"/>
  <c r="E50" i="17" s="1"/>
  <c r="D49" i="17"/>
  <c r="E49" i="17" s="1"/>
  <c r="D45" i="17"/>
  <c r="D48" i="17"/>
  <c r="E48" i="17" s="1"/>
  <c r="N31" i="17"/>
  <c r="E68" i="17" s="1"/>
  <c r="E36" i="10"/>
  <c r="D49" i="18" l="1"/>
  <c r="E49" i="18" s="1"/>
  <c r="D50" i="18"/>
  <c r="E50" i="18" s="1"/>
  <c r="D47" i="17"/>
  <c r="E47" i="17" s="1"/>
  <c r="D50" i="15"/>
  <c r="E50" i="15" s="1"/>
  <c r="D45" i="21"/>
  <c r="E45" i="21" s="1"/>
  <c r="D45" i="19"/>
  <c r="E45" i="19" s="1"/>
  <c r="N31" i="18"/>
  <c r="E68" i="18" s="1"/>
  <c r="D45" i="18"/>
  <c r="E45" i="18" s="1"/>
  <c r="D48" i="18"/>
  <c r="E48" i="18" s="1"/>
  <c r="D45" i="15"/>
  <c r="D45" i="13"/>
  <c r="E45" i="13" s="1"/>
  <c r="D50" i="12"/>
  <c r="E50" i="12" s="1"/>
  <c r="D45" i="12"/>
  <c r="E45" i="12" s="1"/>
  <c r="D45" i="11"/>
  <c r="E45" i="11" s="1"/>
  <c r="E42" i="22"/>
  <c r="D50" i="22" s="1"/>
  <c r="E50" i="22" s="1"/>
  <c r="N31" i="15"/>
  <c r="E68" i="15" s="1"/>
  <c r="D49" i="12"/>
  <c r="E49" i="12" s="1"/>
  <c r="D46" i="12"/>
  <c r="N31" i="12"/>
  <c r="E68" i="12" s="1"/>
  <c r="D48" i="12"/>
  <c r="E48" i="12" s="1"/>
  <c r="E42" i="16"/>
  <c r="D45" i="16" s="1"/>
  <c r="E45" i="16" s="1"/>
  <c r="D48" i="15"/>
  <c r="E48" i="15" s="1"/>
  <c r="D49" i="15"/>
  <c r="E49" i="15" s="1"/>
  <c r="D50" i="13"/>
  <c r="E50" i="13" s="1"/>
  <c r="N31" i="13"/>
  <c r="E68" i="13" s="1"/>
  <c r="D46" i="13"/>
  <c r="E46" i="13" s="1"/>
  <c r="D49" i="13"/>
  <c r="E49" i="13" s="1"/>
  <c r="N31" i="11"/>
  <c r="E68" i="11" s="1"/>
  <c r="D48" i="11"/>
  <c r="E48" i="11" s="1"/>
  <c r="D50" i="11"/>
  <c r="E50" i="11" s="1"/>
  <c r="D49" i="11"/>
  <c r="E49" i="11" s="1"/>
  <c r="D46" i="11"/>
  <c r="E46" i="11" s="1"/>
  <c r="D49" i="21"/>
  <c r="E49" i="21" s="1"/>
  <c r="D48" i="21"/>
  <c r="E48" i="21" s="1"/>
  <c r="D41" i="14"/>
  <c r="E41" i="14" s="1"/>
  <c r="D38" i="10"/>
  <c r="E38" i="10" s="1"/>
  <c r="E39" i="10" s="1"/>
  <c r="D46" i="21"/>
  <c r="E46" i="21" s="1"/>
  <c r="D50" i="21"/>
  <c r="E50" i="21" s="1"/>
  <c r="N31" i="22"/>
  <c r="E68" i="22" s="1"/>
  <c r="D48" i="19"/>
  <c r="E48" i="19" s="1"/>
  <c r="N31" i="19"/>
  <c r="E68" i="19" s="1"/>
  <c r="D46" i="19"/>
  <c r="D50" i="19"/>
  <c r="E50" i="19" s="1"/>
  <c r="E45" i="17"/>
  <c r="E46" i="15"/>
  <c r="D47" i="18" l="1"/>
  <c r="E47" i="18" s="1"/>
  <c r="D47" i="19"/>
  <c r="E47" i="19" s="1"/>
  <c r="D47" i="12"/>
  <c r="E47" i="12" s="1"/>
  <c r="D46" i="22"/>
  <c r="E46" i="22" s="1"/>
  <c r="D45" i="22"/>
  <c r="E45" i="22" s="1"/>
  <c r="D47" i="21"/>
  <c r="E47" i="21" s="1"/>
  <c r="E51" i="18"/>
  <c r="D54" i="18" s="1"/>
  <c r="E54" i="18" s="1"/>
  <c r="D47" i="15"/>
  <c r="E47" i="15" s="1"/>
  <c r="E45" i="15"/>
  <c r="D47" i="13"/>
  <c r="E47" i="13" s="1"/>
  <c r="E51" i="13" s="1"/>
  <c r="D54" i="13" s="1"/>
  <c r="E54" i="13" s="1"/>
  <c r="E55" i="13" s="1"/>
  <c r="E46" i="12"/>
  <c r="D47" i="11"/>
  <c r="E47" i="11" s="1"/>
  <c r="E51" i="11" s="1"/>
  <c r="D54" i="11" s="1"/>
  <c r="E54" i="11" s="1"/>
  <c r="E55" i="11" s="1"/>
  <c r="E62" i="11" s="1"/>
  <c r="E66" i="11" s="1"/>
  <c r="D50" i="16"/>
  <c r="E50" i="16" s="1"/>
  <c r="D48" i="22"/>
  <c r="E48" i="22" s="1"/>
  <c r="D49" i="22"/>
  <c r="E49" i="22" s="1"/>
  <c r="D48" i="16"/>
  <c r="E48" i="16" s="1"/>
  <c r="D49" i="16"/>
  <c r="E49" i="16" s="1"/>
  <c r="N31" i="16"/>
  <c r="E68" i="16" s="1"/>
  <c r="D46" i="16"/>
  <c r="E46" i="16" s="1"/>
  <c r="K12" i="8"/>
  <c r="D41" i="10"/>
  <c r="E41" i="10" s="1"/>
  <c r="E42" i="10" s="1"/>
  <c r="E42" i="14"/>
  <c r="E46" i="19"/>
  <c r="E51" i="17"/>
  <c r="D54" i="17" s="1"/>
  <c r="E54" i="17" s="1"/>
  <c r="E55" i="17" s="1"/>
  <c r="E62" i="17" s="1"/>
  <c r="E66" i="17" s="1"/>
  <c r="E51" i="19" l="1"/>
  <c r="E51" i="12"/>
  <c r="D54" i="12" s="1"/>
  <c r="E54" i="12" s="1"/>
  <c r="E55" i="12" s="1"/>
  <c r="E62" i="12" s="1"/>
  <c r="E66" i="12" s="1"/>
  <c r="E72" i="12" s="1"/>
  <c r="H20" i="8" s="1"/>
  <c r="D47" i="22"/>
  <c r="E47" i="22" s="1"/>
  <c r="E51" i="22" s="1"/>
  <c r="D54" i="22" s="1"/>
  <c r="E54" i="22" s="1"/>
  <c r="E55" i="22" s="1"/>
  <c r="E51" i="21"/>
  <c r="D54" i="21" s="1"/>
  <c r="E54" i="21" s="1"/>
  <c r="E55" i="21" s="1"/>
  <c r="E62" i="21" s="1"/>
  <c r="E66" i="21" s="1"/>
  <c r="E55" i="18"/>
  <c r="E62" i="18"/>
  <c r="F26" i="8" s="1"/>
  <c r="D47" i="16"/>
  <c r="E47" i="16" s="1"/>
  <c r="E51" i="16" s="1"/>
  <c r="E51" i="15"/>
  <c r="D54" i="15" s="1"/>
  <c r="E54" i="15" s="1"/>
  <c r="E55" i="15" s="1"/>
  <c r="D45" i="14"/>
  <c r="E45" i="14" s="1"/>
  <c r="D50" i="10"/>
  <c r="E50" i="10" s="1"/>
  <c r="D45" i="10"/>
  <c r="E45" i="10" s="1"/>
  <c r="N31" i="14"/>
  <c r="E68" i="14" s="1"/>
  <c r="D49" i="14"/>
  <c r="E49" i="14" s="1"/>
  <c r="E62" i="13"/>
  <c r="E66" i="13" s="1"/>
  <c r="G30" i="8"/>
  <c r="D48" i="14"/>
  <c r="E48" i="14" s="1"/>
  <c r="D50" i="14"/>
  <c r="E50" i="14" s="1"/>
  <c r="D46" i="14"/>
  <c r="E46" i="14" s="1"/>
  <c r="N31" i="10"/>
  <c r="E68" i="10" s="1"/>
  <c r="D48" i="10"/>
  <c r="E48" i="10" s="1"/>
  <c r="D46" i="10"/>
  <c r="E46" i="10" s="1"/>
  <c r="D49" i="10"/>
  <c r="E49" i="10" s="1"/>
  <c r="I30" i="8"/>
  <c r="F30" i="8"/>
  <c r="E30" i="8"/>
  <c r="I12" i="8"/>
  <c r="H12" i="8"/>
  <c r="G12" i="8"/>
  <c r="E72" i="17"/>
  <c r="E38" i="8" s="1"/>
  <c r="E26" i="8"/>
  <c r="E72" i="11"/>
  <c r="G20" i="8" s="1"/>
  <c r="G8" i="8"/>
  <c r="D54" i="19"/>
  <c r="E54" i="19" s="1"/>
  <c r="E55" i="19" s="1"/>
  <c r="E62" i="19" s="1"/>
  <c r="E66" i="19" s="1"/>
  <c r="E62" i="22" l="1"/>
  <c r="E66" i="22" s="1"/>
  <c r="E66" i="18"/>
  <c r="E72" i="18" s="1"/>
  <c r="F38" i="8" s="1"/>
  <c r="H8" i="8"/>
  <c r="E62" i="15"/>
  <c r="E72" i="21"/>
  <c r="I38" i="8" s="1"/>
  <c r="I26" i="8"/>
  <c r="D54" i="16"/>
  <c r="E54" i="16" s="1"/>
  <c r="E55" i="16" s="1"/>
  <c r="E62" i="16" s="1"/>
  <c r="D47" i="14"/>
  <c r="E47" i="14" s="1"/>
  <c r="E51" i="14" s="1"/>
  <c r="D54" i="14" s="1"/>
  <c r="E54" i="14" s="1"/>
  <c r="E55" i="14" s="1"/>
  <c r="D47" i="10"/>
  <c r="E47" i="10" s="1"/>
  <c r="E51" i="10" s="1"/>
  <c r="E72" i="13"/>
  <c r="I20" i="8" s="1"/>
  <c r="I8" i="8"/>
  <c r="J12" i="8"/>
  <c r="F12" i="8"/>
  <c r="D30" i="8"/>
  <c r="J30" i="8"/>
  <c r="E72" i="19"/>
  <c r="G38" i="8" s="1"/>
  <c r="G26" i="8"/>
  <c r="J26" i="8" l="1"/>
  <c r="E66" i="16"/>
  <c r="E72" i="16" s="1"/>
  <c r="D38" i="8" s="1"/>
  <c r="E66" i="15"/>
  <c r="E72" i="15" s="1"/>
  <c r="K20" i="8" s="1"/>
  <c r="K8" i="8"/>
  <c r="D26" i="8"/>
  <c r="D54" i="10"/>
  <c r="E54" i="10" s="1"/>
  <c r="E55" i="10" s="1"/>
  <c r="E72" i="22"/>
  <c r="J38" i="8" s="1"/>
  <c r="E62" i="14"/>
  <c r="E66" i="14" s="1"/>
  <c r="E62" i="10" l="1"/>
  <c r="E72" i="14"/>
  <c r="J20" i="8" s="1"/>
  <c r="J8" i="8"/>
  <c r="E23" i="9"/>
  <c r="E24" i="9" s="1"/>
  <c r="E19" i="9"/>
  <c r="E18" i="9"/>
  <c r="E17" i="9"/>
  <c r="E16" i="9"/>
  <c r="E12" i="9"/>
  <c r="E11" i="9"/>
  <c r="E10" i="9"/>
  <c r="E6" i="8"/>
  <c r="N26" i="9"/>
  <c r="E66" i="10" l="1"/>
  <c r="E72" i="10" s="1"/>
  <c r="F20" i="8" s="1"/>
  <c r="F8" i="8"/>
  <c r="E14" i="8"/>
  <c r="E16" i="8"/>
  <c r="P26" i="9"/>
  <c r="E18" i="8"/>
  <c r="E20" i="9"/>
  <c r="E13" i="9"/>
  <c r="E23" i="3"/>
  <c r="E27" i="3"/>
  <c r="D29" i="3" s="1"/>
  <c r="E24" i="3" l="1"/>
  <c r="E29" i="3"/>
  <c r="E30" i="3" s="1"/>
  <c r="D14" i="8"/>
  <c r="B14" i="24" s="1"/>
  <c r="D16" i="8"/>
  <c r="B16" i="24" s="1"/>
  <c r="D37" i="9" l="1"/>
  <c r="E37" i="9" s="1"/>
  <c r="E38" i="9" l="1"/>
  <c r="D40" i="9" s="1"/>
  <c r="E40" i="9" s="1"/>
  <c r="E41" i="9" s="1"/>
  <c r="D4" i="8"/>
  <c r="N31" i="9" l="1"/>
  <c r="E67" i="9" s="1"/>
  <c r="D45" i="9"/>
  <c r="E45" i="9" s="1"/>
  <c r="D44" i="9"/>
  <c r="E44" i="9" s="1"/>
  <c r="D48" i="9"/>
  <c r="E48" i="9" s="1"/>
  <c r="D47" i="9"/>
  <c r="E47" i="9" s="1"/>
  <c r="D49" i="9"/>
  <c r="E49" i="9" s="1"/>
  <c r="D6" i="8"/>
  <c r="B24" i="24" s="1"/>
  <c r="N26" i="3"/>
  <c r="D46" i="9" l="1"/>
  <c r="E46" i="9" s="1"/>
  <c r="E50" i="9" s="1"/>
  <c r="D53" i="9" s="1"/>
  <c r="E53" i="9" s="1"/>
  <c r="E54" i="9" s="1"/>
  <c r="E61" i="9" s="1"/>
  <c r="E65" i="9" s="1"/>
  <c r="E71" i="9" s="1"/>
  <c r="P26" i="3"/>
  <c r="D18" i="8"/>
  <c r="B18" i="24" s="1"/>
  <c r="E20" i="8" l="1"/>
  <c r="E8" i="8"/>
  <c r="E12" i="8"/>
  <c r="E38" i="20" l="1"/>
  <c r="E39" i="20" l="1"/>
  <c r="D41" i="20" s="1"/>
  <c r="E41" i="20" s="1"/>
  <c r="E42" i="20" l="1"/>
  <c r="D48" i="20"/>
  <c r="E48" i="20" s="1"/>
  <c r="N31" i="20"/>
  <c r="E68" i="20" s="1"/>
  <c r="D50" i="20"/>
  <c r="E50" i="20" s="1"/>
  <c r="D46" i="20"/>
  <c r="D49" i="20" l="1"/>
  <c r="E49" i="20" s="1"/>
  <c r="D45" i="20"/>
  <c r="E45" i="20" s="1"/>
  <c r="E46" i="20"/>
  <c r="D47" i="20" l="1"/>
  <c r="E47" i="20" s="1"/>
  <c r="E51" i="20" s="1"/>
  <c r="D54" i="20" l="1"/>
  <c r="E54" i="20" s="1"/>
  <c r="E55" i="20" s="1"/>
  <c r="H30" i="8"/>
  <c r="E62" i="20" l="1"/>
  <c r="E66" i="20" s="1"/>
  <c r="E72" i="20" s="1"/>
  <c r="H38" i="8" s="1"/>
  <c r="D37" i="3"/>
  <c r="E37" i="3" s="1"/>
  <c r="H26" i="8" l="1"/>
  <c r="E38" i="3"/>
  <c r="D40" i="3" s="1"/>
  <c r="E40" i="3" s="1"/>
  <c r="E41" i="3" l="1"/>
  <c r="D47" i="3"/>
  <c r="E47" i="3" s="1"/>
  <c r="D44" i="3"/>
  <c r="E44" i="3" s="1"/>
  <c r="D45" i="3"/>
  <c r="E45" i="3" s="1"/>
  <c r="D49" i="3"/>
  <c r="E49" i="3" s="1"/>
  <c r="D48" i="3" l="1"/>
  <c r="N31" i="3"/>
  <c r="E67" i="3" l="1"/>
  <c r="D12" i="8" s="1"/>
  <c r="B12" i="24" s="1"/>
  <c r="E48" i="3"/>
  <c r="D46" i="3"/>
  <c r="E46" i="3" s="1"/>
  <c r="E50" i="3" l="1"/>
  <c r="D53" i="3" s="1"/>
  <c r="E53" i="3" s="1"/>
  <c r="E54" i="3" s="1"/>
  <c r="E61" i="3" s="1"/>
  <c r="E65" i="3" s="1"/>
  <c r="E71" i="3" s="1"/>
  <c r="D20" i="8" s="1"/>
  <c r="D8" i="8" l="1"/>
  <c r="B8" i="24" s="1"/>
  <c r="B22" i="24" l="1"/>
  <c r="B30" i="24"/>
  <c r="B26" i="24"/>
</calcChain>
</file>

<file path=xl/sharedStrings.xml><?xml version="1.0" encoding="utf-8"?>
<sst xmlns="http://schemas.openxmlformats.org/spreadsheetml/2006/main" count="1621" uniqueCount="101">
  <si>
    <t>Description</t>
  </si>
  <si>
    <t>Quantity</t>
  </si>
  <si>
    <t>Unit</t>
  </si>
  <si>
    <t>Unit Cost</t>
  </si>
  <si>
    <t>Total Cost</t>
  </si>
  <si>
    <t>each</t>
  </si>
  <si>
    <t>feet</t>
  </si>
  <si>
    <t>SUBTOTAL</t>
  </si>
  <si>
    <t>%</t>
  </si>
  <si>
    <t>GENERAL CONDITIONS</t>
  </si>
  <si>
    <t>Concrete</t>
  </si>
  <si>
    <t>LACDPW Basin Study</t>
  </si>
  <si>
    <t>Engineering, Legal, Permitting</t>
  </si>
  <si>
    <t>Legal</t>
  </si>
  <si>
    <t>Permitting</t>
  </si>
  <si>
    <t>Construction Management</t>
  </si>
  <si>
    <t>Contingency</t>
  </si>
  <si>
    <t>yd^3</t>
  </si>
  <si>
    <t>(feet)</t>
  </si>
  <si>
    <t>Project Management</t>
  </si>
  <si>
    <t>Power</t>
  </si>
  <si>
    <t>(hp)</t>
  </si>
  <si>
    <t>(kw-hr)</t>
  </si>
  <si>
    <t>Power Cost</t>
  </si>
  <si>
    <t>($/kw-hr)</t>
  </si>
  <si>
    <t>Annual Cost</t>
  </si>
  <si>
    <t>O&amp;M Costs</t>
  </si>
  <si>
    <t>% Construction</t>
  </si>
  <si>
    <t>($)</t>
  </si>
  <si>
    <t>Annual Operating Cost</t>
  </si>
  <si>
    <t>Project Life</t>
  </si>
  <si>
    <t>(yrs)</t>
  </si>
  <si>
    <t>Annual Volume of Stormwater Conserved (acre-ft/yr)</t>
  </si>
  <si>
    <t>Total Capital Costs ($)</t>
  </si>
  <si>
    <t>Operations and Maintenance costs ($/yr)</t>
  </si>
  <si>
    <t>Annual Cost per acre-ft Recharged ($/yr)</t>
  </si>
  <si>
    <t>Energy Consumption (kw-hr/yr)</t>
  </si>
  <si>
    <t>Recreation Opportunities (linear feet of trail)</t>
  </si>
  <si>
    <t>Habitat Improvements (acres)</t>
  </si>
  <si>
    <t>Aliso Creek</t>
  </si>
  <si>
    <t>Name</t>
  </si>
  <si>
    <t>Width</t>
  </si>
  <si>
    <t>Watershed</t>
  </si>
  <si>
    <t>LA River</t>
  </si>
  <si>
    <t>Arroyo Seco Channel</t>
  </si>
  <si>
    <t>Bell Creek</t>
  </si>
  <si>
    <t>Browns Creek</t>
  </si>
  <si>
    <t>Bull Creek</t>
  </si>
  <si>
    <t>Burbank Western System</t>
  </si>
  <si>
    <t>Tejunga Wash</t>
  </si>
  <si>
    <t>Verdugo Wash</t>
  </si>
  <si>
    <t xml:space="preserve">Alhambra Wash </t>
  </si>
  <si>
    <t>Big Dalton Wash</t>
  </si>
  <si>
    <t>Eaton Wash</t>
  </si>
  <si>
    <t>Rio Hondo</t>
  </si>
  <si>
    <t>Rubio Wash</t>
  </si>
  <si>
    <t>San Jose Creek</t>
  </si>
  <si>
    <t>Walnut Creek Channel</t>
  </si>
  <si>
    <t>Total Length</t>
  </si>
  <si>
    <t>Length Section 1</t>
  </si>
  <si>
    <t>Length Section 2</t>
  </si>
  <si>
    <t>Demolish Existing Concrete Channel</t>
  </si>
  <si>
    <t>Sawcut channel bottom</t>
  </si>
  <si>
    <t>Demolish Concrete wall</t>
  </si>
  <si>
    <t>ft^2</t>
  </si>
  <si>
    <t>Excavation and disposal</t>
  </si>
  <si>
    <t>New Channel Wall</t>
  </si>
  <si>
    <t>Gravel Base infiltration strip</t>
  </si>
  <si>
    <t>Excavate infiltartion strip</t>
  </si>
  <si>
    <t>Replace fencing</t>
  </si>
  <si>
    <t>Detention Berms</t>
  </si>
  <si>
    <t>Channel Side Ponds</t>
  </si>
  <si>
    <t>Excavation one pond</t>
  </si>
  <si>
    <t>Weir/discharge structure</t>
  </si>
  <si>
    <t>Number of ponds with 40 feet between pond ends</t>
  </si>
  <si>
    <t>Recreation</t>
  </si>
  <si>
    <t>Landscaped trail</t>
  </si>
  <si>
    <t>Habitat improvements</t>
  </si>
  <si>
    <t>Recharge</t>
  </si>
  <si>
    <t>(acre-ft/year)</t>
  </si>
  <si>
    <t>Annual Recharge (acre-ft/yr)</t>
  </si>
  <si>
    <t>Operations</t>
  </si>
  <si>
    <t>Alhambra Wash</t>
  </si>
  <si>
    <t>Mobilization/Demobilization</t>
  </si>
  <si>
    <t>Cost Estimate of Stormwater Conveyance</t>
  </si>
  <si>
    <t xml:space="preserve">Stormwater Conveyance </t>
  </si>
  <si>
    <t>acres</t>
  </si>
  <si>
    <t>N Summerville</t>
  </si>
  <si>
    <t>y</t>
  </si>
  <si>
    <t>Feasibilty Studies, Surveys &amp; Design Data</t>
  </si>
  <si>
    <t>Engineering Designs &amp; Specifications</t>
  </si>
  <si>
    <t>Land Acquisition Cost</t>
  </si>
  <si>
    <t>Property Acquisition</t>
  </si>
  <si>
    <t>Annual Capital and Land Cost</t>
  </si>
  <si>
    <t>Total Estimated Capital Cost</t>
  </si>
  <si>
    <t>Total Estimated Land Cost</t>
  </si>
  <si>
    <t>Cost of Recharge ($/acre-ft)</t>
  </si>
  <si>
    <t>Cost per acre-ft Recharged ($/ac-ft)</t>
  </si>
  <si>
    <t>Based on 3.375% annual discount rate and 50 yr project life</t>
  </si>
  <si>
    <t>Unit cost includes management and acquisition costs and contingency</t>
  </si>
  <si>
    <t>Total Land Costs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</si>
</sst>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164" formatCode="&quot;$&quot;#,##0"/>
    <numFmt numFmtId="165" formatCode="&quot;$&quot;#,##0.00"/>
    <numFmt numFmtId="166" formatCode="0.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1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3" xfId="0" applyNumberFormat="1" applyBorder="1"/>
    <xf numFmtId="0" fontId="1" fillId="0" borderId="1" xfId="0" applyFont="1" applyFill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3" fontId="0" fillId="0" borderId="4" xfId="0" applyNumberFormat="1" applyBorder="1"/>
    <xf numFmtId="164" fontId="0" fillId="0" borderId="4" xfId="0" applyNumberFormat="1" applyBorder="1"/>
    <xf numFmtId="3" fontId="0" fillId="0" borderId="3" xfId="0" applyNumberFormat="1" applyBorder="1"/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2" fillId="0" borderId="1" xfId="0" applyFont="1" applyBorder="1"/>
    <xf numFmtId="1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1" fillId="0" borderId="0" xfId="0" applyFont="1" applyFill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164" fontId="9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0" fillId="0" borderId="0" xfId="0" applyFont="1"/>
    <xf numFmtId="165" fontId="0" fillId="0" borderId="0" xfId="0" applyNumberFormat="1"/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0" fillId="0" borderId="0" xfId="0" quotePrefix="1"/>
    <xf numFmtId="0" fontId="0" fillId="0" borderId="0" xfId="0" applyFill="1"/>
    <xf numFmtId="1" fontId="0" fillId="0" borderId="0" xfId="0" applyNumberFormat="1" applyFont="1"/>
    <xf numFmtId="0" fontId="0" fillId="0" borderId="0" xfId="0" applyFont="1" applyAlignment="1">
      <alignment horizontal="left"/>
    </xf>
    <xf numFmtId="6" fontId="2" fillId="0" borderId="0" xfId="0" applyNumberFormat="1" applyFont="1" applyFill="1"/>
    <xf numFmtId="164" fontId="0" fillId="0" borderId="0" xfId="0" applyNumberFormat="1" applyFill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Fill="1"/>
    <xf numFmtId="0" fontId="2" fillId="0" borderId="0" xfId="0" applyFont="1" applyFill="1"/>
    <xf numFmtId="1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3" xfId="0" applyFont="1" applyFill="1" applyBorder="1"/>
    <xf numFmtId="1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0" fillId="0" borderId="3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164" fontId="2" fillId="0" borderId="1" xfId="0" applyNumberFormat="1" applyFont="1" applyFill="1" applyBorder="1"/>
    <xf numFmtId="3" fontId="0" fillId="0" borderId="4" xfId="0" applyNumberFormat="1" applyFill="1" applyBorder="1"/>
    <xf numFmtId="3" fontId="0" fillId="0" borderId="0" xfId="0" applyNumberFormat="1" applyFill="1" applyBorder="1"/>
    <xf numFmtId="3" fontId="0" fillId="0" borderId="1" xfId="0" applyNumberFormat="1" applyFill="1" applyBorder="1"/>
    <xf numFmtId="164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3" fontId="0" fillId="0" borderId="3" xfId="0" applyNumberForma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0" fillId="0" borderId="0" xfId="0" applyNumberForma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 applyAlignment="1">
      <alignment horizontal="center"/>
    </xf>
    <xf numFmtId="6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/>
    <xf numFmtId="165" fontId="2" fillId="0" borderId="0" xfId="0" applyNumberFormat="1" applyFont="1" applyFill="1" applyBorder="1"/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/>
    <xf numFmtId="165" fontId="2" fillId="0" borderId="0" xfId="0" applyNumberFormat="1" applyFont="1" applyFill="1"/>
    <xf numFmtId="165" fontId="2" fillId="0" borderId="1" xfId="0" applyNumberFormat="1" applyFont="1" applyFill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3" fontId="2" fillId="0" borderId="3" xfId="0" applyNumberFormat="1" applyFont="1" applyFill="1" applyBorder="1"/>
    <xf numFmtId="5" fontId="2" fillId="0" borderId="0" xfId="0" applyNumberFormat="1" applyFont="1" applyFill="1" applyBorder="1"/>
    <xf numFmtId="3" fontId="2" fillId="0" borderId="0" xfId="0" applyNumberFormat="1" applyFont="1" applyFill="1"/>
    <xf numFmtId="165" fontId="0" fillId="0" borderId="1" xfId="0" applyNumberFormat="1" applyFill="1" applyBorder="1"/>
    <xf numFmtId="165" fontId="0" fillId="0" borderId="0" xfId="0" applyNumberFormat="1" applyFill="1" applyBorder="1"/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6" fontId="0" fillId="0" borderId="0" xfId="0" applyNumberFormat="1" applyFill="1"/>
    <xf numFmtId="165" fontId="0" fillId="0" borderId="0" xfId="0" applyNumberFormat="1" applyFill="1"/>
    <xf numFmtId="2" fontId="2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/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3" xfId="0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view="pageLayout" zoomScaleNormal="100" zoomScaleSheetLayoutView="80" workbookViewId="0">
      <selection activeCell="A15" sqref="A15"/>
    </sheetView>
  </sheetViews>
  <sheetFormatPr defaultRowHeight="13.2" x14ac:dyDescent="0.25"/>
  <cols>
    <col min="1" max="1" width="53.33203125" bestFit="1" customWidth="1"/>
    <col min="2" max="2" width="26.109375" customWidth="1"/>
    <col min="4" max="4" width="47.88671875" bestFit="1" customWidth="1"/>
    <col min="5" max="5" width="23.33203125" bestFit="1" customWidth="1"/>
  </cols>
  <sheetData>
    <row r="1" spans="1:3" ht="17.399999999999999" x14ac:dyDescent="0.3">
      <c r="A1" s="82" t="s">
        <v>84</v>
      </c>
    </row>
    <row r="4" spans="1:3" x14ac:dyDescent="0.25">
      <c r="B4" s="1" t="s">
        <v>85</v>
      </c>
    </row>
    <row r="7" spans="1:3" x14ac:dyDescent="0.25">
      <c r="A7" s="54"/>
    </row>
    <row r="8" spans="1:3" x14ac:dyDescent="0.25">
      <c r="A8" s="55" t="s">
        <v>33</v>
      </c>
      <c r="B8" s="2">
        <f>ROUND((SUM(Summary!D8:K8)+SUM(Summary!D26:J26))/1000000,0)*1000000</f>
        <v>7139000000</v>
      </c>
    </row>
    <row r="9" spans="1:3" x14ac:dyDescent="0.25">
      <c r="A9" s="54"/>
      <c r="B9" s="2"/>
    </row>
    <row r="10" spans="1:3" x14ac:dyDescent="0.25">
      <c r="A10" s="55" t="s">
        <v>100</v>
      </c>
      <c r="B10" s="2">
        <f>ROUND((SUM(Summary!D10:K10)+SUM(Summary!D28:J28))/1000000,0)*1000000</f>
        <v>15000000</v>
      </c>
      <c r="C10" s="83"/>
    </row>
    <row r="12" spans="1:3" x14ac:dyDescent="0.25">
      <c r="A12" s="55" t="s">
        <v>34</v>
      </c>
      <c r="B12" s="2">
        <f>ROUND((SUM(Summary!D12:K12)+SUM(Summary!D30:J30))/1000000,0)*1000000</f>
        <v>127000000</v>
      </c>
    </row>
    <row r="13" spans="1:3" x14ac:dyDescent="0.25">
      <c r="A13" s="54"/>
    </row>
    <row r="14" spans="1:3" x14ac:dyDescent="0.25">
      <c r="A14" s="55" t="s">
        <v>38</v>
      </c>
      <c r="B14" s="50">
        <f>SUM(Summary!D14:K14)+SUM(Summary!D32:J32)</f>
        <v>8.2727189731949338</v>
      </c>
    </row>
    <row r="15" spans="1:3" x14ac:dyDescent="0.25">
      <c r="A15" s="54"/>
    </row>
    <row r="16" spans="1:3" x14ac:dyDescent="0.25">
      <c r="A16" s="55" t="s">
        <v>37</v>
      </c>
      <c r="B16" s="51">
        <f>SUM(Summary!D16:K16)+SUM(Summary!D34:J34)</f>
        <v>18017.981923618565</v>
      </c>
    </row>
    <row r="17" spans="1:2" x14ac:dyDescent="0.25">
      <c r="A17" s="54"/>
    </row>
    <row r="18" spans="1:2" x14ac:dyDescent="0.25">
      <c r="A18" s="165" t="s">
        <v>36</v>
      </c>
      <c r="B18" s="36">
        <f>SUM(Summary!D18:K18)+SUM(Summary!D36:J36)</f>
        <v>0</v>
      </c>
    </row>
    <row r="19" spans="1:2" x14ac:dyDescent="0.25">
      <c r="A19" s="21"/>
      <c r="B19" s="15"/>
    </row>
    <row r="20" spans="1:2" x14ac:dyDescent="0.25">
      <c r="A20" s="164" t="s">
        <v>32</v>
      </c>
      <c r="B20" s="37">
        <v>8014</v>
      </c>
    </row>
    <row r="22" spans="1:2" x14ac:dyDescent="0.25">
      <c r="A22" s="1" t="s">
        <v>97</v>
      </c>
      <c r="B22" s="2">
        <f>ROUND((-PMT(0.03375,50,$B$8+$B$10)+$B$12)/B20/100,0)*100</f>
        <v>53100</v>
      </c>
    </row>
    <row r="23" spans="1:2" x14ac:dyDescent="0.25">
      <c r="A23" s="163"/>
      <c r="B23" s="163"/>
    </row>
    <row r="24" spans="1:2" x14ac:dyDescent="0.25">
      <c r="A24" s="55" t="s">
        <v>32</v>
      </c>
      <c r="B24" s="51">
        <f>SUM(Summary!D6:K6)+SUM(Summary!D24:K24)</f>
        <v>9187.5541523414504</v>
      </c>
    </row>
    <row r="26" spans="1:2" x14ac:dyDescent="0.25">
      <c r="A26" s="1" t="s">
        <v>97</v>
      </c>
      <c r="B26" s="2">
        <f>ROUND((-PMT(0.03375,50,$B$8+$B$10)+$B$12)/B24/100,0)*100</f>
        <v>46300</v>
      </c>
    </row>
    <row r="27" spans="1:2" x14ac:dyDescent="0.25">
      <c r="A27" s="163"/>
      <c r="B27" s="163"/>
    </row>
    <row r="28" spans="1:2" x14ac:dyDescent="0.25">
      <c r="A28" s="55" t="s">
        <v>32</v>
      </c>
      <c r="B28" s="51">
        <f>9968</f>
        <v>9968</v>
      </c>
    </row>
    <row r="30" spans="1:2" x14ac:dyDescent="0.25">
      <c r="A30" s="6" t="s">
        <v>97</v>
      </c>
      <c r="B30" s="8">
        <f>ROUND((-PMT(0.03375,50,$B$8+$B$10)+$B$12)/B28/100,0)*100</f>
        <v>42700</v>
      </c>
    </row>
  </sheetData>
  <pageMargins left="0.7" right="0.7" top="0.75" bottom="0.75" header="0.3" footer="0.3"/>
  <pageSetup orientation="landscape"/>
  <headerFooter>
    <oddFooter>&amp;LLA Basin Stormwater Conservation Study_Project Costs&amp;R&amp;D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50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92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87"/>
      <c r="T7" s="67"/>
      <c r="U7" s="68"/>
      <c r="V7" s="159"/>
      <c r="W7" s="159"/>
      <c r="X7" s="159"/>
      <c r="Y7" s="160"/>
    </row>
    <row r="8" spans="1:25" x14ac:dyDescent="0.25">
      <c r="A8" s="92"/>
      <c r="B8" s="92"/>
      <c r="C8" s="92"/>
      <c r="D8" s="93"/>
      <c r="E8" s="93"/>
      <c r="F8" s="87"/>
      <c r="T8" s="67"/>
      <c r="U8" s="68"/>
      <c r="V8" s="159"/>
      <c r="W8" s="159"/>
      <c r="X8" s="159"/>
      <c r="Y8" s="160"/>
    </row>
    <row r="9" spans="1:25" x14ac:dyDescent="0.25">
      <c r="A9" s="94" t="s">
        <v>61</v>
      </c>
      <c r="B9" s="95"/>
      <c r="C9" s="95"/>
      <c r="D9" s="96"/>
      <c r="E9" s="96"/>
      <c r="F9" s="87"/>
      <c r="T9" s="67"/>
      <c r="U9" s="68"/>
      <c r="V9" s="159"/>
      <c r="W9" s="159"/>
      <c r="X9" s="159"/>
      <c r="Y9" s="160"/>
    </row>
    <row r="10" spans="1:25" ht="12.75" customHeight="1" x14ac:dyDescent="0.25">
      <c r="A10" s="12" t="s">
        <v>62</v>
      </c>
      <c r="B10" s="97">
        <f>+W11</f>
        <v>21530.597486070586</v>
      </c>
      <c r="C10" s="98" t="s">
        <v>6</v>
      </c>
      <c r="D10" s="99">
        <v>5</v>
      </c>
      <c r="E10" s="100">
        <f>+B10*D10</f>
        <v>107652.98743035294</v>
      </c>
      <c r="F10" s="87"/>
      <c r="T10" s="67"/>
      <c r="U10" s="68"/>
      <c r="V10" s="159"/>
      <c r="W10" s="159"/>
      <c r="X10" s="159"/>
      <c r="Y10" s="160"/>
    </row>
    <row r="11" spans="1:25" x14ac:dyDescent="0.25">
      <c r="A11" s="12" t="s">
        <v>63</v>
      </c>
      <c r="B11" s="97">
        <f>+W11*10</f>
        <v>215305.97486070587</v>
      </c>
      <c r="C11" s="98" t="s">
        <v>64</v>
      </c>
      <c r="D11" s="99">
        <v>9</v>
      </c>
      <c r="E11" s="100">
        <f>+B11*D11</f>
        <v>1937753.7737463529</v>
      </c>
      <c r="F11" s="101"/>
      <c r="T11" s="67" t="s">
        <v>50</v>
      </c>
      <c r="U11" s="68">
        <v>80</v>
      </c>
      <c r="V11" s="159">
        <v>22663.786827442724</v>
      </c>
      <c r="W11" s="159">
        <v>21530.597486070586</v>
      </c>
      <c r="X11" s="159">
        <v>1133.1893413721373</v>
      </c>
      <c r="Y11" s="160">
        <v>947.21366857244493</v>
      </c>
    </row>
    <row r="12" spans="1:25" x14ac:dyDescent="0.25">
      <c r="A12" s="18" t="s">
        <v>65</v>
      </c>
      <c r="B12" s="102">
        <f>+W11*20*10/27</f>
        <v>159485.90730422657</v>
      </c>
      <c r="C12" s="103" t="s">
        <v>17</v>
      </c>
      <c r="D12" s="96">
        <v>25</v>
      </c>
      <c r="E12" s="96">
        <f>+B12*D12</f>
        <v>3987147.6826056642</v>
      </c>
      <c r="F12" s="101"/>
      <c r="T12" s="67"/>
      <c r="U12" s="68"/>
      <c r="V12" s="159"/>
      <c r="W12" s="159"/>
      <c r="X12" s="159"/>
      <c r="Y12" s="160"/>
    </row>
    <row r="13" spans="1:25" x14ac:dyDescent="0.25">
      <c r="A13" s="87" t="s">
        <v>7</v>
      </c>
      <c r="B13" s="104"/>
      <c r="C13" s="104"/>
      <c r="D13" s="100"/>
      <c r="E13" s="100">
        <f>SUM(E10:E12)</f>
        <v>6032554.4437823705</v>
      </c>
      <c r="F13" s="87"/>
      <c r="T13" s="67"/>
      <c r="U13" s="68"/>
      <c r="V13" s="159"/>
      <c r="W13" s="159"/>
      <c r="X13" s="159"/>
      <c r="Y13" s="160"/>
    </row>
    <row r="14" spans="1:25" x14ac:dyDescent="0.25">
      <c r="A14" s="87"/>
      <c r="B14" s="104"/>
      <c r="C14" s="104"/>
      <c r="D14" s="100"/>
      <c r="E14" s="100"/>
      <c r="F14" s="87"/>
      <c r="T14" s="67"/>
      <c r="U14" s="68"/>
      <c r="V14" s="159"/>
      <c r="W14" s="159"/>
      <c r="X14" s="159"/>
      <c r="Y14" s="160"/>
    </row>
    <row r="15" spans="1:25" x14ac:dyDescent="0.25">
      <c r="A15" s="94" t="s">
        <v>66</v>
      </c>
      <c r="B15" s="95"/>
      <c r="C15" s="95"/>
      <c r="D15" s="96"/>
      <c r="E15" s="96"/>
      <c r="F15" s="87"/>
      <c r="T15" s="67"/>
      <c r="U15" s="68"/>
      <c r="V15" s="159"/>
      <c r="W15" s="159"/>
      <c r="X15" s="159"/>
      <c r="Y15" s="160"/>
    </row>
    <row r="16" spans="1:25" x14ac:dyDescent="0.25">
      <c r="A16" s="12" t="s">
        <v>10</v>
      </c>
      <c r="B16" s="97">
        <f>+W11*1*10</f>
        <v>215305.97486070587</v>
      </c>
      <c r="C16" s="98" t="s">
        <v>17</v>
      </c>
      <c r="D16" s="99">
        <v>400</v>
      </c>
      <c r="E16" s="100">
        <f>+B16*D16</f>
        <v>86122389.944282353</v>
      </c>
      <c r="F16" s="101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97">
        <f>+W11*1*20</f>
        <v>430611.94972141174</v>
      </c>
      <c r="C17" s="98" t="s">
        <v>17</v>
      </c>
      <c r="D17" s="99">
        <v>25</v>
      </c>
      <c r="E17" s="100">
        <f>+B17*D17</f>
        <v>10765298.743035294</v>
      </c>
      <c r="F17" s="101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97">
        <f>+W11*20</f>
        <v>430611.94972141174</v>
      </c>
      <c r="C18" s="98" t="s">
        <v>17</v>
      </c>
      <c r="D18" s="99">
        <v>100</v>
      </c>
      <c r="E18" s="100">
        <f>+B18*D18</f>
        <v>43061194.972141176</v>
      </c>
      <c r="F18" s="101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102">
        <f>+W11</f>
        <v>21530.597486070586</v>
      </c>
      <c r="C19" s="103" t="s">
        <v>6</v>
      </c>
      <c r="D19" s="96">
        <v>25</v>
      </c>
      <c r="E19" s="150">
        <f>+B19*D19</f>
        <v>538264.93715176464</v>
      </c>
      <c r="F19" s="87"/>
      <c r="L19" s="59"/>
      <c r="U19" s="60"/>
      <c r="V19" s="61"/>
      <c r="W19" s="57"/>
      <c r="X19" s="87"/>
      <c r="Y19" s="87"/>
    </row>
    <row r="20" spans="1:25" x14ac:dyDescent="0.25">
      <c r="A20" s="87" t="s">
        <v>7</v>
      </c>
      <c r="B20" s="104"/>
      <c r="C20" s="104"/>
      <c r="D20" s="100"/>
      <c r="E20" s="100">
        <f>SUM(E16:E19)</f>
        <v>140487148.59661058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A21" s="87"/>
      <c r="B21" s="104"/>
      <c r="C21" s="104"/>
      <c r="D21" s="100"/>
      <c r="E21" s="100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94" t="s">
        <v>70</v>
      </c>
      <c r="B22" s="105"/>
      <c r="C22" s="105"/>
      <c r="D22" s="96"/>
      <c r="E22" s="96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106" t="s">
        <v>10</v>
      </c>
      <c r="B23" s="107">
        <f>+(W11/200+1)*(U11+20)*2*2/27</f>
        <v>1609.6738878570804</v>
      </c>
      <c r="C23" s="108" t="s">
        <v>17</v>
      </c>
      <c r="D23" s="109">
        <v>400</v>
      </c>
      <c r="E23" s="109">
        <f t="shared" ref="E23" si="0">+B23*D23</f>
        <v>643869.55514283222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s="87" t="s">
        <v>7</v>
      </c>
      <c r="B24" s="104"/>
      <c r="C24" s="104"/>
      <c r="D24" s="100"/>
      <c r="E24" s="100">
        <f>SUM(E23:E23)</f>
        <v>643869.55514283222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10"/>
      <c r="C25" s="110"/>
      <c r="D25" s="99"/>
      <c r="E25" s="100"/>
      <c r="F25" s="87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M27" s="13"/>
      <c r="N27" s="13"/>
      <c r="O27" s="13"/>
      <c r="P27" s="13"/>
      <c r="T27" s="32"/>
      <c r="U27" s="40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32"/>
      <c r="U28" s="40"/>
    </row>
    <row r="29" spans="1:25" x14ac:dyDescent="0.25">
      <c r="A29" s="12" t="s">
        <v>74</v>
      </c>
      <c r="B29" s="97">
        <f>+ROUND(X11/540,0)</f>
        <v>2</v>
      </c>
      <c r="C29" s="98" t="s">
        <v>5</v>
      </c>
      <c r="D29" s="99">
        <f>+SUM(E27:E28)</f>
        <v>5022882.059609971</v>
      </c>
      <c r="E29" s="99">
        <f>+(B29-1)*D29</f>
        <v>5022882.059609971</v>
      </c>
      <c r="F29" s="87"/>
      <c r="M29" s="41" t="s">
        <v>27</v>
      </c>
      <c r="N29" s="41" t="s">
        <v>28</v>
      </c>
      <c r="O29" s="41" t="s">
        <v>31</v>
      </c>
      <c r="Q29" s="41"/>
      <c r="T29" s="32"/>
      <c r="U29" s="40"/>
    </row>
    <row r="30" spans="1:25" x14ac:dyDescent="0.25">
      <c r="A30" s="18" t="s">
        <v>92</v>
      </c>
      <c r="B30" s="126">
        <f>B29</f>
        <v>2</v>
      </c>
      <c r="C30" s="103" t="s">
        <v>86</v>
      </c>
      <c r="D30" s="117">
        <v>500000</v>
      </c>
      <c r="E30" s="117">
        <f>B30*D30</f>
        <v>1000000</v>
      </c>
      <c r="F30" s="87"/>
      <c r="M30" s="13"/>
      <c r="N30" s="13"/>
      <c r="O30" s="13"/>
      <c r="T30" s="32"/>
      <c r="U30" s="40"/>
    </row>
    <row r="31" spans="1:25" x14ac:dyDescent="0.25">
      <c r="A31" s="87" t="s">
        <v>7</v>
      </c>
      <c r="B31" s="104"/>
      <c r="C31" s="104"/>
      <c r="D31" s="100"/>
      <c r="E31" s="100">
        <f>SUM(E27:E30)</f>
        <v>11045764.119219942</v>
      </c>
      <c r="F31" s="87"/>
      <c r="M31" s="49">
        <v>0.05</v>
      </c>
      <c r="N31" s="47">
        <f>+M31*SUM(E10:E42)/2</f>
        <v>9607657.7976980489</v>
      </c>
      <c r="O31" s="13">
        <v>50</v>
      </c>
      <c r="Q31" s="2"/>
      <c r="T31" s="32"/>
      <c r="U31" s="40"/>
    </row>
    <row r="32" spans="1:25" x14ac:dyDescent="0.25">
      <c r="A32" s="74"/>
      <c r="B32" s="110"/>
      <c r="C32" s="110"/>
      <c r="D32" s="99"/>
      <c r="E32" s="99"/>
      <c r="F32" s="87"/>
      <c r="T32" s="32"/>
      <c r="U32" s="40"/>
    </row>
    <row r="33" spans="1:21" x14ac:dyDescent="0.25">
      <c r="A33" s="31" t="s">
        <v>75</v>
      </c>
      <c r="B33" s="105"/>
      <c r="C33" s="105"/>
      <c r="D33" s="96"/>
      <c r="E33" s="96"/>
      <c r="F33" s="87"/>
      <c r="T33" s="32"/>
      <c r="U33" s="40"/>
    </row>
    <row r="34" spans="1:21" x14ac:dyDescent="0.25">
      <c r="A34" s="12" t="s">
        <v>76</v>
      </c>
      <c r="B34" s="97">
        <f>+X11</f>
        <v>1133.1893413721373</v>
      </c>
      <c r="C34" s="98" t="s">
        <v>6</v>
      </c>
      <c r="D34" s="99">
        <v>25</v>
      </c>
      <c r="E34" s="100">
        <f>+B34*D34</f>
        <v>28329.733534303432</v>
      </c>
      <c r="F34" s="87"/>
      <c r="T34" s="32"/>
      <c r="U34" s="40"/>
    </row>
    <row r="35" spans="1:21" x14ac:dyDescent="0.25">
      <c r="A35" s="18" t="s">
        <v>77</v>
      </c>
      <c r="B35" s="102">
        <f>20*X11</f>
        <v>22663.786827442746</v>
      </c>
      <c r="C35" s="103" t="s">
        <v>64</v>
      </c>
      <c r="D35" s="96">
        <v>25</v>
      </c>
      <c r="E35" s="96">
        <f>+B35*D35</f>
        <v>566594.6706860686</v>
      </c>
      <c r="F35" s="101"/>
      <c r="T35" s="32"/>
      <c r="U35" s="40"/>
    </row>
    <row r="36" spans="1:21" x14ac:dyDescent="0.25">
      <c r="A36" s="87" t="s">
        <v>7</v>
      </c>
      <c r="B36" s="104"/>
      <c r="C36" s="104"/>
      <c r="D36" s="100"/>
      <c r="E36" s="100">
        <f>+SUM(E34:E35)</f>
        <v>594924.40422037197</v>
      </c>
      <c r="F36" s="87"/>
      <c r="M36" s="41"/>
      <c r="N36" s="41"/>
      <c r="O36" s="41"/>
      <c r="P36" s="13"/>
      <c r="T36" s="32"/>
      <c r="U36" s="40"/>
    </row>
    <row r="37" spans="1:21" x14ac:dyDescent="0.25">
      <c r="A37" s="114"/>
      <c r="B37" s="114"/>
      <c r="C37" s="114"/>
      <c r="D37" s="114"/>
      <c r="E37" s="114"/>
      <c r="F37" s="87"/>
      <c r="M37" s="41"/>
      <c r="N37" s="41"/>
      <c r="O37" s="41"/>
      <c r="P37" s="13"/>
      <c r="T37" s="32"/>
      <c r="U37" s="40"/>
    </row>
    <row r="38" spans="1:21" x14ac:dyDescent="0.25">
      <c r="A38" s="31" t="s">
        <v>83</v>
      </c>
      <c r="B38" s="115">
        <v>10</v>
      </c>
      <c r="C38" s="115" t="s">
        <v>8</v>
      </c>
      <c r="D38" s="152">
        <f>SUM(E10:E36)/2</f>
        <v>158804261.11897603</v>
      </c>
      <c r="E38" s="153">
        <f>D38*B38/100</f>
        <v>15880426.111897603</v>
      </c>
      <c r="F38" s="87"/>
      <c r="M38" s="41"/>
      <c r="N38" s="41"/>
      <c r="O38" s="41"/>
      <c r="P38" s="13"/>
      <c r="T38" s="32"/>
      <c r="U38" s="40"/>
    </row>
    <row r="39" spans="1:21" x14ac:dyDescent="0.25">
      <c r="A39" s="87" t="s">
        <v>7</v>
      </c>
      <c r="B39" s="104"/>
      <c r="C39" s="104"/>
      <c r="D39" s="100"/>
      <c r="E39" s="100">
        <f>SUM(E38)</f>
        <v>15880426.111897603</v>
      </c>
      <c r="F39" s="87"/>
      <c r="M39" s="41"/>
      <c r="N39" s="41"/>
      <c r="O39" s="41"/>
      <c r="P39" s="13"/>
      <c r="T39" s="32"/>
      <c r="U39" s="40"/>
    </row>
    <row r="40" spans="1:21" x14ac:dyDescent="0.25">
      <c r="A40" s="114"/>
      <c r="B40" s="114"/>
      <c r="C40" s="114"/>
      <c r="D40" s="114"/>
      <c r="E40" s="114"/>
      <c r="F40" s="87"/>
      <c r="M40" s="41"/>
      <c r="N40" s="41"/>
      <c r="O40" s="41"/>
      <c r="P40" s="13"/>
      <c r="T40" s="32"/>
      <c r="U40" s="40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174684687.23087361</v>
      </c>
      <c r="E41" s="153">
        <f>D41*B41/100</f>
        <v>17468468.723087359</v>
      </c>
      <c r="F41" s="87"/>
      <c r="M41" s="41"/>
      <c r="N41" s="41"/>
      <c r="O41" s="41"/>
      <c r="P41" s="13"/>
      <c r="T41" s="32"/>
      <c r="U41" s="40"/>
    </row>
    <row r="42" spans="1:21" x14ac:dyDescent="0.25">
      <c r="A42" s="87" t="s">
        <v>7</v>
      </c>
      <c r="B42" s="104"/>
      <c r="C42" s="104"/>
      <c r="D42" s="100"/>
      <c r="E42" s="100">
        <f>SUM(E41)</f>
        <v>17468468.723087359</v>
      </c>
      <c r="F42" s="87"/>
      <c r="M42" s="41"/>
      <c r="N42" s="41"/>
      <c r="O42" s="41"/>
      <c r="P42" s="13"/>
      <c r="T42" s="32"/>
      <c r="U42" s="40"/>
    </row>
    <row r="43" spans="1:21" s="78" customFormat="1" x14ac:dyDescent="0.25">
      <c r="A43" s="87"/>
      <c r="B43" s="104"/>
      <c r="C43" s="104"/>
      <c r="D43" s="100"/>
      <c r="E43" s="100"/>
      <c r="F43" s="114"/>
      <c r="M43" s="79"/>
      <c r="N43" s="79"/>
      <c r="O43" s="79"/>
      <c r="P43" s="79"/>
      <c r="T43" s="32"/>
      <c r="U43" s="40"/>
    </row>
    <row r="44" spans="1:21" x14ac:dyDescent="0.25">
      <c r="A44" s="31" t="s">
        <v>12</v>
      </c>
      <c r="B44" s="105"/>
      <c r="C44" s="105"/>
      <c r="D44" s="99"/>
      <c r="E44" s="99"/>
      <c r="F44" s="87"/>
      <c r="M44" s="13"/>
      <c r="N44" s="42"/>
      <c r="O44" s="24"/>
      <c r="P44" s="13"/>
      <c r="T44" s="32"/>
      <c r="U44" s="40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SUM(E10:E42)/2</f>
        <v>192153155.95396098</v>
      </c>
      <c r="E45" s="113">
        <f>D45*B45/100</f>
        <v>19215315.595396098</v>
      </c>
      <c r="F45" s="87"/>
      <c r="M45" s="13"/>
      <c r="N45" s="13"/>
      <c r="O45" s="13"/>
      <c r="P45" s="13"/>
      <c r="T45" s="32"/>
      <c r="U45" s="40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192153155.95396098</v>
      </c>
      <c r="E46" s="99">
        <f>D46*B46/100</f>
        <v>28822973.393094148</v>
      </c>
      <c r="F46" s="87"/>
      <c r="T46" s="32"/>
      <c r="U46" s="40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1152918935.7237659</v>
      </c>
      <c r="E47" s="99">
        <f t="shared" ref="E47:E50" si="1">D47*B47/100</f>
        <v>126821082.92961425</v>
      </c>
      <c r="F47" s="87"/>
      <c r="T47" s="32"/>
      <c r="U47" s="40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192153155.95396098</v>
      </c>
      <c r="E48" s="99">
        <f t="shared" si="1"/>
        <v>9607657.7976980489</v>
      </c>
      <c r="F48" s="87"/>
      <c r="T48" s="32"/>
      <c r="U48" s="40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192153155.95396098</v>
      </c>
      <c r="E49" s="99">
        <f t="shared" si="1"/>
        <v>19215315.595396098</v>
      </c>
      <c r="F49" s="87"/>
      <c r="T49" s="32"/>
      <c r="U49" s="40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192153155.95396098</v>
      </c>
      <c r="E50" s="96">
        <f t="shared" si="1"/>
        <v>19215315.595396098</v>
      </c>
      <c r="F50" s="87"/>
      <c r="T50" s="32"/>
      <c r="U50" s="40"/>
    </row>
    <row r="51" spans="1:21" x14ac:dyDescent="0.25">
      <c r="A51" s="87" t="s">
        <v>7</v>
      </c>
      <c r="B51" s="104"/>
      <c r="C51" s="104"/>
      <c r="D51" s="100"/>
      <c r="E51" s="100">
        <f>SUM(E45:E50)</f>
        <v>222897660.90659475</v>
      </c>
      <c r="F51" s="87"/>
      <c r="T51" s="32"/>
      <c r="U51" s="40"/>
    </row>
    <row r="52" spans="1:21" x14ac:dyDescent="0.25">
      <c r="A52" s="74"/>
      <c r="B52" s="110"/>
      <c r="C52" s="110"/>
      <c r="D52" s="99"/>
      <c r="E52" s="121"/>
      <c r="F52" s="87"/>
      <c r="T52" s="32"/>
      <c r="U52" s="40"/>
    </row>
    <row r="53" spans="1:21" x14ac:dyDescent="0.25">
      <c r="A53" s="31" t="s">
        <v>16</v>
      </c>
      <c r="B53" s="122"/>
      <c r="C53" s="122"/>
      <c r="D53" s="123"/>
      <c r="E53" s="123"/>
      <c r="F53" s="87"/>
      <c r="T53" s="32"/>
      <c r="U53" s="40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415050816.86055565</v>
      </c>
      <c r="E54" s="109">
        <f>D54*B54/100</f>
        <v>124515245.0581667</v>
      </c>
      <c r="F54" s="87"/>
      <c r="T54" s="32"/>
      <c r="U54" s="40"/>
    </row>
    <row r="55" spans="1:21" x14ac:dyDescent="0.25">
      <c r="A55" s="87" t="s">
        <v>7</v>
      </c>
      <c r="B55" s="104"/>
      <c r="C55" s="104"/>
      <c r="D55" s="100"/>
      <c r="E55" s="100">
        <f>SUM(E54)</f>
        <v>124515245.0581667</v>
      </c>
      <c r="F55" s="87"/>
      <c r="T55" s="32"/>
      <c r="U55" s="40"/>
    </row>
    <row r="56" spans="1:21" x14ac:dyDescent="0.25">
      <c r="A56" s="87"/>
      <c r="B56" s="110"/>
      <c r="C56" s="110"/>
      <c r="D56" s="99"/>
      <c r="E56" s="99"/>
      <c r="F56" s="87"/>
      <c r="T56" s="32"/>
      <c r="U56" s="40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32"/>
      <c r="U57" s="40"/>
    </row>
    <row r="58" spans="1:21" x14ac:dyDescent="0.25">
      <c r="A58" s="18" t="s">
        <v>92</v>
      </c>
      <c r="B58" s="126">
        <f>X11*74/43560</f>
        <v>1.9250691290527586</v>
      </c>
      <c r="C58" s="103" t="s">
        <v>86</v>
      </c>
      <c r="D58" s="117">
        <v>500000</v>
      </c>
      <c r="E58" s="117">
        <f>B58*D58</f>
        <v>962534.56452637934</v>
      </c>
      <c r="F58" s="101" t="s">
        <v>99</v>
      </c>
      <c r="T58" s="32"/>
      <c r="U58" s="40"/>
    </row>
    <row r="59" spans="1:21" x14ac:dyDescent="0.25">
      <c r="A59" s="101" t="s">
        <v>7</v>
      </c>
      <c r="B59" s="127"/>
      <c r="C59" s="127"/>
      <c r="D59" s="128"/>
      <c r="E59" s="128">
        <f>SUM(E58)</f>
        <v>962534.56452637934</v>
      </c>
      <c r="F59" s="87"/>
      <c r="T59" s="32"/>
      <c r="U59" s="40"/>
    </row>
    <row r="60" spans="1:21" x14ac:dyDescent="0.25">
      <c r="A60" s="87"/>
      <c r="B60" s="87"/>
      <c r="C60" s="87"/>
      <c r="D60" s="87"/>
      <c r="E60" s="87"/>
      <c r="F60" s="87"/>
      <c r="T60" s="32"/>
      <c r="U60" s="40"/>
    </row>
    <row r="61" spans="1:21" x14ac:dyDescent="0.25">
      <c r="A61" s="87"/>
      <c r="B61" s="87"/>
      <c r="C61" s="87"/>
      <c r="D61" s="87"/>
      <c r="E61" s="87"/>
      <c r="F61" s="87"/>
      <c r="T61" s="32"/>
      <c r="U61" s="40"/>
    </row>
    <row r="62" spans="1:21" x14ac:dyDescent="0.25">
      <c r="A62" s="74" t="s">
        <v>94</v>
      </c>
      <c r="B62" s="110"/>
      <c r="C62" s="87"/>
      <c r="D62" s="104"/>
      <c r="E62" s="148">
        <f>SUM(E10:E55)/2</f>
        <v>539566061.91872239</v>
      </c>
      <c r="F62" s="100"/>
      <c r="T62" s="32"/>
      <c r="U62" s="40"/>
    </row>
    <row r="63" spans="1:21" x14ac:dyDescent="0.25">
      <c r="A63" s="87"/>
      <c r="B63" s="110"/>
      <c r="C63" s="110"/>
      <c r="D63" s="99"/>
      <c r="E63" s="130"/>
      <c r="F63" s="87"/>
      <c r="T63" s="32"/>
      <c r="U63" s="40"/>
    </row>
    <row r="64" spans="1:21" x14ac:dyDescent="0.25">
      <c r="A64" s="74" t="s">
        <v>95</v>
      </c>
      <c r="B64" s="131"/>
      <c r="C64" s="110"/>
      <c r="D64" s="99"/>
      <c r="E64" s="100">
        <f>E59</f>
        <v>962534.56452637934</v>
      </c>
      <c r="F64" s="87"/>
      <c r="T64" s="32"/>
      <c r="U64" s="40"/>
    </row>
    <row r="65" spans="1:21" x14ac:dyDescent="0.25">
      <c r="A65" s="87"/>
      <c r="B65" s="110"/>
      <c r="C65" s="110"/>
      <c r="D65" s="99"/>
      <c r="E65" s="99"/>
      <c r="F65" s="87"/>
      <c r="T65" s="32"/>
      <c r="U65" s="40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22527749.984870985</v>
      </c>
      <c r="F66" s="101" t="s">
        <v>98</v>
      </c>
      <c r="T66" s="32"/>
      <c r="U66" s="40"/>
    </row>
    <row r="67" spans="1:21" x14ac:dyDescent="0.25">
      <c r="A67" s="87"/>
      <c r="B67" s="87"/>
      <c r="C67" s="87"/>
      <c r="D67" s="87"/>
      <c r="E67" s="87"/>
      <c r="F67" s="87"/>
      <c r="T67" s="32"/>
      <c r="U67" s="40"/>
    </row>
    <row r="68" spans="1:21" x14ac:dyDescent="0.25">
      <c r="A68" s="92" t="s">
        <v>29</v>
      </c>
      <c r="B68" s="57"/>
      <c r="C68" s="57"/>
      <c r="D68" s="99"/>
      <c r="E68" s="99">
        <f>N31+P26</f>
        <v>9607657.7976980489</v>
      </c>
      <c r="F68" s="87"/>
      <c r="T68" s="32"/>
      <c r="U68" s="40"/>
    </row>
    <row r="69" spans="1:21" x14ac:dyDescent="0.25">
      <c r="A69" s="74"/>
      <c r="B69" s="110"/>
      <c r="C69" s="110"/>
      <c r="D69" s="99"/>
      <c r="E69" s="99"/>
      <c r="F69" s="87"/>
      <c r="T69" s="32"/>
      <c r="U69" s="40"/>
    </row>
    <row r="70" spans="1:21" x14ac:dyDescent="0.25">
      <c r="A70" s="92" t="s">
        <v>80</v>
      </c>
      <c r="B70" s="87"/>
      <c r="C70" s="87"/>
      <c r="D70" s="87"/>
      <c r="E70" s="133">
        <f>+Y11</f>
        <v>947.21366857244493</v>
      </c>
      <c r="F70" s="87"/>
      <c r="T70" s="32"/>
      <c r="U70" s="40"/>
    </row>
    <row r="71" spans="1:21" x14ac:dyDescent="0.25">
      <c r="A71" s="57"/>
      <c r="B71" s="110"/>
      <c r="C71" s="110"/>
      <c r="D71" s="99"/>
      <c r="E71" s="99"/>
      <c r="F71" s="87"/>
      <c r="T71" s="32"/>
      <c r="U71" s="40"/>
    </row>
    <row r="72" spans="1:21" x14ac:dyDescent="0.25">
      <c r="A72" s="74" t="s">
        <v>96</v>
      </c>
      <c r="B72" s="110"/>
      <c r="C72" s="110"/>
      <c r="D72" s="99"/>
      <c r="E72" s="99">
        <f>+(E66+E68)/E70</f>
        <v>33926.250062460167</v>
      </c>
      <c r="F72" s="87"/>
      <c r="T72" s="32"/>
      <c r="U72" s="40"/>
    </row>
    <row r="73" spans="1:21" x14ac:dyDescent="0.25">
      <c r="A73" s="87"/>
      <c r="B73" s="87"/>
      <c r="C73" s="87"/>
      <c r="D73" s="87"/>
      <c r="E73" s="87"/>
      <c r="F73" s="87"/>
      <c r="T73" s="32"/>
      <c r="U73" s="40"/>
    </row>
    <row r="74" spans="1:21" x14ac:dyDescent="0.25">
      <c r="A74" s="87"/>
      <c r="B74" s="87"/>
      <c r="C74" s="87"/>
      <c r="D74" s="87"/>
      <c r="E74" s="87"/>
      <c r="F74" s="87"/>
      <c r="T74" s="32"/>
      <c r="U74" s="40"/>
    </row>
    <row r="75" spans="1:21" x14ac:dyDescent="0.25">
      <c r="T75" s="32"/>
      <c r="U75" s="40"/>
    </row>
    <row r="76" spans="1:21" x14ac:dyDescent="0.25">
      <c r="T76" s="32"/>
      <c r="U76" s="40"/>
    </row>
    <row r="77" spans="1:21" x14ac:dyDescent="0.25">
      <c r="T77" s="32"/>
      <c r="U77" s="40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opLeftCell="A29" zoomScaleNormal="100" zoomScaleSheetLayoutView="80" workbookViewId="0">
      <selection activeCell="U19" sqref="U19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82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A6" s="87"/>
      <c r="B6" s="87"/>
      <c r="C6" s="87"/>
      <c r="D6" s="87"/>
      <c r="E6" s="87"/>
      <c r="F6" s="87"/>
      <c r="T6" s="67"/>
      <c r="U6" s="68"/>
      <c r="V6" s="159"/>
      <c r="W6" s="159"/>
      <c r="X6" s="159"/>
      <c r="Y6" s="160"/>
    </row>
    <row r="7" spans="1:25" x14ac:dyDescent="0.25">
      <c r="A7" s="92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87"/>
      <c r="T7" s="67"/>
      <c r="U7" s="68"/>
      <c r="V7" s="159"/>
      <c r="W7" s="159"/>
      <c r="X7" s="159"/>
      <c r="Y7" s="160"/>
    </row>
    <row r="8" spans="1:25" x14ac:dyDescent="0.25">
      <c r="A8" s="92"/>
      <c r="B8" s="92"/>
      <c r="C8" s="92"/>
      <c r="D8" s="93"/>
      <c r="E8" s="93"/>
      <c r="F8" s="87"/>
      <c r="T8" s="67"/>
      <c r="U8" s="68"/>
      <c r="V8" s="159"/>
      <c r="W8" s="159"/>
      <c r="X8" s="159"/>
      <c r="Y8" s="160"/>
    </row>
    <row r="9" spans="1:25" x14ac:dyDescent="0.25">
      <c r="A9" s="94" t="s">
        <v>61</v>
      </c>
      <c r="B9" s="95"/>
      <c r="C9" s="95"/>
      <c r="D9" s="96"/>
      <c r="E9" s="96"/>
      <c r="F9" s="87"/>
      <c r="T9" s="67"/>
      <c r="U9" s="68"/>
      <c r="V9" s="159"/>
      <c r="W9" s="159"/>
      <c r="X9" s="159"/>
      <c r="Y9" s="160"/>
    </row>
    <row r="10" spans="1:25" ht="12.75" customHeight="1" x14ac:dyDescent="0.25">
      <c r="A10" s="12" t="s">
        <v>62</v>
      </c>
      <c r="B10" s="97">
        <f>+W12</f>
        <v>2571.8303260687612</v>
      </c>
      <c r="C10" s="98" t="s">
        <v>6</v>
      </c>
      <c r="D10" s="99">
        <v>5</v>
      </c>
      <c r="E10" s="100">
        <f>+B10*D10</f>
        <v>12859.151630343806</v>
      </c>
      <c r="F10" s="87"/>
      <c r="T10" s="67"/>
      <c r="U10" s="68"/>
      <c r="V10" s="159"/>
      <c r="W10" s="159"/>
      <c r="X10" s="159"/>
      <c r="Y10" s="160"/>
    </row>
    <row r="11" spans="1:25" x14ac:dyDescent="0.25">
      <c r="A11" s="12" t="s">
        <v>63</v>
      </c>
      <c r="B11" s="97">
        <f>+W12*10</f>
        <v>25718.303260687611</v>
      </c>
      <c r="C11" s="98" t="s">
        <v>64</v>
      </c>
      <c r="D11" s="99">
        <v>9</v>
      </c>
      <c r="E11" s="100">
        <f>+B11*D11</f>
        <v>231464.72934618851</v>
      </c>
      <c r="F11" s="101"/>
      <c r="T11" s="67"/>
      <c r="U11" s="68"/>
      <c r="V11" s="159"/>
      <c r="W11" s="159"/>
      <c r="X11" s="159"/>
      <c r="Y11" s="160"/>
    </row>
    <row r="12" spans="1:25" x14ac:dyDescent="0.25">
      <c r="A12" s="18" t="s">
        <v>65</v>
      </c>
      <c r="B12" s="102">
        <f>+W12*20*10/27</f>
        <v>19050.595007916749</v>
      </c>
      <c r="C12" s="103" t="s">
        <v>17</v>
      </c>
      <c r="D12" s="96">
        <v>25</v>
      </c>
      <c r="E12" s="96">
        <f>+B12*D12</f>
        <v>476264.87519791874</v>
      </c>
      <c r="F12" s="101"/>
      <c r="T12" s="67" t="s">
        <v>51</v>
      </c>
      <c r="U12" s="68">
        <v>50</v>
      </c>
      <c r="V12" s="159">
        <v>2707.1898169144856</v>
      </c>
      <c r="W12" s="159">
        <v>2571.8303260687612</v>
      </c>
      <c r="X12" s="159">
        <v>135.35949084572439</v>
      </c>
      <c r="Y12" s="160">
        <v>73.032743155541553</v>
      </c>
    </row>
    <row r="13" spans="1:25" x14ac:dyDescent="0.25">
      <c r="A13" s="87" t="s">
        <v>7</v>
      </c>
      <c r="B13" s="104"/>
      <c r="C13" s="104"/>
      <c r="D13" s="100"/>
      <c r="E13" s="100">
        <f>SUM(E10:E12)</f>
        <v>720588.75617445109</v>
      </c>
      <c r="F13" s="87"/>
      <c r="T13" s="67"/>
      <c r="U13" s="68"/>
      <c r="V13" s="159"/>
      <c r="W13" s="159"/>
      <c r="X13" s="159"/>
      <c r="Y13" s="160"/>
    </row>
    <row r="14" spans="1:25" x14ac:dyDescent="0.25">
      <c r="A14" s="87"/>
      <c r="B14" s="104"/>
      <c r="C14" s="104"/>
      <c r="D14" s="100"/>
      <c r="E14" s="100"/>
      <c r="F14" s="87"/>
      <c r="T14" s="67"/>
      <c r="U14" s="68"/>
      <c r="V14" s="159"/>
      <c r="W14" s="159"/>
      <c r="X14" s="159"/>
      <c r="Y14" s="160"/>
    </row>
    <row r="15" spans="1:25" x14ac:dyDescent="0.25">
      <c r="A15" s="94" t="s">
        <v>66</v>
      </c>
      <c r="B15" s="95"/>
      <c r="C15" s="95"/>
      <c r="D15" s="96"/>
      <c r="E15" s="96"/>
      <c r="F15" s="87"/>
      <c r="T15" s="67"/>
      <c r="U15" s="68"/>
      <c r="V15" s="159"/>
      <c r="W15" s="159"/>
      <c r="X15" s="159"/>
      <c r="Y15" s="160"/>
    </row>
    <row r="16" spans="1:25" x14ac:dyDescent="0.25">
      <c r="A16" s="12" t="s">
        <v>10</v>
      </c>
      <c r="B16" s="97">
        <f>+W12*1*10</f>
        <v>25718.303260687611</v>
      </c>
      <c r="C16" s="98" t="s">
        <v>17</v>
      </c>
      <c r="D16" s="99">
        <v>400</v>
      </c>
      <c r="E16" s="100">
        <f>+B16*D16</f>
        <v>10287321.304275045</v>
      </c>
      <c r="F16" s="101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97">
        <f>+W12*1*20</f>
        <v>51436.606521375223</v>
      </c>
      <c r="C17" s="98" t="s">
        <v>17</v>
      </c>
      <c r="D17" s="99">
        <v>25</v>
      </c>
      <c r="E17" s="100">
        <f>+B17*D17</f>
        <v>1285915.1630343806</v>
      </c>
      <c r="F17" s="101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97">
        <f>+W12*20</f>
        <v>51436.606521375223</v>
      </c>
      <c r="C18" s="98" t="s">
        <v>17</v>
      </c>
      <c r="D18" s="99">
        <v>100</v>
      </c>
      <c r="E18" s="100">
        <f>+B18*D18</f>
        <v>5143660.6521375226</v>
      </c>
      <c r="F18" s="101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102">
        <f>+W12</f>
        <v>2571.8303260687612</v>
      </c>
      <c r="C19" s="103" t="s">
        <v>6</v>
      </c>
      <c r="D19" s="96">
        <v>25</v>
      </c>
      <c r="E19" s="150">
        <f>+B19*D19</f>
        <v>64295.758151719034</v>
      </c>
      <c r="F19" s="87"/>
      <c r="L19" s="59"/>
      <c r="U19" s="60"/>
      <c r="V19" s="61"/>
      <c r="W19" s="57"/>
      <c r="X19" s="87"/>
      <c r="Y19" s="87"/>
    </row>
    <row r="20" spans="1:25" x14ac:dyDescent="0.25">
      <c r="A20" s="87" t="s">
        <v>7</v>
      </c>
      <c r="B20" s="104"/>
      <c r="C20" s="104"/>
      <c r="D20" s="100"/>
      <c r="E20" s="100">
        <f>SUM(E16:E19)</f>
        <v>16781192.877598666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A21" s="87"/>
      <c r="B21" s="104"/>
      <c r="C21" s="104"/>
      <c r="D21" s="100"/>
      <c r="E21" s="100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94" t="s">
        <v>70</v>
      </c>
      <c r="B22" s="105"/>
      <c r="C22" s="105"/>
      <c r="D22" s="96"/>
      <c r="E22" s="96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106" t="s">
        <v>10</v>
      </c>
      <c r="B23" s="107">
        <f>+(W12/200+1)*(U12+20)*2*2/27</f>
        <v>143.72453542578762</v>
      </c>
      <c r="C23" s="108" t="s">
        <v>17</v>
      </c>
      <c r="D23" s="109">
        <v>400</v>
      </c>
      <c r="E23" s="109">
        <f t="shared" ref="E23" si="0">+B23*D23</f>
        <v>57489.814170315047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s="87" t="s">
        <v>7</v>
      </c>
      <c r="B24" s="104"/>
      <c r="C24" s="104"/>
      <c r="D24" s="100"/>
      <c r="E24" s="100">
        <f>SUM(E23:E23)</f>
        <v>57489.814170315047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10"/>
      <c r="C25" s="110"/>
      <c r="D25" s="99"/>
      <c r="E25" s="100"/>
      <c r="F25" s="87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M27" s="13"/>
      <c r="N27" s="13"/>
      <c r="O27" s="13"/>
      <c r="P27" s="13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97">
        <f>+ROUND(X12/540,0)</f>
        <v>0</v>
      </c>
      <c r="C29" s="98" t="s">
        <v>5</v>
      </c>
      <c r="D29" s="99">
        <f>+SUM(E27:E28)</f>
        <v>5022882.059609971</v>
      </c>
      <c r="E29" s="99">
        <f>+(B29-1)*D29</f>
        <v>-5022882.059609971</v>
      </c>
      <c r="F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18" t="s">
        <v>92</v>
      </c>
      <c r="B30" s="126">
        <f>B29</f>
        <v>0</v>
      </c>
      <c r="C30" s="103" t="s">
        <v>86</v>
      </c>
      <c r="D30" s="117">
        <v>500000</v>
      </c>
      <c r="E30" s="117">
        <f>B30*D30</f>
        <v>0</v>
      </c>
      <c r="F30" s="87"/>
      <c r="M30" s="13"/>
      <c r="N30" s="13"/>
      <c r="O30" s="13"/>
      <c r="T30" s="13"/>
      <c r="U30" s="48"/>
    </row>
    <row r="31" spans="1:25" x14ac:dyDescent="0.25">
      <c r="A31" s="87" t="s">
        <v>7</v>
      </c>
      <c r="B31" s="104"/>
      <c r="C31" s="104"/>
      <c r="D31" s="100"/>
      <c r="E31" s="100">
        <f>SUM(E27:E30)</f>
        <v>0</v>
      </c>
      <c r="F31" s="87"/>
      <c r="M31" s="49">
        <v>0.05</v>
      </c>
      <c r="N31" s="47">
        <f>+M31*SUM(E10:E42)/2</f>
        <v>1066635.2784285655</v>
      </c>
      <c r="O31" s="13">
        <v>50</v>
      </c>
      <c r="Q31" s="2"/>
      <c r="T31" s="13"/>
      <c r="U31" s="48"/>
    </row>
    <row r="32" spans="1:25" x14ac:dyDescent="0.25">
      <c r="A32" s="74"/>
      <c r="B32" s="110"/>
      <c r="C32" s="110"/>
      <c r="D32" s="99"/>
      <c r="E32" s="99"/>
      <c r="F32" s="87"/>
      <c r="T32" s="13"/>
      <c r="U32" s="48"/>
    </row>
    <row r="33" spans="1:21" x14ac:dyDescent="0.25">
      <c r="A33" s="31" t="s">
        <v>75</v>
      </c>
      <c r="B33" s="105"/>
      <c r="C33" s="105"/>
      <c r="D33" s="96"/>
      <c r="E33" s="96"/>
      <c r="F33" s="87"/>
      <c r="T33" s="13"/>
      <c r="U33" s="48"/>
    </row>
    <row r="34" spans="1:21" x14ac:dyDescent="0.25">
      <c r="A34" s="12" t="s">
        <v>76</v>
      </c>
      <c r="B34" s="97">
        <f>+X12</f>
        <v>135.35949084572439</v>
      </c>
      <c r="C34" s="98" t="s">
        <v>6</v>
      </c>
      <c r="D34" s="99">
        <v>25</v>
      </c>
      <c r="E34" s="100">
        <f>+B34*D34</f>
        <v>3383.9872711431099</v>
      </c>
      <c r="F34" s="87"/>
      <c r="T34" s="13"/>
      <c r="U34" s="48"/>
    </row>
    <row r="35" spans="1:21" x14ac:dyDescent="0.25">
      <c r="A35" s="18" t="s">
        <v>77</v>
      </c>
      <c r="B35" s="102">
        <f>20*X12</f>
        <v>2707.1898169144879</v>
      </c>
      <c r="C35" s="103" t="s">
        <v>64</v>
      </c>
      <c r="D35" s="96">
        <v>25</v>
      </c>
      <c r="E35" s="96">
        <f>+B35*D35</f>
        <v>67679.745422862194</v>
      </c>
      <c r="F35" s="101"/>
      <c r="T35" s="13"/>
      <c r="U35" s="48"/>
    </row>
    <row r="36" spans="1:21" x14ac:dyDescent="0.25">
      <c r="A36" s="87" t="s">
        <v>7</v>
      </c>
      <c r="B36" s="104"/>
      <c r="C36" s="104"/>
      <c r="D36" s="100"/>
      <c r="E36" s="100">
        <f>+SUM(E34:E35)</f>
        <v>71063.732694005303</v>
      </c>
      <c r="F36" s="87"/>
      <c r="M36" s="41"/>
      <c r="N36" s="41"/>
      <c r="O36" s="41"/>
      <c r="P36" s="13"/>
      <c r="T36" s="13"/>
      <c r="U36" s="48"/>
    </row>
    <row r="37" spans="1:21" x14ac:dyDescent="0.25">
      <c r="A37" s="114"/>
      <c r="B37" s="114"/>
      <c r="C37" s="114"/>
      <c r="D37" s="114"/>
      <c r="E37" s="114"/>
      <c r="F37" s="87"/>
      <c r="M37" s="41"/>
      <c r="N37" s="41"/>
      <c r="O37" s="41"/>
      <c r="P37" s="13"/>
      <c r="T37" s="79"/>
      <c r="U37" s="80"/>
    </row>
    <row r="38" spans="1:21" x14ac:dyDescent="0.25">
      <c r="A38" s="31" t="s">
        <v>83</v>
      </c>
      <c r="B38" s="115">
        <v>10</v>
      </c>
      <c r="C38" s="115" t="s">
        <v>8</v>
      </c>
      <c r="D38" s="152">
        <f>SUM(E10:E36)/2</f>
        <v>17630335.180637442</v>
      </c>
      <c r="E38" s="153">
        <f>D38*B38/100</f>
        <v>1763033.5180637443</v>
      </c>
      <c r="F38" s="87"/>
      <c r="M38" s="41"/>
      <c r="N38" s="41"/>
      <c r="O38" s="41"/>
      <c r="P38" s="13"/>
      <c r="T38" s="13"/>
      <c r="U38" s="48"/>
    </row>
    <row r="39" spans="1:21" x14ac:dyDescent="0.25">
      <c r="A39" s="87" t="s">
        <v>7</v>
      </c>
      <c r="B39" s="104"/>
      <c r="C39" s="104"/>
      <c r="D39" s="100"/>
      <c r="E39" s="100">
        <f>SUM(E38)</f>
        <v>1763033.5180637443</v>
      </c>
      <c r="F39" s="87"/>
      <c r="M39" s="41"/>
      <c r="N39" s="41"/>
      <c r="O39" s="41"/>
      <c r="P39" s="13"/>
      <c r="T39" s="13"/>
      <c r="U39" s="48"/>
    </row>
    <row r="40" spans="1:21" x14ac:dyDescent="0.25">
      <c r="A40" s="114"/>
      <c r="B40" s="114"/>
      <c r="C40" s="114"/>
      <c r="D40" s="114"/>
      <c r="E40" s="114"/>
      <c r="F40" s="87"/>
      <c r="M40" s="41"/>
      <c r="N40" s="41"/>
      <c r="O40" s="41"/>
      <c r="P40" s="13"/>
      <c r="T40" s="13"/>
      <c r="U40" s="48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19393368.698701188</v>
      </c>
      <c r="E41" s="153">
        <f>D41*B41/100</f>
        <v>1939336.8698701188</v>
      </c>
      <c r="F41" s="87"/>
      <c r="M41" s="41"/>
      <c r="N41" s="41"/>
      <c r="O41" s="41"/>
      <c r="P41" s="13"/>
      <c r="T41" s="13"/>
      <c r="U41" s="48"/>
    </row>
    <row r="42" spans="1:21" x14ac:dyDescent="0.25">
      <c r="A42" s="87" t="s">
        <v>7</v>
      </c>
      <c r="B42" s="104"/>
      <c r="C42" s="104"/>
      <c r="D42" s="100"/>
      <c r="E42" s="100">
        <f>SUM(E41)</f>
        <v>1939336.8698701188</v>
      </c>
      <c r="F42" s="87"/>
      <c r="M42" s="41"/>
      <c r="N42" s="41"/>
      <c r="O42" s="41"/>
      <c r="P42" s="13"/>
      <c r="T42" s="13"/>
      <c r="U42" s="48"/>
    </row>
    <row r="43" spans="1:21" s="78" customFormat="1" x14ac:dyDescent="0.25">
      <c r="A43" s="87"/>
      <c r="B43" s="104"/>
      <c r="C43" s="104"/>
      <c r="D43" s="100"/>
      <c r="E43" s="100"/>
      <c r="F43" s="114"/>
      <c r="M43" s="79"/>
      <c r="N43" s="79"/>
      <c r="O43" s="79"/>
      <c r="P43" s="79"/>
      <c r="T43" s="13"/>
      <c r="U43" s="48"/>
    </row>
    <row r="44" spans="1:21" x14ac:dyDescent="0.25">
      <c r="A44" s="31" t="s">
        <v>12</v>
      </c>
      <c r="B44" s="105"/>
      <c r="C44" s="105"/>
      <c r="D44" s="99"/>
      <c r="E44" s="99"/>
      <c r="F44" s="87"/>
      <c r="M44" s="13"/>
      <c r="N44" s="42"/>
      <c r="O44" s="24"/>
      <c r="P44" s="13"/>
      <c r="T44" s="13"/>
      <c r="U44" s="48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SUM(E10:E42)/2</f>
        <v>21332705.568571307</v>
      </c>
      <c r="E45" s="113">
        <f>D45*B45/100</f>
        <v>2133270.5568571305</v>
      </c>
      <c r="F45" s="87"/>
      <c r="M45" s="13"/>
      <c r="N45" s="13"/>
      <c r="O45" s="13"/>
      <c r="P45" s="13"/>
      <c r="T45" s="13"/>
      <c r="U45" s="48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21332705.568571307</v>
      </c>
      <c r="E46" s="99">
        <f>D46*B46/100</f>
        <v>3199905.8352856957</v>
      </c>
      <c r="F46" s="87"/>
      <c r="T46" s="13"/>
      <c r="U46" s="48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127996233.41142784</v>
      </c>
      <c r="E47" s="99">
        <f t="shared" ref="E47:E50" si="1">D47*B47/100</f>
        <v>14079585.675257063</v>
      </c>
      <c r="F47" s="87"/>
      <c r="T47" s="13"/>
      <c r="U47" s="48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21332705.568571307</v>
      </c>
      <c r="E48" s="99">
        <f t="shared" si="1"/>
        <v>1066635.2784285652</v>
      </c>
      <c r="F48" s="87"/>
      <c r="T48" s="13"/>
      <c r="U48" s="48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21332705.568571307</v>
      </c>
      <c r="E49" s="99">
        <f t="shared" si="1"/>
        <v>2133270.5568571305</v>
      </c>
      <c r="F49" s="87"/>
      <c r="T49" s="13"/>
      <c r="U49" s="48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21332705.568571307</v>
      </c>
      <c r="E50" s="96">
        <f t="shared" si="1"/>
        <v>2133270.5568571305</v>
      </c>
      <c r="F50" s="87"/>
      <c r="T50" s="13"/>
      <c r="U50" s="48"/>
    </row>
    <row r="51" spans="1:21" x14ac:dyDescent="0.25">
      <c r="A51" s="87" t="s">
        <v>7</v>
      </c>
      <c r="B51" s="104"/>
      <c r="C51" s="104"/>
      <c r="D51" s="100"/>
      <c r="E51" s="100">
        <f>SUM(E45:E50)</f>
        <v>24745938.459542718</v>
      </c>
      <c r="F51" s="87"/>
      <c r="T51" s="13"/>
      <c r="U51" s="48"/>
    </row>
    <row r="52" spans="1:21" x14ac:dyDescent="0.25">
      <c r="A52" s="74"/>
      <c r="B52" s="110"/>
      <c r="C52" s="110"/>
      <c r="D52" s="99"/>
      <c r="E52" s="121"/>
      <c r="F52" s="87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46078644.028114021</v>
      </c>
      <c r="E54" s="109">
        <f>D54*B54/100</f>
        <v>13823593.208434206</v>
      </c>
      <c r="F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13823593.208434206</v>
      </c>
      <c r="F55" s="87"/>
      <c r="T55" s="13"/>
      <c r="U55" s="48"/>
    </row>
    <row r="56" spans="1:21" x14ac:dyDescent="0.25">
      <c r="A56" s="87"/>
      <c r="B56" s="110"/>
      <c r="C56" s="110"/>
      <c r="D56" s="99"/>
      <c r="E56" s="99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58">
        <f>X12*74/43560</f>
        <v>0.22994954826867781</v>
      </c>
      <c r="C58" s="103" t="s">
        <v>86</v>
      </c>
      <c r="D58" s="117">
        <v>500000</v>
      </c>
      <c r="E58" s="144">
        <f>B58*D58</f>
        <v>114974.77413433891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114974.77413433891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59902237.23654823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114974.77413433891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2501352.8530447576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1066635.2784285655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+Y12</f>
        <v>73.032743155541553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48854.63666446702</v>
      </c>
      <c r="F72" s="87"/>
      <c r="T72" s="13"/>
      <c r="U72" s="48"/>
    </row>
    <row r="73" spans="1:21" x14ac:dyDescent="0.25">
      <c r="T73" s="13"/>
      <c r="U73" s="48"/>
    </row>
    <row r="74" spans="1:21" x14ac:dyDescent="0.25">
      <c r="T74" s="13"/>
      <c r="U74" s="48"/>
    </row>
    <row r="75" spans="1:21" x14ac:dyDescent="0.25"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5.3320312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52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93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96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+W13</f>
        <v>15354.262027027236</v>
      </c>
      <c r="C10" s="25" t="s">
        <v>6</v>
      </c>
      <c r="D10" s="99">
        <v>5</v>
      </c>
      <c r="E10" s="2">
        <f>+B10*D10</f>
        <v>76771.310135136184</v>
      </c>
      <c r="T10" s="67"/>
      <c r="U10" s="68"/>
      <c r="V10" s="159"/>
      <c r="W10" s="159"/>
      <c r="X10" s="159"/>
      <c r="Y10" s="160"/>
    </row>
    <row r="11" spans="1:25" x14ac:dyDescent="0.25">
      <c r="A11" s="9" t="s">
        <v>63</v>
      </c>
      <c r="B11" s="24">
        <f>+W13*10</f>
        <v>153542.62027027237</v>
      </c>
      <c r="C11" s="25" t="s">
        <v>64</v>
      </c>
      <c r="D11" s="99">
        <v>9</v>
      </c>
      <c r="E11" s="2">
        <f>+B11*D11</f>
        <v>1381883.5824324512</v>
      </c>
      <c r="F11" s="32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+W13*20*10/27</f>
        <v>113735.27427427583</v>
      </c>
      <c r="C12" s="26" t="s">
        <v>17</v>
      </c>
      <c r="D12" s="96">
        <v>25</v>
      </c>
      <c r="E12" s="8">
        <f>+B12*D12</f>
        <v>2843381.8568568956</v>
      </c>
      <c r="F12" s="32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3"/>
      <c r="D13" s="100"/>
      <c r="E13" s="2">
        <f>SUM(E10:E12)</f>
        <v>4302036.7494244827</v>
      </c>
      <c r="T13" s="67" t="s">
        <v>52</v>
      </c>
      <c r="U13" s="68">
        <v>60</v>
      </c>
      <c r="V13" s="159">
        <v>16162.381081081303</v>
      </c>
      <c r="W13" s="159">
        <v>15354.262027027236</v>
      </c>
      <c r="X13" s="159">
        <v>808.11905405406651</v>
      </c>
      <c r="Y13" s="160">
        <v>486.88405022319631</v>
      </c>
    </row>
    <row r="14" spans="1:25" x14ac:dyDescent="0.25">
      <c r="B14" s="13"/>
      <c r="C14" s="13"/>
      <c r="D14" s="100"/>
      <c r="E14" s="2"/>
      <c r="T14" s="67"/>
      <c r="U14" s="68"/>
      <c r="V14" s="159"/>
      <c r="W14" s="159"/>
      <c r="X14" s="159"/>
      <c r="Y14" s="160"/>
    </row>
    <row r="15" spans="1:25" x14ac:dyDescent="0.25">
      <c r="A15" s="17" t="s">
        <v>66</v>
      </c>
      <c r="B15" s="7"/>
      <c r="C15" s="7"/>
      <c r="D15" s="96"/>
      <c r="E15" s="8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+W13*1*10</f>
        <v>153542.62027027237</v>
      </c>
      <c r="C16" s="25" t="s">
        <v>17</v>
      </c>
      <c r="D16" s="99">
        <v>400</v>
      </c>
      <c r="E16" s="2">
        <f>+B16*D16</f>
        <v>61417048.108108945</v>
      </c>
      <c r="F16" s="32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24">
        <f>+W13*1*20</f>
        <v>307085.24054054474</v>
      </c>
      <c r="C17" s="25" t="s">
        <v>17</v>
      </c>
      <c r="D17" s="99">
        <v>25</v>
      </c>
      <c r="E17" s="2">
        <f>+B17*D17</f>
        <v>7677131.0135136181</v>
      </c>
      <c r="F17" s="32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24">
        <f>+W13*20</f>
        <v>307085.24054054474</v>
      </c>
      <c r="C18" s="25" t="s">
        <v>17</v>
      </c>
      <c r="D18" s="11">
        <v>100</v>
      </c>
      <c r="E18" s="2">
        <f>+B18*D18</f>
        <v>30708524.054054473</v>
      </c>
      <c r="F18" s="32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72">
        <f>+W13</f>
        <v>15354.262027027236</v>
      </c>
      <c r="C19" s="26" t="s">
        <v>6</v>
      </c>
      <c r="D19" s="8">
        <v>25</v>
      </c>
      <c r="E19" s="73">
        <f>+B19*D19</f>
        <v>383856.55067568092</v>
      </c>
      <c r="L19" s="59"/>
      <c r="U19" s="60"/>
      <c r="V19" s="61"/>
      <c r="W19" s="57"/>
      <c r="X19" s="87"/>
      <c r="Y19" s="87"/>
    </row>
    <row r="20" spans="1:25" x14ac:dyDescent="0.25">
      <c r="A20" t="s">
        <v>7</v>
      </c>
      <c r="B20" s="13"/>
      <c r="C20" s="13"/>
      <c r="D20" s="2"/>
      <c r="E20" s="2">
        <f>SUM(E16:E19)</f>
        <v>100186559.72635271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+(W13/200+1)*(U13+20)*2*2/27</f>
        <v>921.73404604605832</v>
      </c>
      <c r="C23" s="29" t="s">
        <v>17</v>
      </c>
      <c r="D23" s="30">
        <v>400</v>
      </c>
      <c r="E23" s="30">
        <f t="shared" ref="E23" si="0">+B23*D23</f>
        <v>368693.61841842334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3"/>
      <c r="D24" s="2"/>
      <c r="E24" s="2">
        <f>SUM(E23:E23)</f>
        <v>368693.61841842334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5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5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24">
        <f>+ROUND(X13/540,0)</f>
        <v>1</v>
      </c>
      <c r="C29" s="25" t="s">
        <v>5</v>
      </c>
      <c r="D29" s="11">
        <f>+SUM(E27:E28)</f>
        <v>5022882.059609971</v>
      </c>
      <c r="E29" s="11">
        <f>+(B29-1)*D29</f>
        <v>0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71" t="s">
        <v>92</v>
      </c>
      <c r="B30" s="85">
        <f>B29</f>
        <v>1</v>
      </c>
      <c r="C30" s="26" t="s">
        <v>86</v>
      </c>
      <c r="D30" s="84">
        <v>500000</v>
      </c>
      <c r="E30" s="84">
        <f>B30*D30</f>
        <v>500000</v>
      </c>
      <c r="M30" s="13"/>
      <c r="N30" s="13"/>
      <c r="O30" s="13"/>
      <c r="T30" s="13"/>
      <c r="U30" s="48"/>
    </row>
    <row r="31" spans="1:25" x14ac:dyDescent="0.25">
      <c r="A31" t="s">
        <v>7</v>
      </c>
      <c r="B31" s="13"/>
      <c r="C31" s="13"/>
      <c r="D31" s="2"/>
      <c r="E31" s="2">
        <f>SUM(E27:E30)</f>
        <v>5522882.059609971</v>
      </c>
      <c r="M31" s="49">
        <v>0.05</v>
      </c>
      <c r="N31" s="47">
        <f>+M31*SUM(E10:E42)/2</f>
        <v>6703668.2967596315</v>
      </c>
      <c r="O31" s="13">
        <v>50</v>
      </c>
      <c r="Q31" s="2"/>
      <c r="T31" s="13"/>
      <c r="U31" s="48"/>
    </row>
    <row r="32" spans="1:25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+X13</f>
        <v>808.11905405406651</v>
      </c>
      <c r="C34" s="25" t="s">
        <v>6</v>
      </c>
      <c r="D34" s="11">
        <v>25</v>
      </c>
      <c r="E34" s="2">
        <f>+B34*D34</f>
        <v>20202.976351351663</v>
      </c>
      <c r="T34" s="13"/>
      <c r="U34" s="48"/>
    </row>
    <row r="35" spans="1:21" x14ac:dyDescent="0.25">
      <c r="A35" s="18" t="s">
        <v>77</v>
      </c>
      <c r="B35" s="72">
        <f>20*X13</f>
        <v>16162.38108108133</v>
      </c>
      <c r="C35" s="26" t="s">
        <v>64</v>
      </c>
      <c r="D35" s="8">
        <v>25</v>
      </c>
      <c r="E35" s="8">
        <f>+B35*D35</f>
        <v>404059.52702703327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424262.50337838492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110804434.65718399</v>
      </c>
      <c r="E38" s="77">
        <f>D38*B38/100</f>
        <v>11080443.465718398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11080443.465718398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121884878.12290238</v>
      </c>
      <c r="E41" s="77">
        <f>D41*B41/100</f>
        <v>12188487.812290236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12188487.812290236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134073365.93519261</v>
      </c>
      <c r="E45" s="38">
        <f>D45*B46/100</f>
        <v>20111004.890278891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134073365.93519261</v>
      </c>
      <c r="E46" s="11">
        <f>D46*B47/100</f>
        <v>14748070.252871187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804440195.61115575</v>
      </c>
      <c r="E47" s="11">
        <f t="shared" ref="E47:E50" si="1">D47*B47/100</f>
        <v>88488421.517227128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134073365.93519261</v>
      </c>
      <c r="E48" s="11">
        <f t="shared" si="1"/>
        <v>6703668.2967596306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134073365.93519261</v>
      </c>
      <c r="E49" s="11">
        <f t="shared" si="1"/>
        <v>13407336.593519261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134073365.93519261</v>
      </c>
      <c r="E50" s="8">
        <f t="shared" si="1"/>
        <v>13407336.593519261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156865838.14417538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290939204.079368</v>
      </c>
      <c r="E54" s="30">
        <f>D54*B54/100</f>
        <v>87281761.223810405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87281761.223810405</v>
      </c>
      <c r="T55" s="13"/>
      <c r="U55" s="48"/>
    </row>
    <row r="56" spans="1:21" x14ac:dyDescent="0.25">
      <c r="B56" s="10"/>
      <c r="C56" s="10"/>
      <c r="D56" s="11"/>
      <c r="E56" s="11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58">
        <f>X13*74/43560</f>
        <v>1.3728376951331709</v>
      </c>
      <c r="C58" s="103" t="s">
        <v>86</v>
      </c>
      <c r="D58" s="117">
        <v>500000</v>
      </c>
      <c r="E58" s="117">
        <f>B58*D58</f>
        <v>686418.84756658541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686418.84756658541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378220965.30317843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686418.84756658541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15791820.956569837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6703668.2967596315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+Y13</f>
        <v>486.88405022319631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46202.970179485521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T74" s="13"/>
      <c r="U74" s="48"/>
    </row>
    <row r="75" spans="1:21" x14ac:dyDescent="0.25"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9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.8867187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53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+W14</f>
        <v>10338.101223537666</v>
      </c>
      <c r="C10" s="25" t="s">
        <v>6</v>
      </c>
      <c r="D10" s="99">
        <v>5</v>
      </c>
      <c r="E10" s="2">
        <f>+B10*D10</f>
        <v>51690.506117688332</v>
      </c>
      <c r="T10" s="67"/>
      <c r="U10" s="68"/>
      <c r="V10" s="159"/>
      <c r="W10" s="159"/>
      <c r="X10" s="159"/>
      <c r="Y10" s="160"/>
    </row>
    <row r="11" spans="1:25" x14ac:dyDescent="0.25">
      <c r="A11" s="9" t="s">
        <v>63</v>
      </c>
      <c r="B11" s="24">
        <f>+W14*10</f>
        <v>103381.01223537666</v>
      </c>
      <c r="C11" s="25" t="s">
        <v>64</v>
      </c>
      <c r="D11" s="99">
        <v>9</v>
      </c>
      <c r="E11" s="2">
        <f>+B11*D11</f>
        <v>930429.11011838994</v>
      </c>
      <c r="F11" s="32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+W14*20*10/27</f>
        <v>76578.527581760485</v>
      </c>
      <c r="C12" s="26" t="s">
        <v>17</v>
      </c>
      <c r="D12" s="96">
        <v>25</v>
      </c>
      <c r="E12" s="8">
        <f>+B12*D12</f>
        <v>1914463.1895440121</v>
      </c>
      <c r="F12" s="32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3"/>
      <c r="D13" s="100"/>
      <c r="E13" s="2">
        <f>SUM(E10:E12)</f>
        <v>2896582.8057800904</v>
      </c>
      <c r="T13" s="67"/>
      <c r="U13" s="68"/>
      <c r="V13" s="159"/>
      <c r="W13" s="159"/>
      <c r="X13" s="159"/>
      <c r="Y13" s="160"/>
    </row>
    <row r="14" spans="1:25" x14ac:dyDescent="0.25">
      <c r="B14" s="13"/>
      <c r="C14" s="13"/>
      <c r="D14" s="100"/>
      <c r="E14" s="2"/>
      <c r="T14" s="67" t="s">
        <v>53</v>
      </c>
      <c r="U14" s="68">
        <v>50</v>
      </c>
      <c r="V14" s="159">
        <v>10882.211814250175</v>
      </c>
      <c r="W14" s="159">
        <v>10338.101223537666</v>
      </c>
      <c r="X14" s="159">
        <v>544.11059071250929</v>
      </c>
      <c r="Y14" s="160">
        <v>220.4930166976942</v>
      </c>
    </row>
    <row r="15" spans="1:25" x14ac:dyDescent="0.25">
      <c r="A15" s="17" t="s">
        <v>66</v>
      </c>
      <c r="B15" s="7"/>
      <c r="C15" s="7"/>
      <c r="D15" s="96"/>
      <c r="E15" s="8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+W14*1*10</f>
        <v>103381.01223537666</v>
      </c>
      <c r="C16" s="25" t="s">
        <v>17</v>
      </c>
      <c r="D16" s="99">
        <v>400</v>
      </c>
      <c r="E16" s="2">
        <f>+B16*D16</f>
        <v>41352404.894150667</v>
      </c>
      <c r="F16" s="32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24">
        <f>+W14*1*20</f>
        <v>206762.02447075333</v>
      </c>
      <c r="C17" s="25" t="s">
        <v>17</v>
      </c>
      <c r="D17" s="99">
        <v>25</v>
      </c>
      <c r="E17" s="2">
        <f>+B17*D17</f>
        <v>5169050.6117688334</v>
      </c>
      <c r="F17" s="32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24">
        <f>+W14*20</f>
        <v>206762.02447075333</v>
      </c>
      <c r="C18" s="25" t="s">
        <v>17</v>
      </c>
      <c r="D18" s="99">
        <v>100</v>
      </c>
      <c r="E18" s="2">
        <f>+B18*D18</f>
        <v>20676202.447075333</v>
      </c>
      <c r="F18" s="32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72">
        <f>+W14</f>
        <v>10338.101223537666</v>
      </c>
      <c r="C19" s="26" t="s">
        <v>6</v>
      </c>
      <c r="D19" s="8">
        <v>25</v>
      </c>
      <c r="E19" s="73">
        <f>+B19*D19</f>
        <v>258452.53058844164</v>
      </c>
      <c r="L19" s="59"/>
      <c r="U19" s="60"/>
      <c r="V19" s="61"/>
      <c r="W19" s="57"/>
    </row>
    <row r="20" spans="1:25" x14ac:dyDescent="0.25">
      <c r="A20" t="s">
        <v>7</v>
      </c>
      <c r="B20" s="13"/>
      <c r="C20" s="13"/>
      <c r="D20" s="2"/>
      <c r="E20" s="2">
        <f>SUM(E16:E19)</f>
        <v>67456110.483583286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+(W14/200+1)*(U14+20)*2*2/27</f>
        <v>546.42006344269373</v>
      </c>
      <c r="C23" s="29" t="s">
        <v>17</v>
      </c>
      <c r="D23" s="30">
        <v>400</v>
      </c>
      <c r="E23" s="30">
        <f t="shared" ref="E23" si="0">+B23*D23</f>
        <v>218568.02537707749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3"/>
      <c r="D24" s="2"/>
      <c r="E24" s="2">
        <f>SUM(E23:E23)</f>
        <v>218568.02537707749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5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5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24">
        <f>+ROUND(X14/540,0)</f>
        <v>1</v>
      </c>
      <c r="C29" s="25" t="s">
        <v>5</v>
      </c>
      <c r="D29" s="11">
        <f>+SUM(E27:E28)</f>
        <v>5022882.059609971</v>
      </c>
      <c r="E29" s="11">
        <f>+(B29-1)*D29</f>
        <v>0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71" t="s">
        <v>92</v>
      </c>
      <c r="B30" s="85">
        <f>B29</f>
        <v>1</v>
      </c>
      <c r="C30" s="26" t="s">
        <v>86</v>
      </c>
      <c r="D30" s="84">
        <v>500000</v>
      </c>
      <c r="E30" s="84">
        <f>B30*D30</f>
        <v>500000</v>
      </c>
      <c r="M30" s="13"/>
      <c r="N30" s="13"/>
      <c r="O30" s="13"/>
      <c r="T30" s="13"/>
      <c r="U30" s="48"/>
    </row>
    <row r="31" spans="1:25" x14ac:dyDescent="0.25">
      <c r="A31" t="s">
        <v>7</v>
      </c>
      <c r="B31" s="13"/>
      <c r="C31" s="13"/>
      <c r="D31" s="2"/>
      <c r="E31" s="2">
        <f>SUM(E27:E30)</f>
        <v>5522882.059609971</v>
      </c>
      <c r="M31" s="49">
        <v>0.05</v>
      </c>
      <c r="N31" s="47">
        <f>+M31*SUM(E10:E42)/2</f>
        <v>4620977.9867857089</v>
      </c>
      <c r="O31" s="13">
        <v>50</v>
      </c>
      <c r="Q31" s="2"/>
      <c r="T31" s="13"/>
      <c r="U31" s="48"/>
    </row>
    <row r="32" spans="1:25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+X14</f>
        <v>544.11059071250929</v>
      </c>
      <c r="C34" s="25" t="s">
        <v>6</v>
      </c>
      <c r="D34" s="11">
        <v>25</v>
      </c>
      <c r="E34" s="2">
        <f>+B34*D34</f>
        <v>13602.764767812732</v>
      </c>
      <c r="T34" s="13"/>
      <c r="U34" s="48"/>
    </row>
    <row r="35" spans="1:21" x14ac:dyDescent="0.25">
      <c r="A35" s="18" t="s">
        <v>77</v>
      </c>
      <c r="B35" s="72">
        <f>20*X14</f>
        <v>10882.211814250186</v>
      </c>
      <c r="C35" s="26" t="s">
        <v>64</v>
      </c>
      <c r="D35" s="8">
        <v>25</v>
      </c>
      <c r="E35" s="8">
        <f>+B35*D35</f>
        <v>272055.29535625468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285658.06012406742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76379801.434474498</v>
      </c>
      <c r="E38" s="77">
        <f>D38*B38/100</f>
        <v>7637980.1434474494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7637980.1434474494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84017781.577921957</v>
      </c>
      <c r="E41" s="77">
        <f>D41*B41/100</f>
        <v>8401778.1577921957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8401778.1577921957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92419559.735714167</v>
      </c>
      <c r="E45" s="38">
        <f>D45*B45/100</f>
        <v>9241955.9735714179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92419559.735714167</v>
      </c>
      <c r="E46" s="11">
        <f>D46*B46/100</f>
        <v>13862933.960357124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554517358.41428494</v>
      </c>
      <c r="E47" s="11">
        <f t="shared" ref="E47:E50" si="1">D47*B47/100</f>
        <v>60996909.425571345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92419559.735714167</v>
      </c>
      <c r="E48" s="11">
        <f t="shared" si="1"/>
        <v>4620977.9867857089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92419559.735714167</v>
      </c>
      <c r="E49" s="11">
        <f t="shared" si="1"/>
        <v>9241955.9735714179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92419559.735714167</v>
      </c>
      <c r="E50" s="8">
        <f t="shared" si="1"/>
        <v>9241955.9735714179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107206689.29342844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199626249.02914259</v>
      </c>
      <c r="E54" s="30">
        <f>D54*B54/100</f>
        <v>59887874.708742782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59887874.708742782</v>
      </c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X14*74/43560</f>
        <v>0.92433846907083761</v>
      </c>
      <c r="C58" s="103" t="s">
        <v>86</v>
      </c>
      <c r="D58" s="117">
        <v>500000</v>
      </c>
      <c r="E58" s="117">
        <f>B58*D58</f>
        <v>462169.2345354188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462169.2345354188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259514123.73788539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462169.2345354188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10835099.138474107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4620977.9867857089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+Y14</f>
        <v>220.4930166976942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70097.807888631636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T74" s="13"/>
      <c r="U74" s="48"/>
    </row>
    <row r="75" spans="1:21" x14ac:dyDescent="0.25"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6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6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6" x14ac:dyDescent="0.25">
      <c r="A3" s="16">
        <f>Summary!A3</f>
        <v>42275</v>
      </c>
      <c r="T3" s="67"/>
      <c r="U3" s="67"/>
      <c r="V3" s="162"/>
      <c r="W3" s="162"/>
      <c r="X3" s="162"/>
      <c r="Y3" s="162"/>
      <c r="Z3" s="87"/>
    </row>
    <row r="4" spans="1:26" x14ac:dyDescent="0.25">
      <c r="T4" s="67"/>
      <c r="U4" s="68"/>
      <c r="V4" s="159"/>
      <c r="W4" s="159"/>
      <c r="X4" s="159"/>
      <c r="Y4" s="160"/>
      <c r="Z4" s="87"/>
    </row>
    <row r="5" spans="1:26" ht="15" thickBot="1" x14ac:dyDescent="0.35">
      <c r="A5" s="19" t="s">
        <v>54</v>
      </c>
      <c r="B5" s="20"/>
      <c r="C5" s="20"/>
      <c r="D5" s="20"/>
      <c r="E5" s="20"/>
      <c r="T5" s="67"/>
      <c r="U5" s="68"/>
      <c r="V5" s="161"/>
      <c r="W5" s="159"/>
      <c r="X5" s="159"/>
      <c r="Y5" s="160"/>
      <c r="Z5" s="87"/>
    </row>
    <row r="6" spans="1:26" x14ac:dyDescent="0.25">
      <c r="T6" s="67"/>
      <c r="U6" s="68"/>
      <c r="V6" s="159"/>
      <c r="W6" s="159"/>
      <c r="X6" s="159"/>
      <c r="Y6" s="160"/>
      <c r="Z6" s="87"/>
    </row>
    <row r="7" spans="1:26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  <c r="Z7" s="87"/>
    </row>
    <row r="8" spans="1:26" x14ac:dyDescent="0.25">
      <c r="A8" s="1"/>
      <c r="B8" s="1"/>
      <c r="C8" s="1"/>
      <c r="D8" s="93"/>
      <c r="E8" s="5"/>
      <c r="T8" s="67"/>
      <c r="U8" s="68"/>
      <c r="V8" s="159"/>
      <c r="W8" s="159"/>
      <c r="X8" s="159"/>
      <c r="Y8" s="160"/>
      <c r="Z8" s="87"/>
    </row>
    <row r="9" spans="1:26" x14ac:dyDescent="0.25">
      <c r="A9" s="17" t="s">
        <v>61</v>
      </c>
      <c r="B9" s="7"/>
      <c r="C9" s="7"/>
      <c r="D9" s="96"/>
      <c r="E9" s="8"/>
      <c r="T9" s="67"/>
      <c r="U9" s="68"/>
      <c r="V9" s="159"/>
      <c r="W9" s="159"/>
      <c r="X9" s="159"/>
      <c r="Y9" s="160"/>
      <c r="Z9" s="87"/>
    </row>
    <row r="10" spans="1:26" ht="12.75" customHeight="1" x14ac:dyDescent="0.25">
      <c r="A10" s="9" t="s">
        <v>62</v>
      </c>
      <c r="B10" s="24">
        <f>+W15</f>
        <v>21204.846333024652</v>
      </c>
      <c r="C10" s="25" t="s">
        <v>6</v>
      </c>
      <c r="D10" s="99">
        <v>5</v>
      </c>
      <c r="E10" s="2">
        <f>+B10*D10</f>
        <v>106024.23166512325</v>
      </c>
      <c r="T10" s="67"/>
      <c r="U10" s="68"/>
      <c r="V10" s="159"/>
      <c r="W10" s="159"/>
      <c r="X10" s="159"/>
      <c r="Y10" s="160"/>
      <c r="Z10" s="87"/>
    </row>
    <row r="11" spans="1:26" x14ac:dyDescent="0.25">
      <c r="A11" s="9" t="s">
        <v>63</v>
      </c>
      <c r="B11" s="24">
        <f>+W15*10</f>
        <v>212048.46333024651</v>
      </c>
      <c r="C11" s="25" t="s">
        <v>64</v>
      </c>
      <c r="D11" s="99">
        <v>9</v>
      </c>
      <c r="E11" s="2">
        <f>+B11*D11</f>
        <v>1908436.1699722186</v>
      </c>
      <c r="F11" s="32"/>
      <c r="T11" s="67"/>
      <c r="U11" s="68"/>
      <c r="V11" s="159"/>
      <c r="W11" s="159"/>
      <c r="X11" s="159"/>
      <c r="Y11" s="160"/>
      <c r="Z11" s="87"/>
    </row>
    <row r="12" spans="1:26" x14ac:dyDescent="0.25">
      <c r="A12" s="71" t="s">
        <v>65</v>
      </c>
      <c r="B12" s="72">
        <f>+W15*20*10/27</f>
        <v>157072.9358001826</v>
      </c>
      <c r="C12" s="26" t="s">
        <v>17</v>
      </c>
      <c r="D12" s="96">
        <v>25</v>
      </c>
      <c r="E12" s="8">
        <f>+B12*D12</f>
        <v>3926823.3950045649</v>
      </c>
      <c r="F12" s="32"/>
      <c r="T12" s="67"/>
      <c r="U12" s="68"/>
      <c r="V12" s="159"/>
      <c r="W12" s="159"/>
      <c r="X12" s="159"/>
      <c r="Y12" s="160"/>
      <c r="Z12" s="87"/>
    </row>
    <row r="13" spans="1:26" x14ac:dyDescent="0.25">
      <c r="A13" t="s">
        <v>7</v>
      </c>
      <c r="B13" s="13"/>
      <c r="C13" s="13"/>
      <c r="D13" s="100"/>
      <c r="E13" s="2">
        <f>SUM(E10:E12)</f>
        <v>5941283.7966419067</v>
      </c>
      <c r="T13" s="67"/>
      <c r="U13" s="68"/>
      <c r="V13" s="159"/>
      <c r="W13" s="159"/>
      <c r="X13" s="159"/>
      <c r="Y13" s="160"/>
      <c r="Z13" s="87"/>
    </row>
    <row r="14" spans="1:26" x14ac:dyDescent="0.25">
      <c r="B14" s="13"/>
      <c r="C14" s="13"/>
      <c r="D14" s="100"/>
      <c r="E14" s="2"/>
      <c r="T14" s="67"/>
      <c r="U14" s="68"/>
      <c r="V14" s="159"/>
      <c r="W14" s="159"/>
      <c r="X14" s="159"/>
      <c r="Y14" s="160"/>
      <c r="Z14" s="87"/>
    </row>
    <row r="15" spans="1:26" x14ac:dyDescent="0.25">
      <c r="A15" s="17" t="s">
        <v>66</v>
      </c>
      <c r="B15" s="7"/>
      <c r="C15" s="7"/>
      <c r="D15" s="96"/>
      <c r="E15" s="8"/>
      <c r="T15" s="67" t="s">
        <v>54</v>
      </c>
      <c r="U15" s="68">
        <v>75</v>
      </c>
      <c r="V15" s="159">
        <v>22320.890876868056</v>
      </c>
      <c r="W15" s="159">
        <v>21204.846333024652</v>
      </c>
      <c r="X15" s="159">
        <v>1116.0445438434035</v>
      </c>
      <c r="Y15" s="160">
        <v>739.92783094302342</v>
      </c>
      <c r="Z15" s="87"/>
    </row>
    <row r="16" spans="1:26" x14ac:dyDescent="0.25">
      <c r="A16" s="9" t="s">
        <v>10</v>
      </c>
      <c r="B16" s="24">
        <f>+W15*1*10</f>
        <v>212048.46333024651</v>
      </c>
      <c r="C16" s="25" t="s">
        <v>17</v>
      </c>
      <c r="D16" s="99">
        <v>400</v>
      </c>
      <c r="E16" s="2">
        <f>+B16*D16</f>
        <v>84819385.332098603</v>
      </c>
      <c r="F16" s="32"/>
      <c r="L16" s="58"/>
      <c r="T16" s="67"/>
      <c r="U16" s="68"/>
      <c r="V16" s="159"/>
      <c r="W16" s="159"/>
      <c r="X16" s="159"/>
      <c r="Y16" s="160"/>
      <c r="Z16" s="87"/>
    </row>
    <row r="17" spans="1:26" x14ac:dyDescent="0.25">
      <c r="A17" s="12" t="s">
        <v>68</v>
      </c>
      <c r="B17" s="24">
        <f>+W15*1*20</f>
        <v>424096.92666049302</v>
      </c>
      <c r="C17" s="25" t="s">
        <v>17</v>
      </c>
      <c r="D17" s="99">
        <v>25</v>
      </c>
      <c r="E17" s="2">
        <f>+B17*D17</f>
        <v>10602423.166512325</v>
      </c>
      <c r="F17" s="32"/>
      <c r="L17" s="58"/>
      <c r="T17" s="67"/>
      <c r="U17" s="68"/>
      <c r="V17" s="159"/>
      <c r="W17" s="159"/>
      <c r="X17" s="159"/>
      <c r="Y17" s="160"/>
      <c r="Z17" s="87"/>
    </row>
    <row r="18" spans="1:26" x14ac:dyDescent="0.25">
      <c r="A18" s="12" t="s">
        <v>67</v>
      </c>
      <c r="B18" s="24">
        <f>+W15*20</f>
        <v>424096.92666049302</v>
      </c>
      <c r="C18" s="25" t="s">
        <v>17</v>
      </c>
      <c r="D18" s="99">
        <v>100</v>
      </c>
      <c r="E18" s="2">
        <f>+B18*D18</f>
        <v>42409692.666049302</v>
      </c>
      <c r="F18" s="32"/>
      <c r="L18" s="58"/>
      <c r="T18" s="67"/>
      <c r="U18" s="68"/>
      <c r="V18" s="159"/>
      <c r="W18" s="159"/>
      <c r="X18" s="159"/>
      <c r="Y18" s="160"/>
      <c r="Z18" s="87"/>
    </row>
    <row r="19" spans="1:26" ht="14.4" x14ac:dyDescent="0.3">
      <c r="A19" s="18" t="s">
        <v>69</v>
      </c>
      <c r="B19" s="72">
        <f>+W15</f>
        <v>21204.846333024652</v>
      </c>
      <c r="C19" s="26" t="s">
        <v>6</v>
      </c>
      <c r="D19" s="8">
        <v>25</v>
      </c>
      <c r="E19" s="73">
        <f>+B19*D19</f>
        <v>530121.15832561627</v>
      </c>
      <c r="L19" s="59"/>
      <c r="U19" s="60"/>
      <c r="V19" s="61"/>
      <c r="W19" s="57"/>
    </row>
    <row r="20" spans="1:26" x14ac:dyDescent="0.25">
      <c r="A20" t="s">
        <v>7</v>
      </c>
      <c r="B20" s="13"/>
      <c r="C20" s="13"/>
      <c r="D20" s="2"/>
      <c r="E20" s="2">
        <f>SUM(E16:E19)</f>
        <v>138361622.32298583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6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6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6" x14ac:dyDescent="0.25">
      <c r="A23" s="27" t="s">
        <v>10</v>
      </c>
      <c r="B23" s="43">
        <f>+(W15/200+1)*(U15+20)*2*2/27</f>
        <v>1506.2669641758091</v>
      </c>
      <c r="C23" s="29" t="s">
        <v>17</v>
      </c>
      <c r="D23" s="30">
        <v>400</v>
      </c>
      <c r="E23" s="30">
        <f t="shared" ref="E23" si="0">+B23*D23</f>
        <v>602506.78567032365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6" x14ac:dyDescent="0.25">
      <c r="A24" t="s">
        <v>7</v>
      </c>
      <c r="B24" s="13"/>
      <c r="C24" s="13"/>
      <c r="D24" s="2"/>
      <c r="E24" s="2">
        <f>SUM(E23:E23)</f>
        <v>602506.78567032365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6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6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6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6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6" x14ac:dyDescent="0.25">
      <c r="A29" s="12" t="s">
        <v>74</v>
      </c>
      <c r="B29" s="24">
        <f>+ROUND(X15/540,0)</f>
        <v>2</v>
      </c>
      <c r="C29" s="25" t="s">
        <v>5</v>
      </c>
      <c r="D29" s="11">
        <f>+SUM(E27:E28)</f>
        <v>5022882.059609971</v>
      </c>
      <c r="E29" s="11">
        <f>+(B29-1)*D29</f>
        <v>5022882.059609971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6" x14ac:dyDescent="0.25">
      <c r="A30" s="71" t="s">
        <v>92</v>
      </c>
      <c r="B30" s="85">
        <f>B29</f>
        <v>2</v>
      </c>
      <c r="C30" s="26" t="s">
        <v>86</v>
      </c>
      <c r="D30" s="84">
        <v>500000</v>
      </c>
      <c r="E30" s="84">
        <f>B30*D30</f>
        <v>1000000</v>
      </c>
      <c r="M30" s="13"/>
      <c r="N30" s="13"/>
      <c r="O30" s="13"/>
      <c r="T30" s="13"/>
      <c r="U30" s="48"/>
    </row>
    <row r="31" spans="1:26" x14ac:dyDescent="0.25">
      <c r="A31" t="s">
        <v>7</v>
      </c>
      <c r="B31" s="13"/>
      <c r="C31" s="13"/>
      <c r="D31" s="2"/>
      <c r="E31" s="2">
        <f>SUM(E27:E30)</f>
        <v>11045764.119219942</v>
      </c>
      <c r="M31" s="49">
        <v>0.05</v>
      </c>
      <c r="N31" s="47">
        <f>+M31*SUM(E10:E42)/2</f>
        <v>9470494.5748071652</v>
      </c>
      <c r="O31" s="13">
        <v>50</v>
      </c>
      <c r="Q31" s="2"/>
      <c r="T31" s="13"/>
      <c r="U31" s="48"/>
    </row>
    <row r="32" spans="1:26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+X15</f>
        <v>1116.0445438434035</v>
      </c>
      <c r="C34" s="25" t="s">
        <v>6</v>
      </c>
      <c r="D34" s="11">
        <v>25</v>
      </c>
      <c r="E34" s="2">
        <f>+B34*D34</f>
        <v>27901.113596085088</v>
      </c>
      <c r="T34" s="13"/>
      <c r="U34" s="48"/>
    </row>
    <row r="35" spans="1:21" x14ac:dyDescent="0.25">
      <c r="A35" s="18" t="s">
        <v>77</v>
      </c>
      <c r="B35" s="72">
        <f>20*X15</f>
        <v>22320.89087686807</v>
      </c>
      <c r="C35" s="26" t="s">
        <v>64</v>
      </c>
      <c r="D35" s="8">
        <v>25</v>
      </c>
      <c r="E35" s="8">
        <f>+B35*D35</f>
        <v>558022.27192170173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585923.38551778684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156537100.41003579</v>
      </c>
      <c r="E38" s="77">
        <f>D38*B38/100</f>
        <v>15653710.041003579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15653710.041003579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172190810.45103937</v>
      </c>
      <c r="E41" s="77">
        <f>D41*B41/100</f>
        <v>17219081.045103937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17219081.045103937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189409891.49614328</v>
      </c>
      <c r="E45" s="38">
        <f>D45*B45/100</f>
        <v>18940989.14961433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189409891.49614328</v>
      </c>
      <c r="E46" s="11">
        <f>D46*B46/100</f>
        <v>28411483.72442149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1136459348.9768596</v>
      </c>
      <c r="E47" s="11">
        <f t="shared" ref="E47:E50" si="1">D47*B47/100</f>
        <v>125010528.38745455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189409891.49614328</v>
      </c>
      <c r="E48" s="11">
        <f t="shared" si="1"/>
        <v>9470494.5748071652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189409891.49614328</v>
      </c>
      <c r="E49" s="11">
        <f t="shared" si="1"/>
        <v>18940989.14961433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189409891.49614328</v>
      </c>
      <c r="E50" s="8">
        <f t="shared" si="1"/>
        <v>18940989.14961433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219715474.13552621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G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409125365.63166946</v>
      </c>
      <c r="E54" s="109">
        <f>D54*B54/100</f>
        <v>122737609.68950085</v>
      </c>
      <c r="F54" s="87"/>
      <c r="G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122737609.68950085</v>
      </c>
      <c r="F55" s="87"/>
      <c r="G55" s="87"/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G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G57" s="87"/>
      <c r="T57" s="13"/>
      <c r="U57" s="48"/>
    </row>
    <row r="58" spans="1:21" x14ac:dyDescent="0.25">
      <c r="A58" s="18" t="s">
        <v>92</v>
      </c>
      <c r="B58" s="126">
        <f>X15*74/43560</f>
        <v>1.8959434399543587</v>
      </c>
      <c r="C58" s="103" t="s">
        <v>86</v>
      </c>
      <c r="D58" s="117">
        <v>500000</v>
      </c>
      <c r="E58" s="117">
        <f>B58*D58</f>
        <v>947971.71997717931</v>
      </c>
      <c r="F58" s="101" t="s">
        <v>99</v>
      </c>
      <c r="G58" s="87"/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947971.71997717931</v>
      </c>
      <c r="F59" s="87"/>
      <c r="G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G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G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531862975.32117027</v>
      </c>
      <c r="F62" s="100"/>
      <c r="G62" s="87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G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947971.71997717931</v>
      </c>
      <c r="F64" s="87"/>
      <c r="G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G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22206099.514879748</v>
      </c>
      <c r="F66" s="101" t="s">
        <v>98</v>
      </c>
      <c r="G66" s="87"/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G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9470494.5748071652</v>
      </c>
      <c r="F68" s="87"/>
      <c r="G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G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+Y15</f>
        <v>739.92783094302342</v>
      </c>
      <c r="F70" s="87"/>
      <c r="G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G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42810.383344164416</v>
      </c>
      <c r="F72" s="87"/>
      <c r="G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G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G74" s="87"/>
      <c r="T74" s="13"/>
      <c r="U74" s="48"/>
    </row>
    <row r="75" spans="1:21" x14ac:dyDescent="0.25"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.8867187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162"/>
      <c r="W3" s="162"/>
      <c r="X3" s="162"/>
      <c r="Y3" s="162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55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+W16</f>
        <v>11056.46182782152</v>
      </c>
      <c r="C10" s="25" t="s">
        <v>6</v>
      </c>
      <c r="D10" s="99">
        <v>5</v>
      </c>
      <c r="E10" s="2">
        <f>+B10*D10</f>
        <v>55282.309139107601</v>
      </c>
      <c r="T10" s="67"/>
      <c r="U10" s="68"/>
      <c r="V10" s="159"/>
      <c r="W10" s="159"/>
      <c r="X10" s="159"/>
      <c r="Y10" s="160"/>
    </row>
    <row r="11" spans="1:25" x14ac:dyDescent="0.25">
      <c r="A11" s="9" t="s">
        <v>63</v>
      </c>
      <c r="B11" s="24">
        <f>W16*10</f>
        <v>110564.6182782152</v>
      </c>
      <c r="C11" s="25" t="s">
        <v>64</v>
      </c>
      <c r="D11" s="99">
        <v>9</v>
      </c>
      <c r="E11" s="2">
        <f>+B11*D11</f>
        <v>995081.5645039368</v>
      </c>
      <c r="F11" s="32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+W16*20*10/27</f>
        <v>81899.717243122373</v>
      </c>
      <c r="C12" s="26" t="s">
        <v>17</v>
      </c>
      <c r="D12" s="96">
        <v>25</v>
      </c>
      <c r="E12" s="8">
        <f>+B12*D12</f>
        <v>2047492.9310780594</v>
      </c>
      <c r="F12" s="32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3"/>
      <c r="D13" s="100"/>
      <c r="E13" s="2">
        <f>SUM(E10:E12)</f>
        <v>3097856.804721104</v>
      </c>
      <c r="T13" s="67"/>
      <c r="U13" s="68"/>
      <c r="V13" s="159"/>
      <c r="W13" s="159"/>
      <c r="X13" s="159"/>
      <c r="Y13" s="160"/>
    </row>
    <row r="14" spans="1:25" x14ac:dyDescent="0.25">
      <c r="B14" s="13"/>
      <c r="C14" s="13"/>
      <c r="D14" s="100"/>
      <c r="E14" s="2"/>
      <c r="T14" s="67"/>
      <c r="U14" s="68"/>
      <c r="V14" s="159"/>
      <c r="W14" s="159"/>
      <c r="X14" s="159"/>
      <c r="Y14" s="160"/>
    </row>
    <row r="15" spans="1:25" x14ac:dyDescent="0.25">
      <c r="A15" s="17" t="s">
        <v>66</v>
      </c>
      <c r="B15" s="7"/>
      <c r="C15" s="7"/>
      <c r="D15" s="96"/>
      <c r="E15" s="8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+W16*1*10</f>
        <v>110564.6182782152</v>
      </c>
      <c r="C16" s="25" t="s">
        <v>17</v>
      </c>
      <c r="D16" s="99">
        <v>400</v>
      </c>
      <c r="E16" s="2">
        <f>+B16*D16</f>
        <v>44225847.311286084</v>
      </c>
      <c r="F16" s="32"/>
      <c r="L16" s="58"/>
      <c r="T16" s="67" t="s">
        <v>55</v>
      </c>
      <c r="U16" s="68">
        <v>50</v>
      </c>
      <c r="V16" s="159">
        <v>11638.380871391075</v>
      </c>
      <c r="W16" s="159">
        <v>11056.46182782152</v>
      </c>
      <c r="X16" s="159">
        <v>581.91904356955456</v>
      </c>
      <c r="Y16" s="160">
        <v>290.76569993541875</v>
      </c>
    </row>
    <row r="17" spans="1:25" x14ac:dyDescent="0.25">
      <c r="A17" s="12" t="s">
        <v>68</v>
      </c>
      <c r="B17" s="24">
        <f>+W16*1*20</f>
        <v>221129.23655643041</v>
      </c>
      <c r="C17" s="25" t="s">
        <v>17</v>
      </c>
      <c r="D17" s="99">
        <v>25</v>
      </c>
      <c r="E17" s="2">
        <f>+B17*D17</f>
        <v>5528230.9139107605</v>
      </c>
      <c r="F17" s="32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24">
        <f>+W16*20</f>
        <v>221129.23655643041</v>
      </c>
      <c r="C18" s="25" t="s">
        <v>17</v>
      </c>
      <c r="D18" s="99">
        <v>100</v>
      </c>
      <c r="E18" s="2">
        <f>+B18*D18</f>
        <v>22112923.655643042</v>
      </c>
      <c r="F18" s="32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72">
        <f>+W16</f>
        <v>11056.46182782152</v>
      </c>
      <c r="C19" s="26" t="s">
        <v>6</v>
      </c>
      <c r="D19" s="8">
        <v>25</v>
      </c>
      <c r="E19" s="73">
        <f>+B19*D19</f>
        <v>276411.54569553799</v>
      </c>
      <c r="L19" s="59"/>
      <c r="U19" s="60"/>
      <c r="V19" s="61"/>
      <c r="W19" s="57"/>
    </row>
    <row r="20" spans="1:25" x14ac:dyDescent="0.25">
      <c r="A20" t="s">
        <v>7</v>
      </c>
      <c r="B20" s="13"/>
      <c r="C20" s="13"/>
      <c r="D20" s="2"/>
      <c r="E20" s="2">
        <f>SUM(E16:E19)</f>
        <v>72143413.426535428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+(W16/200+1)*(U16+20)*2*2/27</f>
        <v>583.668391072227</v>
      </c>
      <c r="C23" s="29" t="s">
        <v>17</v>
      </c>
      <c r="D23" s="30">
        <v>400</v>
      </c>
      <c r="E23" s="30">
        <f t="shared" ref="E23" si="0">+B23*D23</f>
        <v>233467.35642889081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3"/>
      <c r="D24" s="2"/>
      <c r="E24" s="2">
        <f>SUM(E23:E23)</f>
        <v>233467.35642889081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5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5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24">
        <f>+ROUND(X16/540,0)</f>
        <v>1</v>
      </c>
      <c r="C29" s="25" t="s">
        <v>5</v>
      </c>
      <c r="D29" s="11">
        <f>+SUM(E27:E28)</f>
        <v>5022882.059609971</v>
      </c>
      <c r="E29" s="11">
        <f>+(B29-1)*D29</f>
        <v>0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71" t="s">
        <v>92</v>
      </c>
      <c r="B30" s="85">
        <f>B29</f>
        <v>1</v>
      </c>
      <c r="C30" s="26" t="s">
        <v>86</v>
      </c>
      <c r="D30" s="84">
        <v>500000</v>
      </c>
      <c r="E30" s="84">
        <f>B30*D30</f>
        <v>500000</v>
      </c>
      <c r="M30" s="13"/>
      <c r="N30" s="13"/>
      <c r="O30" s="13"/>
      <c r="T30" s="13"/>
      <c r="U30" s="48"/>
    </row>
    <row r="31" spans="1:25" x14ac:dyDescent="0.25">
      <c r="A31" t="s">
        <v>7</v>
      </c>
      <c r="B31" s="13"/>
      <c r="C31" s="13"/>
      <c r="D31" s="2"/>
      <c r="E31" s="2">
        <f>SUM(E27:E30)</f>
        <v>5522882.059609971</v>
      </c>
      <c r="M31" s="49">
        <v>0.05</v>
      </c>
      <c r="N31" s="47">
        <f>+M31*SUM(E10:E42)/2</f>
        <v>4918839.1922827512</v>
      </c>
      <c r="O31" s="13">
        <v>50</v>
      </c>
      <c r="Q31" s="2"/>
      <c r="T31" s="13"/>
      <c r="U31" s="48"/>
    </row>
    <row r="32" spans="1:25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+X16</f>
        <v>581.91904356955456</v>
      </c>
      <c r="C34" s="25" t="s">
        <v>6</v>
      </c>
      <c r="D34" s="11">
        <v>25</v>
      </c>
      <c r="E34" s="2">
        <f>+B34*D34</f>
        <v>14547.976089238864</v>
      </c>
      <c r="T34" s="13"/>
      <c r="U34" s="48"/>
    </row>
    <row r="35" spans="1:21" x14ac:dyDescent="0.25">
      <c r="A35" s="18" t="s">
        <v>77</v>
      </c>
      <c r="B35" s="72">
        <f>20*X16</f>
        <v>11638.380871391091</v>
      </c>
      <c r="C35" s="26" t="s">
        <v>64</v>
      </c>
      <c r="D35" s="8">
        <v>25</v>
      </c>
      <c r="E35" s="8">
        <f>+B35*D35</f>
        <v>290959.52178477729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305507.49787401618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81303127.145169437</v>
      </c>
      <c r="E38" s="77">
        <f>D38*B38/100</f>
        <v>8130312.7145169433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8130312.7145169433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89433439.859686375</v>
      </c>
      <c r="E41" s="77">
        <f>D41*B41/100</f>
        <v>8943343.9859686382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8943343.9859686382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98376783.845655024</v>
      </c>
      <c r="E45" s="38">
        <f>D45*B45/100</f>
        <v>9837678.3845655024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98376783.845655024</v>
      </c>
      <c r="E46" s="11">
        <f>D46*B46/100</f>
        <v>14756517.576848254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590260703.07393014</v>
      </c>
      <c r="E47" s="11">
        <f t="shared" ref="E47:E50" si="1">D47*B47/100</f>
        <v>64928677.338132314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98376783.845655024</v>
      </c>
      <c r="E48" s="11">
        <f t="shared" si="1"/>
        <v>4918839.1922827512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98376783.845655024</v>
      </c>
      <c r="E49" s="11">
        <f t="shared" si="1"/>
        <v>9837678.3845655024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98376783.845655024</v>
      </c>
      <c r="E50" s="8">
        <f t="shared" si="1"/>
        <v>9837678.3845655024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114117069.26095982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212493853.1066148</v>
      </c>
      <c r="E54" s="30">
        <f>D54*B54/100</f>
        <v>63748155.931984447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63748155.931984447</v>
      </c>
      <c r="T55" s="13"/>
      <c r="U55" s="48"/>
    </row>
    <row r="56" spans="1:21" x14ac:dyDescent="0.25"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X16*74/43560</f>
        <v>0.98856770487022594</v>
      </c>
      <c r="C58" s="103" t="s">
        <v>86</v>
      </c>
      <c r="D58" s="117">
        <v>500000</v>
      </c>
      <c r="E58" s="117">
        <f>B58*D58</f>
        <v>494283.85243511299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494283.85243511299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276242009.03859925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494283.85243511299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11533609.985762248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4918839.1922827512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+Y16</f>
        <v>290.76569993541875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56583.184267261277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6.33203125" bestFit="1" customWidth="1"/>
    <col min="13" max="13" width="23" customWidth="1"/>
    <col min="14" max="14" width="15.33203125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3" width="17.6640625" customWidth="1"/>
    <col min="24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56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+W17</f>
        <v>60867.951046471295</v>
      </c>
      <c r="C10" s="25" t="s">
        <v>6</v>
      </c>
      <c r="D10" s="99">
        <v>5</v>
      </c>
      <c r="E10" s="2">
        <f>+B10*D10</f>
        <v>304339.75523235649</v>
      </c>
      <c r="T10" s="67"/>
      <c r="U10" s="68"/>
      <c r="V10" s="159"/>
      <c r="W10" s="159"/>
      <c r="X10" s="159"/>
      <c r="Y10" s="160"/>
    </row>
    <row r="11" spans="1:25" x14ac:dyDescent="0.25">
      <c r="A11" s="9" t="s">
        <v>63</v>
      </c>
      <c r="B11" s="24">
        <f>+W17*10</f>
        <v>608679.51046471298</v>
      </c>
      <c r="C11" s="25" t="s">
        <v>64</v>
      </c>
      <c r="D11" s="99">
        <v>9</v>
      </c>
      <c r="E11" s="2">
        <f>+B11*D11</f>
        <v>5478115.5941824168</v>
      </c>
      <c r="F11" s="32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+W17*20*10/27</f>
        <v>450873.71145534294</v>
      </c>
      <c r="C12" s="26" t="s">
        <v>17</v>
      </c>
      <c r="D12" s="96">
        <v>25</v>
      </c>
      <c r="E12" s="8">
        <f>+B12*D12</f>
        <v>11271842.786383573</v>
      </c>
      <c r="F12" s="32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3"/>
      <c r="D13" s="100"/>
      <c r="E13" s="2">
        <f>SUM(E10:E12)</f>
        <v>17054298.135798346</v>
      </c>
      <c r="T13" s="67"/>
      <c r="U13" s="68"/>
      <c r="V13" s="159"/>
      <c r="W13" s="159"/>
      <c r="X13" s="159"/>
      <c r="Y13" s="160"/>
    </row>
    <row r="14" spans="1:25" x14ac:dyDescent="0.25">
      <c r="B14" s="13"/>
      <c r="C14" s="13"/>
      <c r="D14" s="100"/>
      <c r="E14" s="2"/>
      <c r="T14" s="67"/>
      <c r="U14" s="68"/>
      <c r="V14" s="159"/>
      <c r="W14" s="159"/>
      <c r="X14" s="159"/>
      <c r="Y14" s="160"/>
    </row>
    <row r="15" spans="1:25" x14ac:dyDescent="0.25">
      <c r="A15" s="17" t="s">
        <v>66</v>
      </c>
      <c r="B15" s="7"/>
      <c r="C15" s="7"/>
      <c r="D15" s="96"/>
      <c r="E15" s="8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+W17*1*10</f>
        <v>608679.51046471298</v>
      </c>
      <c r="C16" s="25" t="s">
        <v>17</v>
      </c>
      <c r="D16" s="99">
        <v>400</v>
      </c>
      <c r="E16" s="2">
        <f>+B16*D16</f>
        <v>243471804.18588519</v>
      </c>
      <c r="F16" s="32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24">
        <f>+W17*1*20</f>
        <v>1217359.020929426</v>
      </c>
      <c r="C17" s="25" t="s">
        <v>17</v>
      </c>
      <c r="D17" s="99">
        <v>25</v>
      </c>
      <c r="E17" s="2">
        <f>+B17*D17</f>
        <v>30433975.523235649</v>
      </c>
      <c r="F17" s="32"/>
      <c r="L17" s="58"/>
      <c r="T17" s="67" t="s">
        <v>56</v>
      </c>
      <c r="U17" s="68">
        <v>70</v>
      </c>
      <c r="V17" s="159">
        <v>64071.527417338206</v>
      </c>
      <c r="W17" s="159">
        <v>60867.951046471295</v>
      </c>
      <c r="X17" s="159">
        <v>3203.576370866911</v>
      </c>
      <c r="Y17" s="160">
        <v>2388.9881163284699</v>
      </c>
    </row>
    <row r="18" spans="1:25" x14ac:dyDescent="0.25">
      <c r="A18" s="12" t="s">
        <v>67</v>
      </c>
      <c r="B18" s="24">
        <f>+W17*20</f>
        <v>1217359.020929426</v>
      </c>
      <c r="C18" s="25" t="s">
        <v>17</v>
      </c>
      <c r="D18" s="99">
        <v>100</v>
      </c>
      <c r="E18" s="2">
        <f>+B18*D18</f>
        <v>121735902.0929426</v>
      </c>
      <c r="F18" s="32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72">
        <f>+W17</f>
        <v>60867.951046471295</v>
      </c>
      <c r="C19" s="26" t="s">
        <v>6</v>
      </c>
      <c r="D19" s="8">
        <v>25</v>
      </c>
      <c r="E19" s="73">
        <f>+B19*D19</f>
        <v>1521698.7761617824</v>
      </c>
      <c r="L19" s="59"/>
      <c r="U19" s="60"/>
      <c r="V19" s="61"/>
      <c r="W19" s="57"/>
    </row>
    <row r="20" spans="1:25" x14ac:dyDescent="0.25">
      <c r="A20" t="s">
        <v>7</v>
      </c>
      <c r="B20" s="13"/>
      <c r="C20" s="13"/>
      <c r="D20" s="2"/>
      <c r="E20" s="2">
        <f>SUM(E16:E19)</f>
        <v>397163380.57822526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+(W17/200+1)*(U17+20)*2*2/27</f>
        <v>4071.1967364314196</v>
      </c>
      <c r="C23" s="29" t="s">
        <v>17</v>
      </c>
      <c r="D23" s="30">
        <v>400</v>
      </c>
      <c r="E23" s="30">
        <f t="shared" ref="E23" si="0">+B23*D23</f>
        <v>1628478.6945725679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3"/>
      <c r="D24" s="2"/>
      <c r="E24" s="2">
        <f>SUM(E23:E23)</f>
        <v>1628478.6945725679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5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5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24">
        <f>+ROUND(X17/540,0)</f>
        <v>6</v>
      </c>
      <c r="C29" s="25" t="s">
        <v>5</v>
      </c>
      <c r="D29" s="11">
        <f>+SUM(E27:E28)</f>
        <v>5022882.059609971</v>
      </c>
      <c r="E29" s="11">
        <f>+(B29-1)*D29</f>
        <v>25114410.298049856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71" t="s">
        <v>92</v>
      </c>
      <c r="B30" s="85">
        <f>B29</f>
        <v>6</v>
      </c>
      <c r="C30" s="26" t="s">
        <v>86</v>
      </c>
      <c r="D30" s="84">
        <v>500000</v>
      </c>
      <c r="E30" s="84">
        <f>B30*D30</f>
        <v>3000000</v>
      </c>
      <c r="M30" s="13"/>
      <c r="N30" s="13"/>
      <c r="O30" s="13"/>
      <c r="T30" s="13"/>
      <c r="U30" s="48"/>
    </row>
    <row r="31" spans="1:25" x14ac:dyDescent="0.25">
      <c r="A31" t="s">
        <v>7</v>
      </c>
      <c r="B31" s="13"/>
      <c r="C31" s="13"/>
      <c r="D31" s="2"/>
      <c r="E31" s="2">
        <f>SUM(E27:E30)</f>
        <v>33137292.357659828</v>
      </c>
      <c r="M31" s="49">
        <v>0.05</v>
      </c>
      <c r="N31" s="47">
        <f>+M31*SUM(E10:E42)/2</f>
        <v>27265252.305338152</v>
      </c>
      <c r="O31" s="13">
        <v>50</v>
      </c>
      <c r="Q31" s="2"/>
      <c r="T31" s="13"/>
      <c r="U31" s="48"/>
    </row>
    <row r="32" spans="1:25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+X17</f>
        <v>3203.576370866911</v>
      </c>
      <c r="C34" s="25" t="s">
        <v>6</v>
      </c>
      <c r="D34" s="11">
        <v>25</v>
      </c>
      <c r="E34" s="2">
        <f>+B34*D34</f>
        <v>80089.409271672776</v>
      </c>
      <c r="T34" s="13"/>
      <c r="U34" s="48"/>
    </row>
    <row r="35" spans="1:21" x14ac:dyDescent="0.25">
      <c r="A35" s="18" t="s">
        <v>77</v>
      </c>
      <c r="B35" s="72">
        <f>20*X17</f>
        <v>64071.52741733822</v>
      </c>
      <c r="C35" s="26" t="s">
        <v>64</v>
      </c>
      <c r="D35" s="8">
        <v>25</v>
      </c>
      <c r="E35" s="8">
        <f>+B35*D35</f>
        <v>1601788.1854334555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1681877.5947051283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450665327.36096114</v>
      </c>
      <c r="E38" s="77">
        <f>D38*B38/100</f>
        <v>45066532.736096114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45066532.736096114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495731860.09705728</v>
      </c>
      <c r="E41" s="77">
        <f>D41*B41/100</f>
        <v>49573186.009705722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49573186.009705722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545305046.10676301</v>
      </c>
      <c r="E45" s="38">
        <f>D45*B45/100</f>
        <v>54530504.610676296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545305046.10676301</v>
      </c>
      <c r="E46" s="11">
        <f>D46*B46/100</f>
        <v>81795756.916014448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3271830276.6405783</v>
      </c>
      <c r="E47" s="11">
        <f t="shared" ref="E47:E50" si="1">D47*B47/100</f>
        <v>359901330.43046361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545305046.10676301</v>
      </c>
      <c r="E48" s="11">
        <f t="shared" si="1"/>
        <v>27265252.305338148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545305046.10676301</v>
      </c>
      <c r="E49" s="11">
        <f t="shared" si="1"/>
        <v>54530504.610676296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545305046.10676301</v>
      </c>
      <c r="E50" s="8">
        <f t="shared" si="1"/>
        <v>54530504.610676296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632553853.48384511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1177858899.5906081</v>
      </c>
      <c r="E54" s="30">
        <f>D54*B54/100</f>
        <v>353357669.87718248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353357669.87718248</v>
      </c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X17*74/43560</f>
        <v>5.4422555427950279</v>
      </c>
      <c r="C58" s="103" t="s">
        <v>86</v>
      </c>
      <c r="D58" s="117">
        <v>500000</v>
      </c>
      <c r="E58" s="117">
        <f>B58*D58</f>
        <v>2721127.7713975138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2721127.7713975138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1531216569.4677906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2721127.7713975138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63930317.767829813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27265252.305338152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+Y17</f>
        <v>2388.9881163284699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38173.304190948591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Normal="100" zoomScaleSheetLayoutView="8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.8867187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3" width="22.5546875" customWidth="1"/>
    <col min="24" max="24" width="18.33203125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57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+W18</f>
        <v>23194.642594581375</v>
      </c>
      <c r="C10" s="98" t="s">
        <v>6</v>
      </c>
      <c r="D10" s="99">
        <v>5</v>
      </c>
      <c r="E10" s="100">
        <f>+B10*D10</f>
        <v>115973.21297290688</v>
      </c>
      <c r="F10" s="87"/>
      <c r="G10" s="87"/>
      <c r="T10" s="67"/>
      <c r="U10" s="68"/>
      <c r="V10" s="159"/>
      <c r="W10" s="159"/>
      <c r="X10" s="159"/>
      <c r="Y10" s="160"/>
    </row>
    <row r="11" spans="1:25" x14ac:dyDescent="0.25">
      <c r="A11" s="9" t="s">
        <v>63</v>
      </c>
      <c r="B11" s="24">
        <f>+W18*10</f>
        <v>231946.42594581377</v>
      </c>
      <c r="C11" s="98" t="s">
        <v>64</v>
      </c>
      <c r="D11" s="99">
        <v>9</v>
      </c>
      <c r="E11" s="100">
        <f>+B11*D11</f>
        <v>2087517.8335123239</v>
      </c>
      <c r="F11" s="101"/>
      <c r="G11" s="87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+W18*20*10/27</f>
        <v>171812.16736726946</v>
      </c>
      <c r="C12" s="103" t="s">
        <v>17</v>
      </c>
      <c r="D12" s="96">
        <v>25</v>
      </c>
      <c r="E12" s="96">
        <f>+B12*D12</f>
        <v>4295304.1841817368</v>
      </c>
      <c r="F12" s="101"/>
      <c r="G12" s="87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04"/>
      <c r="D13" s="100"/>
      <c r="E13" s="100">
        <f>SUM(E10:E12)</f>
        <v>6498795.2306669671</v>
      </c>
      <c r="F13" s="87"/>
      <c r="G13" s="87"/>
      <c r="T13" s="67"/>
      <c r="U13" s="68"/>
      <c r="V13" s="159"/>
      <c r="W13" s="159"/>
      <c r="X13" s="159"/>
      <c r="Y13" s="160"/>
    </row>
    <row r="14" spans="1:25" x14ac:dyDescent="0.25">
      <c r="B14" s="13"/>
      <c r="C14" s="104"/>
      <c r="D14" s="100"/>
      <c r="E14" s="100"/>
      <c r="F14" s="87"/>
      <c r="G14" s="87"/>
      <c r="T14" s="67"/>
      <c r="U14" s="68"/>
      <c r="V14" s="159"/>
      <c r="W14" s="159"/>
      <c r="X14" s="159"/>
      <c r="Y14" s="160"/>
    </row>
    <row r="15" spans="1:25" x14ac:dyDescent="0.25">
      <c r="A15" s="17" t="s">
        <v>66</v>
      </c>
      <c r="B15" s="7"/>
      <c r="C15" s="95"/>
      <c r="D15" s="96"/>
      <c r="E15" s="96"/>
      <c r="F15" s="87"/>
      <c r="G15" s="87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W18*1*10</f>
        <v>231946.42594581377</v>
      </c>
      <c r="C16" s="98" t="s">
        <v>17</v>
      </c>
      <c r="D16" s="99">
        <v>400</v>
      </c>
      <c r="E16" s="100">
        <f>+B16*D16</f>
        <v>92778570.378325507</v>
      </c>
      <c r="F16" s="101"/>
      <c r="G16" s="87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24">
        <f>+W18*1*20</f>
        <v>463892.85189162754</v>
      </c>
      <c r="C17" s="98" t="s">
        <v>17</v>
      </c>
      <c r="D17" s="99">
        <v>25</v>
      </c>
      <c r="E17" s="100">
        <f>+B17*D17</f>
        <v>11597321.297290688</v>
      </c>
      <c r="F17" s="101"/>
      <c r="G17" s="87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24">
        <f>+W18*20</f>
        <v>463892.85189162754</v>
      </c>
      <c r="C18" s="98" t="s">
        <v>17</v>
      </c>
      <c r="D18" s="99">
        <v>100</v>
      </c>
      <c r="E18" s="100">
        <f>+B18*D18</f>
        <v>46389285.189162754</v>
      </c>
      <c r="F18" s="101"/>
      <c r="G18" s="87"/>
      <c r="L18" s="58"/>
      <c r="T18" s="67" t="s">
        <v>57</v>
      </c>
      <c r="U18" s="68">
        <v>50</v>
      </c>
      <c r="V18" s="159">
        <v>24415.4132574541</v>
      </c>
      <c r="W18" s="159">
        <v>23194.642594581375</v>
      </c>
      <c r="X18" s="159">
        <v>1220.7706628727065</v>
      </c>
      <c r="Y18" s="160">
        <v>574.61637835017791</v>
      </c>
    </row>
    <row r="19" spans="1:25" ht="14.4" x14ac:dyDescent="0.3">
      <c r="A19" s="18" t="s">
        <v>69</v>
      </c>
      <c r="B19" s="72">
        <f>+W18</f>
        <v>23194.642594581375</v>
      </c>
      <c r="C19" s="103" t="s">
        <v>6</v>
      </c>
      <c r="D19" s="96">
        <v>25</v>
      </c>
      <c r="E19" s="150">
        <f>+B19*D19</f>
        <v>579866.06486453442</v>
      </c>
      <c r="F19" s="87"/>
      <c r="G19" s="87"/>
      <c r="L19" s="59"/>
      <c r="U19" s="60"/>
      <c r="V19" s="61"/>
      <c r="W19" s="57"/>
    </row>
    <row r="20" spans="1:25" x14ac:dyDescent="0.25">
      <c r="A20" t="s">
        <v>7</v>
      </c>
      <c r="B20" s="13"/>
      <c r="C20" s="104"/>
      <c r="D20" s="100"/>
      <c r="E20" s="100">
        <f>SUM(E16:E19)</f>
        <v>151345042.92964348</v>
      </c>
      <c r="F20" s="87"/>
      <c r="G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04"/>
      <c r="D21" s="100"/>
      <c r="E21" s="100"/>
      <c r="F21" s="87"/>
      <c r="G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05"/>
      <c r="D22" s="96"/>
      <c r="E22" s="96"/>
      <c r="F22" s="87"/>
      <c r="G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+(W18/200+1)*(U18+20)*2*2/27</f>
        <v>1213.0555419412565</v>
      </c>
      <c r="C23" s="108" t="s">
        <v>17</v>
      </c>
      <c r="D23" s="109">
        <v>400</v>
      </c>
      <c r="E23" s="109">
        <f t="shared" ref="E23" si="0">+B23*D23</f>
        <v>485222.21677650261</v>
      </c>
      <c r="F23" s="87"/>
      <c r="G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04"/>
      <c r="D24" s="100"/>
      <c r="E24" s="100">
        <f>SUM(E23:E23)</f>
        <v>485222.21677650261</v>
      </c>
      <c r="F24" s="87"/>
      <c r="G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10"/>
      <c r="D25" s="99"/>
      <c r="E25" s="100"/>
      <c r="F25" s="87"/>
      <c r="G25" s="87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G26" s="87"/>
      <c r="H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G27" s="87"/>
      <c r="H27" s="87"/>
      <c r="M27" s="13"/>
      <c r="N27" s="13"/>
      <c r="O27" s="13"/>
      <c r="P27" s="13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G28" s="87"/>
      <c r="H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97">
        <f>+ROUND(X18/540,0)</f>
        <v>2</v>
      </c>
      <c r="C29" s="98" t="s">
        <v>5</v>
      </c>
      <c r="D29" s="99">
        <f>+SUM(E27:E28)</f>
        <v>5022882.059609971</v>
      </c>
      <c r="E29" s="99">
        <f>+(B29-1)*D29</f>
        <v>5022882.059609971</v>
      </c>
      <c r="F29" s="87"/>
      <c r="G29" s="87"/>
      <c r="H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18" t="s">
        <v>92</v>
      </c>
      <c r="B30" s="126">
        <f>B29</f>
        <v>2</v>
      </c>
      <c r="C30" s="103" t="s">
        <v>86</v>
      </c>
      <c r="D30" s="117">
        <v>500000</v>
      </c>
      <c r="E30" s="117">
        <f>B30*D30</f>
        <v>1000000</v>
      </c>
      <c r="F30" s="87"/>
      <c r="G30" s="87"/>
      <c r="H30" s="87"/>
      <c r="M30" s="13"/>
      <c r="N30" s="13"/>
      <c r="O30" s="13"/>
      <c r="T30" s="13"/>
      <c r="U30" s="48"/>
    </row>
    <row r="31" spans="1:25" x14ac:dyDescent="0.25">
      <c r="A31" s="87" t="s">
        <v>7</v>
      </c>
      <c r="B31" s="104"/>
      <c r="C31" s="104"/>
      <c r="D31" s="100"/>
      <c r="E31" s="100">
        <f>SUM(E27:E30)</f>
        <v>11045764.119219942</v>
      </c>
      <c r="F31" s="87"/>
      <c r="G31" s="87"/>
      <c r="H31" s="87"/>
      <c r="M31" s="49">
        <v>0.05</v>
      </c>
      <c r="N31" s="47">
        <f>+M31*SUM(E10:E42)/2</f>
        <v>10285951.61020606</v>
      </c>
      <c r="O31" s="13">
        <v>50</v>
      </c>
      <c r="Q31" s="2"/>
      <c r="T31" s="13"/>
      <c r="U31" s="48"/>
    </row>
    <row r="32" spans="1:25" x14ac:dyDescent="0.25">
      <c r="A32" s="74"/>
      <c r="B32" s="110"/>
      <c r="C32" s="110"/>
      <c r="D32" s="99"/>
      <c r="E32" s="99"/>
      <c r="F32" s="87"/>
      <c r="G32" s="87"/>
      <c r="H32" s="87"/>
      <c r="T32" s="13"/>
      <c r="U32" s="48"/>
    </row>
    <row r="33" spans="1:21" x14ac:dyDescent="0.25">
      <c r="A33" s="31" t="s">
        <v>75</v>
      </c>
      <c r="B33" s="105"/>
      <c r="C33" s="105"/>
      <c r="D33" s="96"/>
      <c r="E33" s="96"/>
      <c r="F33" s="87"/>
      <c r="G33" s="87"/>
      <c r="H33" s="87"/>
      <c r="T33" s="13"/>
      <c r="U33" s="48"/>
    </row>
    <row r="34" spans="1:21" x14ac:dyDescent="0.25">
      <c r="A34" s="12" t="s">
        <v>76</v>
      </c>
      <c r="B34" s="97">
        <f>+X18</f>
        <v>1220.7706628727065</v>
      </c>
      <c r="C34" s="98" t="s">
        <v>6</v>
      </c>
      <c r="D34" s="99">
        <v>25</v>
      </c>
      <c r="E34" s="100">
        <f>+B34*D34</f>
        <v>30519.266571817661</v>
      </c>
      <c r="F34" s="87"/>
      <c r="G34" s="87"/>
      <c r="H34" s="87"/>
      <c r="T34" s="13"/>
      <c r="U34" s="48"/>
    </row>
    <row r="35" spans="1:21" x14ac:dyDescent="0.25">
      <c r="A35" s="18" t="s">
        <v>77</v>
      </c>
      <c r="B35" s="102">
        <f>20*X18</f>
        <v>24415.413257454129</v>
      </c>
      <c r="C35" s="103" t="s">
        <v>64</v>
      </c>
      <c r="D35" s="96">
        <v>25</v>
      </c>
      <c r="E35" s="96">
        <f>+B35*D35</f>
        <v>610385.33143635327</v>
      </c>
      <c r="F35" s="101"/>
      <c r="G35" s="87"/>
      <c r="H35" s="87"/>
      <c r="T35" s="13"/>
      <c r="U35" s="48"/>
    </row>
    <row r="36" spans="1:21" x14ac:dyDescent="0.25">
      <c r="A36" s="87" t="s">
        <v>7</v>
      </c>
      <c r="B36" s="104"/>
      <c r="C36" s="104"/>
      <c r="D36" s="100"/>
      <c r="E36" s="100">
        <f>+SUM(E34:E35)</f>
        <v>640904.59800817096</v>
      </c>
      <c r="F36" s="87"/>
      <c r="G36" s="87"/>
      <c r="H36" s="87"/>
      <c r="M36" s="41"/>
      <c r="N36" s="41"/>
      <c r="O36" s="41"/>
      <c r="P36" s="13"/>
      <c r="T36" s="13"/>
      <c r="U36" s="48"/>
    </row>
    <row r="37" spans="1:21" x14ac:dyDescent="0.25">
      <c r="A37" s="114"/>
      <c r="B37" s="114"/>
      <c r="C37" s="114"/>
      <c r="D37" s="114"/>
      <c r="E37" s="114"/>
      <c r="F37" s="87"/>
      <c r="G37" s="87"/>
      <c r="H37" s="87"/>
      <c r="M37" s="41"/>
      <c r="N37" s="41"/>
      <c r="O37" s="41"/>
      <c r="P37" s="13"/>
      <c r="T37" s="79"/>
      <c r="U37" s="80"/>
    </row>
    <row r="38" spans="1:21" x14ac:dyDescent="0.25">
      <c r="A38" s="31" t="s">
        <v>83</v>
      </c>
      <c r="B38" s="115">
        <v>10</v>
      </c>
      <c r="C38" s="115" t="s">
        <v>8</v>
      </c>
      <c r="D38" s="152">
        <f>SUM(E10:E36)/2</f>
        <v>170015729.09431502</v>
      </c>
      <c r="E38" s="153">
        <f>D38*B38/100</f>
        <v>17001572.909431502</v>
      </c>
      <c r="F38" s="87"/>
      <c r="G38" s="87"/>
      <c r="H38" s="87"/>
      <c r="M38" s="41"/>
      <c r="N38" s="41"/>
      <c r="O38" s="41"/>
      <c r="P38" s="13"/>
      <c r="T38" s="13"/>
      <c r="U38" s="48"/>
    </row>
    <row r="39" spans="1:21" x14ac:dyDescent="0.25">
      <c r="A39" s="87" t="s">
        <v>7</v>
      </c>
      <c r="B39" s="104"/>
      <c r="C39" s="104"/>
      <c r="D39" s="100"/>
      <c r="E39" s="100">
        <f>SUM(E38)</f>
        <v>17001572.909431502</v>
      </c>
      <c r="F39" s="87"/>
      <c r="G39" s="87"/>
      <c r="H39" s="87"/>
      <c r="M39" s="41"/>
      <c r="N39" s="41"/>
      <c r="O39" s="41"/>
      <c r="P39" s="13"/>
      <c r="T39" s="13"/>
      <c r="U39" s="48"/>
    </row>
    <row r="40" spans="1:21" x14ac:dyDescent="0.25">
      <c r="A40" s="114"/>
      <c r="B40" s="114"/>
      <c r="C40" s="114"/>
      <c r="D40" s="114"/>
      <c r="E40" s="114"/>
      <c r="F40" s="87"/>
      <c r="G40" s="87"/>
      <c r="H40" s="87"/>
      <c r="M40" s="41"/>
      <c r="N40" s="41"/>
      <c r="O40" s="41"/>
      <c r="P40" s="13"/>
      <c r="T40" s="13"/>
      <c r="U40" s="48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187017302.00374654</v>
      </c>
      <c r="E41" s="153">
        <f>D41*B41/100</f>
        <v>18701730.200374652</v>
      </c>
      <c r="F41" s="87"/>
      <c r="G41" s="87"/>
      <c r="H41" s="87"/>
      <c r="M41" s="41"/>
      <c r="N41" s="41"/>
      <c r="O41" s="41"/>
      <c r="P41" s="13"/>
      <c r="T41" s="13"/>
      <c r="U41" s="48"/>
    </row>
    <row r="42" spans="1:21" x14ac:dyDescent="0.25">
      <c r="A42" s="87" t="s">
        <v>7</v>
      </c>
      <c r="B42" s="104"/>
      <c r="C42" s="104"/>
      <c r="D42" s="100"/>
      <c r="E42" s="100">
        <f>SUM(E41)</f>
        <v>18701730.200374652</v>
      </c>
      <c r="F42" s="87"/>
      <c r="G42" s="87"/>
      <c r="H42" s="87"/>
      <c r="M42" s="41"/>
      <c r="N42" s="41"/>
      <c r="O42" s="41"/>
      <c r="P42" s="13"/>
      <c r="T42" s="13"/>
      <c r="U42" s="48"/>
    </row>
    <row r="43" spans="1:21" s="78" customFormat="1" x14ac:dyDescent="0.25">
      <c r="A43" s="87"/>
      <c r="B43" s="104"/>
      <c r="C43" s="104"/>
      <c r="D43" s="100"/>
      <c r="E43" s="100"/>
      <c r="F43" s="114"/>
      <c r="G43" s="114"/>
      <c r="H43" s="114"/>
      <c r="M43" s="79"/>
      <c r="N43" s="79"/>
      <c r="O43" s="79"/>
      <c r="P43" s="79"/>
      <c r="T43" s="13"/>
      <c r="U43" s="48"/>
    </row>
    <row r="44" spans="1:21" x14ac:dyDescent="0.25">
      <c r="A44" s="31" t="s">
        <v>12</v>
      </c>
      <c r="B44" s="105"/>
      <c r="C44" s="105"/>
      <c r="D44" s="99"/>
      <c r="E44" s="99"/>
      <c r="F44" s="87"/>
      <c r="G44" s="87"/>
      <c r="H44" s="87"/>
      <c r="M44" s="13"/>
      <c r="N44" s="42"/>
      <c r="O44" s="24"/>
      <c r="P44" s="13"/>
      <c r="T44" s="13"/>
      <c r="U44" s="48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SUM(E10:E42)/2</f>
        <v>205719032.2041212</v>
      </c>
      <c r="E45" s="113">
        <f>D45*B45/100</f>
        <v>20571903.22041212</v>
      </c>
      <c r="F45" s="87"/>
      <c r="G45" s="87"/>
      <c r="H45" s="87"/>
      <c r="M45" s="13"/>
      <c r="N45" s="13"/>
      <c r="O45" s="13"/>
      <c r="P45" s="13"/>
      <c r="T45" s="13"/>
      <c r="U45" s="48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205719032.2041212</v>
      </c>
      <c r="E46" s="99">
        <f>D46*B46/100</f>
        <v>30857854.83061818</v>
      </c>
      <c r="F46" s="87"/>
      <c r="G46" s="87"/>
      <c r="H46" s="87"/>
      <c r="T46" s="13"/>
      <c r="U46" s="48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1234314193.2247272</v>
      </c>
      <c r="E47" s="99">
        <f t="shared" ref="E47:E50" si="1">D47*B47/100</f>
        <v>135774561.25471997</v>
      </c>
      <c r="F47" s="87"/>
      <c r="G47" s="87"/>
      <c r="H47" s="87"/>
      <c r="T47" s="13"/>
      <c r="U47" s="48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205719032.2041212</v>
      </c>
      <c r="E48" s="99">
        <f t="shared" si="1"/>
        <v>10285951.61020606</v>
      </c>
      <c r="F48" s="87"/>
      <c r="G48" s="87"/>
      <c r="H48" s="87"/>
      <c r="T48" s="13"/>
      <c r="U48" s="48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205719032.2041212</v>
      </c>
      <c r="E49" s="99">
        <f t="shared" si="1"/>
        <v>20571903.22041212</v>
      </c>
      <c r="F49" s="87"/>
      <c r="G49" s="87"/>
      <c r="H49" s="87"/>
      <c r="T49" s="13"/>
      <c r="U49" s="48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205719032.2041212</v>
      </c>
      <c r="E50" s="96">
        <f t="shared" si="1"/>
        <v>20571903.22041212</v>
      </c>
      <c r="F50" s="87"/>
      <c r="G50" s="87"/>
      <c r="H50" s="87"/>
      <c r="T50" s="13"/>
      <c r="U50" s="48"/>
    </row>
    <row r="51" spans="1:21" x14ac:dyDescent="0.25">
      <c r="A51" s="87" t="s">
        <v>7</v>
      </c>
      <c r="B51" s="104"/>
      <c r="C51" s="104"/>
      <c r="D51" s="100"/>
      <c r="E51" s="100">
        <f>SUM(E45:E50)</f>
        <v>238634077.35678059</v>
      </c>
      <c r="F51" s="87"/>
      <c r="G51" s="87"/>
      <c r="H51" s="87"/>
      <c r="T51" s="13"/>
      <c r="U51" s="48"/>
    </row>
    <row r="52" spans="1:21" x14ac:dyDescent="0.25">
      <c r="A52" s="74"/>
      <c r="B52" s="110"/>
      <c r="C52" s="110"/>
      <c r="D52" s="99"/>
      <c r="E52" s="121"/>
      <c r="F52" s="87"/>
      <c r="G52" s="87"/>
      <c r="H52" s="87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G53" s="87"/>
      <c r="H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444353109.56090176</v>
      </c>
      <c r="E54" s="109">
        <f>D54*B54/100</f>
        <v>133305932.86827053</v>
      </c>
      <c r="F54" s="87"/>
      <c r="G54" s="87"/>
      <c r="H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133305932.86827053</v>
      </c>
      <c r="F55" s="87"/>
      <c r="G55" s="87"/>
      <c r="H55" s="87"/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G56" s="87"/>
      <c r="H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G57" s="87"/>
      <c r="H57" s="87"/>
      <c r="T57" s="13"/>
      <c r="U57" s="48"/>
    </row>
    <row r="58" spans="1:21" x14ac:dyDescent="0.25">
      <c r="A58" s="18" t="s">
        <v>92</v>
      </c>
      <c r="B58" s="126">
        <f>X18*74/43560</f>
        <v>2.0738528248985371</v>
      </c>
      <c r="C58" s="103" t="s">
        <v>86</v>
      </c>
      <c r="D58" s="117">
        <v>500000</v>
      </c>
      <c r="E58" s="117">
        <f>B58*D58</f>
        <v>1036926.4124492685</v>
      </c>
      <c r="F58" s="101" t="s">
        <v>99</v>
      </c>
      <c r="G58" s="87"/>
      <c r="H58" s="87"/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1036926.4124492685</v>
      </c>
      <c r="F59" s="87"/>
      <c r="G59" s="87"/>
      <c r="H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G60" s="87"/>
      <c r="H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G61" s="87"/>
      <c r="H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577659042.42917228</v>
      </c>
      <c r="F62" s="100"/>
      <c r="G62" s="87"/>
      <c r="H62" s="87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G63" s="87"/>
      <c r="H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1036926.4124492685</v>
      </c>
      <c r="F64" s="87"/>
      <c r="G64" s="87"/>
      <c r="H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G65" s="87"/>
      <c r="H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24118461.424863301</v>
      </c>
      <c r="F66" s="101" t="s">
        <v>98</v>
      </c>
      <c r="G66" s="87"/>
      <c r="H66" s="87"/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G67" s="87"/>
      <c r="H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10285951.61020606</v>
      </c>
      <c r="F68" s="87"/>
      <c r="G68" s="87"/>
      <c r="H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G69" s="87"/>
      <c r="H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+Y18</f>
        <v>574.61637835017791</v>
      </c>
      <c r="F70" s="87"/>
      <c r="G70" s="87"/>
      <c r="H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G71" s="87"/>
      <c r="H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59873.707627078657</v>
      </c>
      <c r="F72" s="87"/>
      <c r="G72" s="87"/>
      <c r="H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G73" s="87"/>
      <c r="H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G74" s="87"/>
      <c r="H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G75" s="87"/>
      <c r="H75" s="87"/>
      <c r="T75" s="13"/>
      <c r="U75" s="48"/>
    </row>
    <row r="76" spans="1:21" x14ac:dyDescent="0.25">
      <c r="A76" s="87"/>
      <c r="B76" s="87"/>
      <c r="C76" s="87"/>
      <c r="D76" s="87"/>
      <c r="E76" s="87"/>
      <c r="F76" s="87"/>
      <c r="G76" s="87"/>
      <c r="H76" s="87"/>
      <c r="T76" s="13"/>
      <c r="U76" s="48"/>
    </row>
    <row r="77" spans="1:21" x14ac:dyDescent="0.25">
      <c r="A77" s="87"/>
      <c r="B77" s="87"/>
      <c r="C77" s="87"/>
      <c r="D77" s="87"/>
      <c r="E77" s="87"/>
      <c r="F77" s="87"/>
      <c r="G77" s="87"/>
      <c r="H77" s="87"/>
      <c r="T77" s="13"/>
      <c r="U77" s="48"/>
    </row>
    <row r="78" spans="1:21" x14ac:dyDescent="0.25">
      <c r="A78" s="87"/>
      <c r="B78" s="87"/>
      <c r="C78" s="87"/>
      <c r="D78" s="87"/>
      <c r="E78" s="87"/>
      <c r="F78" s="87"/>
      <c r="G78" s="87"/>
      <c r="H78" s="87"/>
    </row>
    <row r="79" spans="1:21" x14ac:dyDescent="0.25">
      <c r="A79" s="87"/>
      <c r="B79" s="87"/>
      <c r="C79" s="87"/>
      <c r="D79" s="87"/>
      <c r="E79" s="87"/>
      <c r="F79" s="87"/>
      <c r="G79" s="87"/>
      <c r="H79" s="87"/>
    </row>
    <row r="80" spans="1:21" x14ac:dyDescent="0.25">
      <c r="A80" s="87"/>
      <c r="B80" s="87"/>
      <c r="C80" s="87"/>
      <c r="D80" s="87"/>
      <c r="E80" s="87"/>
      <c r="F80" s="87"/>
      <c r="G80" s="87"/>
      <c r="H80" s="87"/>
    </row>
    <row r="81" spans="1:8" x14ac:dyDescent="0.25">
      <c r="A81" s="87"/>
      <c r="B81" s="87"/>
      <c r="C81" s="87"/>
      <c r="D81" s="87"/>
      <c r="E81" s="87"/>
      <c r="F81" s="87"/>
      <c r="G81" s="87"/>
      <c r="H81" s="87"/>
    </row>
    <row r="82" spans="1:8" x14ac:dyDescent="0.25">
      <c r="A82" s="87"/>
      <c r="B82" s="87"/>
      <c r="C82" s="87"/>
      <c r="D82" s="87"/>
      <c r="E82" s="87"/>
      <c r="F82" s="87"/>
      <c r="G82" s="87"/>
      <c r="H82" s="87"/>
    </row>
    <row r="83" spans="1:8" x14ac:dyDescent="0.25">
      <c r="A83" s="87"/>
      <c r="B83" s="87"/>
      <c r="C83" s="87"/>
      <c r="D83" s="87"/>
      <c r="E83" s="87"/>
      <c r="F83" s="87"/>
      <c r="G83" s="87"/>
      <c r="H83" s="87"/>
    </row>
    <row r="84" spans="1:8" x14ac:dyDescent="0.25">
      <c r="A84" s="87"/>
      <c r="B84" s="87"/>
      <c r="C84" s="87"/>
      <c r="D84" s="87"/>
      <c r="E84" s="87"/>
      <c r="F84" s="87"/>
      <c r="G84" s="87"/>
      <c r="H84" s="87"/>
    </row>
    <row r="85" spans="1:8" x14ac:dyDescent="0.25">
      <c r="A85" s="87"/>
      <c r="B85" s="87"/>
      <c r="C85" s="87"/>
      <c r="D85" s="87"/>
      <c r="E85" s="87"/>
      <c r="F85" s="87"/>
      <c r="G85" s="87"/>
      <c r="H85" s="87"/>
    </row>
    <row r="86" spans="1:8" x14ac:dyDescent="0.25">
      <c r="A86" s="87"/>
      <c r="B86" s="87"/>
      <c r="C86" s="87"/>
      <c r="D86" s="87"/>
      <c r="E86" s="87"/>
      <c r="F86" s="87"/>
      <c r="G86" s="87"/>
      <c r="H86" s="87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view="pageBreakPreview" zoomScale="80" zoomScaleNormal="70" zoomScaleSheetLayoutView="80" zoomScalePageLayoutView="50" workbookViewId="0">
      <selection activeCell="A3" sqref="A3"/>
    </sheetView>
  </sheetViews>
  <sheetFormatPr defaultRowHeight="13.2" x14ac:dyDescent="0.25"/>
  <cols>
    <col min="1" max="1" width="13" customWidth="1"/>
    <col min="3" max="3" width="55.33203125" customWidth="1"/>
    <col min="4" max="4" width="18.88671875" customWidth="1"/>
    <col min="5" max="5" width="24.33203125" customWidth="1"/>
    <col min="6" max="6" width="15.33203125" customWidth="1"/>
    <col min="7" max="7" width="24.33203125" customWidth="1"/>
    <col min="8" max="12" width="20.6640625" customWidth="1"/>
    <col min="13" max="21" width="15.6640625" customWidth="1"/>
  </cols>
  <sheetData>
    <row r="1" spans="1:21" x14ac:dyDescent="0.25">
      <c r="A1" s="1" t="s">
        <v>11</v>
      </c>
      <c r="D1" s="15"/>
      <c r="E1" s="15"/>
      <c r="F1" s="15"/>
      <c r="G1" s="15"/>
    </row>
    <row r="2" spans="1:21" x14ac:dyDescent="0.25">
      <c r="A2" s="1" t="s">
        <v>87</v>
      </c>
      <c r="D2" s="22"/>
      <c r="E2" s="22"/>
      <c r="F2" s="22"/>
      <c r="G2" s="22"/>
    </row>
    <row r="3" spans="1:21" x14ac:dyDescent="0.25">
      <c r="A3" s="16">
        <v>42275</v>
      </c>
      <c r="D3" s="22"/>
      <c r="E3" s="22"/>
      <c r="F3" s="22"/>
      <c r="G3" s="22"/>
    </row>
    <row r="4" spans="1:21" s="53" customFormat="1" ht="26.4" x14ac:dyDescent="0.25">
      <c r="D4" s="56" t="str">
        <f>'5 Aliso'!$A$5</f>
        <v>Aliso Creek</v>
      </c>
      <c r="E4" s="56" t="str">
        <f>'5 Arroyo'!$A$5</f>
        <v>Arroyo Seco Channel</v>
      </c>
      <c r="F4" s="56" t="str">
        <f>'5 Bell'!$A$5</f>
        <v>Bell Creek</v>
      </c>
      <c r="G4" s="56" t="str">
        <f>'5 Browns'!$A$5</f>
        <v>Browns Creek</v>
      </c>
      <c r="H4" s="56" t="str">
        <f>'5 Bull'!$A$5</f>
        <v>Bull Creek</v>
      </c>
      <c r="I4" s="56" t="str">
        <f>'5 Burbank'!$A$5</f>
        <v>Burbank Western System</v>
      </c>
      <c r="J4" s="56" t="str">
        <f>'5 Tejunga'!$A$5</f>
        <v>Tejunga Wash</v>
      </c>
      <c r="K4" s="56" t="str">
        <f>'5 Verdugo'!$A$5</f>
        <v>Verdugo Wash</v>
      </c>
      <c r="S4" s="56"/>
      <c r="T4" s="56"/>
      <c r="U4" s="56"/>
    </row>
    <row r="5" spans="1:21" x14ac:dyDescent="0.25">
      <c r="C5" s="54"/>
      <c r="D5" s="13"/>
      <c r="E5" s="13"/>
      <c r="F5" s="13"/>
      <c r="G5" s="13"/>
      <c r="H5" s="13"/>
      <c r="I5" s="13"/>
      <c r="J5" s="13"/>
      <c r="K5" s="13"/>
      <c r="S5" s="13"/>
      <c r="T5" s="13"/>
      <c r="U5" s="13"/>
    </row>
    <row r="6" spans="1:21" x14ac:dyDescent="0.25">
      <c r="C6" s="55" t="s">
        <v>32</v>
      </c>
      <c r="D6" s="52">
        <f>'5 Aliso'!E69</f>
        <v>400.80977364210031</v>
      </c>
      <c r="E6" s="52">
        <f>'5 Arroyo'!$E$69</f>
        <v>931.64583365116562</v>
      </c>
      <c r="F6" s="52">
        <f>'5 Bell'!$E$70</f>
        <v>117.86527561282018</v>
      </c>
      <c r="G6" s="52">
        <f>'5 Browns'!$E$70</f>
        <v>601.19870127561762</v>
      </c>
      <c r="H6" s="52">
        <f>'5 Bull'!$E$70</f>
        <v>256.77792826247475</v>
      </c>
      <c r="I6" s="52">
        <f>'5 Burbank'!$E$70</f>
        <v>81.138461901364877</v>
      </c>
      <c r="J6" s="52">
        <f>'5 Tejunga'!$E$70</f>
        <v>1076.1966737899388</v>
      </c>
      <c r="K6" s="52">
        <f>'5 Verdugo'!$E$70</f>
        <v>947.21366857244493</v>
      </c>
      <c r="S6" s="52"/>
      <c r="T6" s="52"/>
      <c r="U6" s="52"/>
    </row>
    <row r="7" spans="1:21" x14ac:dyDescent="0.25">
      <c r="C7" s="54"/>
      <c r="D7" s="13"/>
      <c r="E7" s="13"/>
      <c r="F7" s="13"/>
      <c r="G7" s="13"/>
      <c r="H7" s="13"/>
      <c r="I7" s="13"/>
      <c r="J7" s="13"/>
      <c r="K7" s="13"/>
      <c r="S7" s="13"/>
      <c r="T7" s="13"/>
      <c r="U7" s="13"/>
    </row>
    <row r="8" spans="1:21" x14ac:dyDescent="0.25">
      <c r="C8" s="55" t="s">
        <v>33</v>
      </c>
      <c r="D8" s="48">
        <f>'5 Aliso'!$E$61</f>
        <v>414158062.74787164</v>
      </c>
      <c r="E8" s="48">
        <f>'5 Arroyo'!$E$61</f>
        <v>670874911.06017447</v>
      </c>
      <c r="F8" s="48">
        <f>'5 Bell'!$E$62</f>
        <v>106467914.13336369</v>
      </c>
      <c r="G8" s="48">
        <f>'5 Browns'!$E$62</f>
        <v>719921391.23757803</v>
      </c>
      <c r="H8" s="48">
        <f>'5 Bull'!$E$62</f>
        <v>188206635.490848</v>
      </c>
      <c r="I8" s="48">
        <f>'5 Burbank'!$E$62</f>
        <v>72655636.665428922</v>
      </c>
      <c r="J8" s="48">
        <f>'5 Tejunga'!$E$62</f>
        <v>812165272.69758117</v>
      </c>
      <c r="K8" s="48">
        <f>'5 Verdugo'!$E$62</f>
        <v>539566061.91872239</v>
      </c>
      <c r="S8" s="48"/>
      <c r="T8" s="48"/>
      <c r="U8" s="48"/>
    </row>
    <row r="9" spans="1:21" x14ac:dyDescent="0.25">
      <c r="C9" s="54"/>
      <c r="D9" s="13"/>
      <c r="E9" s="13"/>
      <c r="F9" s="13"/>
      <c r="G9" s="13"/>
      <c r="H9" s="13"/>
      <c r="I9" s="13"/>
      <c r="J9" s="13"/>
      <c r="K9" s="13"/>
      <c r="S9" s="13"/>
      <c r="T9" s="13"/>
      <c r="U9" s="13"/>
    </row>
    <row r="10" spans="1:21" x14ac:dyDescent="0.25">
      <c r="C10" s="55" t="s">
        <v>100</v>
      </c>
      <c r="D10" s="91">
        <f>'5 Aliso'!E63</f>
        <v>5248484.9387324573</v>
      </c>
      <c r="E10" s="91">
        <f>'5 Arroyo'!E63</f>
        <v>1285911.1231483398</v>
      </c>
      <c r="F10" s="91">
        <f>'5 Bell'!E64</f>
        <v>0</v>
      </c>
      <c r="G10" s="91">
        <f>'5 Browns'!E64</f>
        <v>1275484.2830578189</v>
      </c>
      <c r="H10" s="91">
        <f>'5 Bull'!E64</f>
        <v>68242.578450214787</v>
      </c>
      <c r="I10" s="91">
        <f>'5 Burbank'!E64</f>
        <v>0</v>
      </c>
      <c r="J10" s="91">
        <f>'5 Tejunga'!E64</f>
        <v>0</v>
      </c>
      <c r="K10" s="91">
        <f>'5 Verdugo'!E64</f>
        <v>962534.56452637934</v>
      </c>
      <c r="S10" s="48"/>
      <c r="T10" s="48"/>
      <c r="U10" s="48"/>
    </row>
    <row r="11" spans="1:21" x14ac:dyDescent="0.25">
      <c r="S11" s="13"/>
      <c r="T11" s="13"/>
      <c r="U11" s="13"/>
    </row>
    <row r="12" spans="1:21" x14ac:dyDescent="0.25">
      <c r="C12" s="55" t="s">
        <v>34</v>
      </c>
      <c r="D12" s="48">
        <f>'5 Aliso'!E67</f>
        <v>7374609.3794136709</v>
      </c>
      <c r="E12" s="48">
        <f>'5 Arroyo'!$E$67</f>
        <v>11890728.661116175</v>
      </c>
      <c r="F12" s="48">
        <f>'5 Bell'!$E$68</f>
        <v>1895796.1918333992</v>
      </c>
      <c r="G12" s="48">
        <f>'5 Browns'!$E$68</f>
        <v>12819113.091837216</v>
      </c>
      <c r="H12" s="48">
        <f>'5 Bull'!$E$68</f>
        <v>3351257.7544666673</v>
      </c>
      <c r="I12" s="48">
        <f>'5 Burbank'!$E$68</f>
        <v>1293725.7240995178</v>
      </c>
      <c r="J12" s="48">
        <f>'5 Tejunga'!$E$68</f>
        <v>14461632.348603655</v>
      </c>
      <c r="K12" s="48">
        <f>'5 Verdugo'!$E$68</f>
        <v>9607657.7976980489</v>
      </c>
      <c r="S12" s="81"/>
      <c r="T12" s="81"/>
      <c r="U12" s="81"/>
    </row>
    <row r="13" spans="1:21" x14ac:dyDescent="0.25">
      <c r="C13" s="54"/>
      <c r="D13" s="13"/>
      <c r="E13" s="13"/>
      <c r="F13" s="13"/>
      <c r="G13" s="13"/>
      <c r="H13" s="13"/>
      <c r="I13" s="13"/>
      <c r="J13" s="13"/>
      <c r="K13" s="13"/>
      <c r="S13" s="13"/>
      <c r="T13" s="13"/>
      <c r="U13" s="13"/>
    </row>
    <row r="14" spans="1:21" x14ac:dyDescent="0.25">
      <c r="C14" s="55" t="s">
        <v>38</v>
      </c>
      <c r="D14" s="81">
        <f>'5 Aliso'!$B$34/66/660</f>
        <v>2.8370188858013283</v>
      </c>
      <c r="E14" s="81">
        <f>'5 Arroyo'!$B$34/66/660</f>
        <v>0.69508709359369725</v>
      </c>
      <c r="F14" s="81">
        <f>'5 Bell'!$B$35/66/660</f>
        <v>0</v>
      </c>
      <c r="G14" s="81">
        <f>'5 Browns'!$B$35/66/660</f>
        <v>0.68945096381503723</v>
      </c>
      <c r="H14" s="81">
        <f>'5 Bull'!$B$35/66/660</f>
        <v>3.6887880243359344E-2</v>
      </c>
      <c r="I14" s="81">
        <f>'5 Burbank'!$B$35/66/660</f>
        <v>0</v>
      </c>
      <c r="J14" s="81">
        <f>'5 Tejunga'!$B$35/66/660</f>
        <v>0</v>
      </c>
      <c r="K14" s="81">
        <f>'5 Verdugo'!$B$35/66/660</f>
        <v>0.52028895379804285</v>
      </c>
      <c r="S14" s="52"/>
      <c r="T14" s="52"/>
      <c r="U14" s="52"/>
    </row>
    <row r="15" spans="1:21" x14ac:dyDescent="0.25">
      <c r="C15" s="54"/>
      <c r="D15" s="13"/>
      <c r="E15" s="13"/>
      <c r="F15" s="13"/>
      <c r="G15" s="13"/>
      <c r="H15" s="13"/>
      <c r="I15" s="13"/>
      <c r="J15" s="13"/>
      <c r="K15" s="13"/>
      <c r="S15" s="52"/>
      <c r="T15" s="52"/>
      <c r="U15" s="52"/>
    </row>
    <row r="16" spans="1:21" x14ac:dyDescent="0.25">
      <c r="C16" s="55" t="s">
        <v>37</v>
      </c>
      <c r="D16" s="52">
        <f>'5 Aliso'!$B$33</f>
        <v>6179.0271332752927</v>
      </c>
      <c r="E16" s="52">
        <f>'5 Arroyo'!$B$33</f>
        <v>1513.8996898470725</v>
      </c>
      <c r="F16" s="52">
        <f>'5 Bell'!$B$34</f>
        <v>0</v>
      </c>
      <c r="G16" s="52">
        <f>'5 Browns'!$B$34</f>
        <v>1501.6241991891511</v>
      </c>
      <c r="H16" s="52">
        <f>'5 Bull'!$B$34</f>
        <v>80.341803170036656</v>
      </c>
      <c r="I16" s="52">
        <f>'5 Burbank'!$B$34</f>
        <v>0</v>
      </c>
      <c r="J16" s="52">
        <f>'5 Tejunga'!$B$34</f>
        <v>0</v>
      </c>
      <c r="K16" s="52">
        <f>'5 Verdugo'!$B$34</f>
        <v>1133.1893413721373</v>
      </c>
      <c r="S16" s="52"/>
      <c r="T16" s="52"/>
      <c r="U16" s="52"/>
    </row>
    <row r="17" spans="3:21" x14ac:dyDescent="0.25">
      <c r="C17" s="54"/>
      <c r="D17" s="52"/>
      <c r="E17" s="52"/>
      <c r="F17" s="52"/>
      <c r="G17" s="52"/>
      <c r="H17" s="52"/>
      <c r="I17" s="52"/>
      <c r="J17" s="52"/>
      <c r="K17" s="52"/>
      <c r="S17" s="13"/>
      <c r="T17" s="13"/>
      <c r="U17" s="13"/>
    </row>
    <row r="18" spans="3:21" x14ac:dyDescent="0.25">
      <c r="C18" s="55" t="s">
        <v>36</v>
      </c>
      <c r="D18" s="52">
        <f>'5 Aliso'!$N$26</f>
        <v>0</v>
      </c>
      <c r="E18" s="52">
        <f>'5 Arroyo'!$N$26</f>
        <v>0</v>
      </c>
      <c r="F18" s="52">
        <f>'5 Bell'!$N$26</f>
        <v>0</v>
      </c>
      <c r="G18" s="52">
        <f>'5 Browns'!$N$26</f>
        <v>0</v>
      </c>
      <c r="H18" s="52">
        <f>'5 Bull'!$N$26</f>
        <v>0</v>
      </c>
      <c r="I18" s="52">
        <f>'5 Burbank'!$N$26</f>
        <v>0</v>
      </c>
      <c r="J18" s="52">
        <f>'5 Tejunga'!$N$26</f>
        <v>0</v>
      </c>
      <c r="K18" s="52">
        <f>'5 Verdugo'!$N$26</f>
        <v>0</v>
      </c>
      <c r="S18" s="48"/>
      <c r="T18" s="48"/>
      <c r="U18" s="48"/>
    </row>
    <row r="19" spans="3:21" x14ac:dyDescent="0.25">
      <c r="C19" s="1"/>
      <c r="D19" s="13"/>
      <c r="E19" s="13"/>
      <c r="F19" s="13"/>
      <c r="G19" s="13"/>
      <c r="H19" s="13"/>
      <c r="I19" s="13"/>
      <c r="J19" s="13"/>
      <c r="K19" s="13"/>
    </row>
    <row r="20" spans="3:21" x14ac:dyDescent="0.25">
      <c r="C20" s="1" t="s">
        <v>35</v>
      </c>
      <c r="D20" s="48">
        <f>'5 Aliso'!E71</f>
        <v>62010.275382141182</v>
      </c>
      <c r="E20" s="48">
        <f>'5 Arroyo'!$E$71</f>
        <v>42832.316195793413</v>
      </c>
      <c r="F20" s="48">
        <f>'5 Bell'!$E$72</f>
        <v>53731.5755373313</v>
      </c>
      <c r="G20" s="48">
        <f>'5 Browns'!$E$72</f>
        <v>71318.553308145085</v>
      </c>
      <c r="H20" s="48">
        <f>'5 Bull'!$E$72</f>
        <v>43609.817138861406</v>
      </c>
      <c r="I20" s="48">
        <f>'5 Burbank'!$E$72</f>
        <v>53264.670858864592</v>
      </c>
      <c r="J20" s="48">
        <f>'5 Tejunga'!$E$72</f>
        <v>44889.986611055334</v>
      </c>
      <c r="K20" s="48">
        <f>'5 Verdugo'!$E$72</f>
        <v>33926.250062460167</v>
      </c>
    </row>
    <row r="21" spans="3:21" ht="26.4" x14ac:dyDescent="0.25">
      <c r="D21" s="56" t="str">
        <f>'5 Alhambra'!$A$5</f>
        <v>Alhambra Wash</v>
      </c>
      <c r="E21" s="56" t="str">
        <f>'5 Big Dalton'!$A$5</f>
        <v>Big Dalton Wash</v>
      </c>
      <c r="F21" s="56" t="str">
        <f>'5 Eaton'!$A$5</f>
        <v>Eaton Wash</v>
      </c>
      <c r="G21" s="56" t="str">
        <f>'5 Rio Hondo'!$A$5</f>
        <v>Rio Hondo</v>
      </c>
      <c r="H21" s="56" t="str">
        <f>'5 Rubio'!$A$5</f>
        <v>Rubio Wash</v>
      </c>
      <c r="I21" s="56" t="str">
        <f>'5 San Jose'!$A$5</f>
        <v>San Jose Creek</v>
      </c>
      <c r="J21" s="56" t="str">
        <f>'5 Walnut'!$A$5</f>
        <v>Walnut Creek Channel</v>
      </c>
    </row>
    <row r="23" spans="3:21" x14ac:dyDescent="0.25">
      <c r="D23" s="13"/>
      <c r="E23" s="13"/>
      <c r="F23" s="13"/>
      <c r="G23" s="13"/>
      <c r="H23" s="13"/>
      <c r="I23" s="13"/>
      <c r="J23" s="13"/>
    </row>
    <row r="24" spans="3:21" x14ac:dyDescent="0.25">
      <c r="C24" s="55" t="s">
        <v>32</v>
      </c>
      <c r="D24" s="52">
        <f>'5 Alhambra'!$E$70</f>
        <v>73.032743155541553</v>
      </c>
      <c r="E24" s="52">
        <f>'5 Big Dalton'!$E$70</f>
        <v>486.88405022319631</v>
      </c>
      <c r="F24" s="52">
        <f>'5 Eaton'!$E$70</f>
        <v>220.4930166976942</v>
      </c>
      <c r="G24" s="52">
        <f>'5 Rio Hondo'!$E$70</f>
        <v>739.92783094302342</v>
      </c>
      <c r="H24" s="52">
        <f>'5 Rubio'!$E$70</f>
        <v>290.76569993541875</v>
      </c>
      <c r="I24" s="52">
        <f>'5 San Jose'!$E$70</f>
        <v>2388.9881163284699</v>
      </c>
      <c r="J24" s="52">
        <f>'5 Walnut'!$E$70</f>
        <v>574.61637835017791</v>
      </c>
    </row>
    <row r="25" spans="3:21" x14ac:dyDescent="0.25">
      <c r="C25" s="54"/>
      <c r="D25" s="13"/>
      <c r="E25" s="13"/>
      <c r="F25" s="13"/>
      <c r="G25" s="13"/>
      <c r="H25" s="13"/>
      <c r="I25" s="13"/>
      <c r="J25" s="13"/>
    </row>
    <row r="26" spans="3:21" x14ac:dyDescent="0.25">
      <c r="C26" s="55" t="s">
        <v>33</v>
      </c>
      <c r="D26" s="48">
        <f>'5 Alhambra'!$E$62</f>
        <v>59902237.23654823</v>
      </c>
      <c r="E26" s="48">
        <f>'5 Big Dalton'!$E$62</f>
        <v>378220965.30317843</v>
      </c>
      <c r="F26" s="48">
        <f>'5 Eaton'!$E$62</f>
        <v>259514123.73788539</v>
      </c>
      <c r="G26" s="48">
        <f>'5 Rio Hondo'!$E$62</f>
        <v>531862975.32117027</v>
      </c>
      <c r="H26" s="48">
        <f>'5 Rubio'!$E$62</f>
        <v>276242009.03859925</v>
      </c>
      <c r="I26" s="48">
        <f>'5 San Jose'!$E$62</f>
        <v>1531216569.4677906</v>
      </c>
      <c r="J26" s="48">
        <f>'5 Walnut'!$E$62</f>
        <v>577659042.42917228</v>
      </c>
    </row>
    <row r="27" spans="3:21" x14ac:dyDescent="0.25">
      <c r="C27" s="54"/>
      <c r="D27" s="13"/>
      <c r="E27" s="13"/>
      <c r="F27" s="13"/>
      <c r="G27" s="13"/>
      <c r="H27" s="13"/>
      <c r="I27" s="13"/>
      <c r="J27" s="13"/>
    </row>
    <row r="28" spans="3:21" x14ac:dyDescent="0.25">
      <c r="C28" s="55" t="s">
        <v>100</v>
      </c>
      <c r="D28" s="91">
        <f>'5 Alhambra'!E64</f>
        <v>114974.77413433891</v>
      </c>
      <c r="E28" s="91">
        <f>'5 Big Dalton'!E64</f>
        <v>686418.84756658541</v>
      </c>
      <c r="F28" s="91">
        <f>'5 Eaton'!E64</f>
        <v>462169.2345354188</v>
      </c>
      <c r="G28" s="91">
        <f>'5 Rio Hondo'!E64</f>
        <v>947971.71997717931</v>
      </c>
      <c r="H28" s="91">
        <f>'5 Rubio'!E64</f>
        <v>494283.85243511299</v>
      </c>
      <c r="I28" s="91">
        <f>'5 San Jose'!E64</f>
        <v>2721127.7713975138</v>
      </c>
      <c r="J28" s="91">
        <f>'5 Walnut'!E64</f>
        <v>1036926.4124492685</v>
      </c>
    </row>
    <row r="30" spans="3:21" x14ac:dyDescent="0.25">
      <c r="C30" s="55" t="s">
        <v>34</v>
      </c>
      <c r="D30" s="48">
        <f>'5 Alhambra'!$E$68</f>
        <v>1066635.2784285655</v>
      </c>
      <c r="E30" s="48">
        <f>'5 Big Dalton'!$E$68</f>
        <v>6703668.2967596315</v>
      </c>
      <c r="F30" s="48">
        <f>'5 Eaton'!$E$68</f>
        <v>4620977.9867857089</v>
      </c>
      <c r="G30" s="48">
        <f>'5 Rio Hondo'!$E$68</f>
        <v>9470494.5748071652</v>
      </c>
      <c r="H30" s="48">
        <f>'5 Rubio'!$E$68</f>
        <v>4918839.1922827512</v>
      </c>
      <c r="I30" s="48">
        <f>'5 San Jose'!$E$68</f>
        <v>27265252.305338152</v>
      </c>
      <c r="J30" s="48">
        <f>'5 Walnut'!$E$68</f>
        <v>10285951.61020606</v>
      </c>
    </row>
    <row r="31" spans="3:21" x14ac:dyDescent="0.25">
      <c r="C31" s="54"/>
      <c r="D31" s="13"/>
      <c r="E31" s="13"/>
      <c r="F31" s="13"/>
      <c r="G31" s="13"/>
      <c r="H31" s="13"/>
      <c r="I31" s="13"/>
      <c r="J31" s="13"/>
    </row>
    <row r="32" spans="3:21" x14ac:dyDescent="0.25">
      <c r="C32" s="55" t="s">
        <v>38</v>
      </c>
      <c r="D32" s="81">
        <f>'5 Alhambra'!$B$35/66/660</f>
        <v>6.2148526559102107E-2</v>
      </c>
      <c r="E32" s="81">
        <f>'5 Big Dalton'!$B$35/66/660</f>
        <v>0.37103721490085695</v>
      </c>
      <c r="F32" s="81">
        <f>'5 Eaton'!$B$35/66/660</f>
        <v>0.24982120785698314</v>
      </c>
      <c r="G32" s="81">
        <f>'5 Rio Hondo'!$B$35/66/660</f>
        <v>0.51241714593361043</v>
      </c>
      <c r="H32" s="81">
        <f>'5 Rubio'!$B$35/66/660</f>
        <v>0.26718046077573671</v>
      </c>
      <c r="I32" s="81">
        <f>'5 San Jose'!$B$35/66/660</f>
        <v>1.4708798764310886</v>
      </c>
      <c r="J32" s="81">
        <f>'5 Walnut'!$B$35/66/660</f>
        <v>0.56050076348609112</v>
      </c>
    </row>
    <row r="33" spans="3:10" x14ac:dyDescent="0.25">
      <c r="C33" s="54"/>
      <c r="D33" s="13"/>
      <c r="E33" s="13"/>
      <c r="F33" s="13"/>
      <c r="G33" s="13"/>
      <c r="H33" s="13"/>
      <c r="I33" s="13"/>
      <c r="J33" s="13"/>
    </row>
    <row r="34" spans="3:10" x14ac:dyDescent="0.25">
      <c r="C34" s="55" t="s">
        <v>37</v>
      </c>
      <c r="D34" s="52">
        <f>'5 Alhambra'!$B$34</f>
        <v>135.35949084572439</v>
      </c>
      <c r="E34" s="52">
        <f>'5 Big Dalton'!$B$34</f>
        <v>808.11905405406651</v>
      </c>
      <c r="F34" s="52">
        <f>'5 Eaton'!$B$34</f>
        <v>544.11059071250929</v>
      </c>
      <c r="G34" s="52">
        <f>'5 Rio Hondo'!$B$34</f>
        <v>1116.0445438434035</v>
      </c>
      <c r="H34" s="52">
        <f>'5 Rubio'!$B$34</f>
        <v>581.91904356955456</v>
      </c>
      <c r="I34" s="52">
        <f>'5 San Jose'!$B$34</f>
        <v>3203.576370866911</v>
      </c>
      <c r="J34" s="52">
        <f>'5 Walnut'!$B$34</f>
        <v>1220.7706628727065</v>
      </c>
    </row>
    <row r="35" spans="3:10" x14ac:dyDescent="0.25">
      <c r="C35" s="54"/>
      <c r="D35" s="52"/>
      <c r="E35" s="52"/>
      <c r="F35" s="52"/>
      <c r="G35" s="52"/>
      <c r="H35" s="52"/>
      <c r="I35" s="52"/>
      <c r="J35" s="52"/>
    </row>
    <row r="36" spans="3:10" x14ac:dyDescent="0.25">
      <c r="C36" s="55" t="s">
        <v>36</v>
      </c>
      <c r="D36" s="52">
        <f>'5 Alhambra'!$N$26</f>
        <v>0</v>
      </c>
      <c r="E36" s="52">
        <f>'5 Big Dalton'!$N$26</f>
        <v>0</v>
      </c>
      <c r="F36" s="52">
        <f>'5 Eaton'!$N$26</f>
        <v>0</v>
      </c>
      <c r="G36" s="52">
        <f>'5 Rio Hondo'!$N$26</f>
        <v>0</v>
      </c>
      <c r="H36" s="52">
        <f>'5 Rubio'!$N$26</f>
        <v>0</v>
      </c>
      <c r="I36" s="52">
        <f>'5 San Jose'!$N$26</f>
        <v>0</v>
      </c>
      <c r="J36" s="52">
        <f>'5 Walnut'!$N$26</f>
        <v>0</v>
      </c>
    </row>
    <row r="37" spans="3:10" x14ac:dyDescent="0.25">
      <c r="C37" s="54"/>
      <c r="D37" s="13"/>
      <c r="E37" s="13"/>
      <c r="F37" s="13"/>
      <c r="G37" s="13"/>
      <c r="H37" s="13"/>
      <c r="I37" s="13"/>
      <c r="J37" s="13"/>
    </row>
    <row r="38" spans="3:10" x14ac:dyDescent="0.25">
      <c r="C38" s="1" t="s">
        <v>35</v>
      </c>
      <c r="D38" s="48">
        <f>'5 Alhambra'!$E$72</f>
        <v>48854.63666446702</v>
      </c>
      <c r="E38" s="48">
        <f>'5 Big Dalton'!$E$72</f>
        <v>46202.970179485521</v>
      </c>
      <c r="F38" s="48">
        <f>'5 Eaton'!$E$72</f>
        <v>70097.807888631636</v>
      </c>
      <c r="G38" s="48">
        <f>'5 Rio Hondo'!$E$72</f>
        <v>42810.383344164416</v>
      </c>
      <c r="H38" s="48">
        <f>'5 Rubio'!$E$72</f>
        <v>56583.184267261277</v>
      </c>
      <c r="I38" s="48">
        <f>'5 San Jose'!$E$72</f>
        <v>38173.304190948591</v>
      </c>
      <c r="J38" s="48">
        <f>'5 Walnut'!$E$72</f>
        <v>59873.707627078657</v>
      </c>
    </row>
  </sheetData>
  <pageMargins left="0.7" right="0.7" top="0.75" bottom="0.75" header="0.3" footer="0.3"/>
  <pageSetup scale="51" orientation="landscape"/>
  <headerFooter>
    <oddFooter>&amp;LLA Basin Stormwater Conservation Study_Project Costs&amp;R&amp;D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topLeftCell="A57" zoomScaleNormal="100" zoomScaleSheetLayoutView="80" zoomScalePageLayoutView="40" workbookViewId="0">
      <selection activeCell="V14" sqref="V14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7" max="7" width="24.5546875" customWidth="1"/>
    <col min="10" max="10" width="10.109375" bestFit="1" customWidth="1"/>
    <col min="13" max="13" width="23" customWidth="1"/>
    <col min="14" max="14" width="14.8867187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12.88671875" customWidth="1"/>
    <col min="22" max="22" width="28.6640625" customWidth="1"/>
    <col min="23" max="24" width="24.6640625" customWidth="1"/>
    <col min="25" max="25" width="18.5546875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 t="s">
        <v>39</v>
      </c>
      <c r="U4" s="68">
        <v>50</v>
      </c>
      <c r="V4" s="159">
        <v>15447.56783318823</v>
      </c>
      <c r="W4" s="159">
        <v>9268.5406999129373</v>
      </c>
      <c r="X4" s="159">
        <v>6179.0271332752927</v>
      </c>
      <c r="Y4" s="160">
        <v>400.80977364210031</v>
      </c>
    </row>
    <row r="5" spans="1:25" ht="15" thickBot="1" x14ac:dyDescent="0.35">
      <c r="A5" s="19" t="s">
        <v>39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92"/>
      <c r="B8" s="92"/>
      <c r="C8" s="92"/>
      <c r="D8" s="93"/>
      <c r="E8" s="93"/>
      <c r="F8" s="87"/>
      <c r="T8" s="67"/>
      <c r="U8" s="68"/>
      <c r="V8" s="159"/>
      <c r="W8" s="159"/>
      <c r="X8" s="159"/>
      <c r="Y8" s="160"/>
    </row>
    <row r="9" spans="1:25" x14ac:dyDescent="0.25">
      <c r="A9" s="94" t="s">
        <v>61</v>
      </c>
      <c r="B9" s="95"/>
      <c r="C9" s="95"/>
      <c r="D9" s="96"/>
      <c r="E9" s="96"/>
      <c r="F9" s="87"/>
      <c r="T9" s="67"/>
      <c r="U9" s="68"/>
      <c r="V9" s="159"/>
      <c r="W9" s="159"/>
      <c r="X9" s="159"/>
      <c r="Y9" s="160"/>
    </row>
    <row r="10" spans="1:25" ht="12.75" customHeight="1" x14ac:dyDescent="0.25">
      <c r="A10" s="12" t="s">
        <v>62</v>
      </c>
      <c r="B10" s="97">
        <f>+W4</f>
        <v>9268.5406999129373</v>
      </c>
      <c r="C10" s="98" t="s">
        <v>6</v>
      </c>
      <c r="D10" s="99">
        <v>5</v>
      </c>
      <c r="E10" s="100">
        <f>+B10*D10</f>
        <v>46342.703499564683</v>
      </c>
      <c r="F10" s="87"/>
      <c r="G10" s="83"/>
      <c r="T10" s="67"/>
      <c r="U10" s="68"/>
      <c r="V10" s="159"/>
      <c r="W10" s="159"/>
      <c r="X10" s="159"/>
      <c r="Y10" s="160"/>
    </row>
    <row r="11" spans="1:25" x14ac:dyDescent="0.25">
      <c r="A11" s="12" t="s">
        <v>63</v>
      </c>
      <c r="B11" s="97">
        <f>+W4*10</f>
        <v>92685.406999129365</v>
      </c>
      <c r="C11" s="98" t="s">
        <v>64</v>
      </c>
      <c r="D11" s="99">
        <v>9</v>
      </c>
      <c r="E11" s="100">
        <f>+B11*D11</f>
        <v>834168.66299216426</v>
      </c>
      <c r="F11" s="101"/>
      <c r="G11" s="83"/>
      <c r="T11" s="67"/>
      <c r="U11" s="68"/>
      <c r="V11" s="159"/>
      <c r="W11" s="159"/>
      <c r="X11" s="159"/>
      <c r="Y11" s="160"/>
    </row>
    <row r="12" spans="1:25" x14ac:dyDescent="0.25">
      <c r="A12" s="18" t="s">
        <v>65</v>
      </c>
      <c r="B12" s="102">
        <f>+W4*20*10/27</f>
        <v>68655.857036392117</v>
      </c>
      <c r="C12" s="103" t="s">
        <v>17</v>
      </c>
      <c r="D12" s="96">
        <v>25</v>
      </c>
      <c r="E12" s="96">
        <f>+B12*D12</f>
        <v>1716396.425909803</v>
      </c>
      <c r="F12" s="101"/>
      <c r="G12" s="83"/>
      <c r="T12" s="67"/>
      <c r="U12" s="68"/>
      <c r="V12" s="159"/>
      <c r="W12" s="159"/>
      <c r="X12" s="159"/>
      <c r="Y12" s="160"/>
    </row>
    <row r="13" spans="1:25" x14ac:dyDescent="0.25">
      <c r="A13" s="87" t="s">
        <v>7</v>
      </c>
      <c r="B13" s="104"/>
      <c r="C13" s="104"/>
      <c r="D13" s="100"/>
      <c r="E13" s="100">
        <f>SUM(E10:E12)</f>
        <v>2596907.7924015317</v>
      </c>
      <c r="F13" s="87"/>
      <c r="G13" s="83"/>
      <c r="T13" s="67"/>
      <c r="U13" s="68"/>
      <c r="V13" s="159"/>
      <c r="W13" s="159"/>
      <c r="X13" s="159"/>
      <c r="Y13" s="160"/>
    </row>
    <row r="14" spans="1:25" x14ac:dyDescent="0.25">
      <c r="A14" s="87"/>
      <c r="B14" s="104"/>
      <c r="C14" s="104"/>
      <c r="D14" s="100"/>
      <c r="E14" s="100"/>
      <c r="F14" s="87"/>
      <c r="G14" s="83"/>
      <c r="T14" s="67"/>
      <c r="U14" s="68"/>
      <c r="V14" s="159"/>
      <c r="W14" s="159"/>
      <c r="X14" s="159"/>
      <c r="Y14" s="160"/>
    </row>
    <row r="15" spans="1:25" x14ac:dyDescent="0.25">
      <c r="A15" s="94" t="s">
        <v>66</v>
      </c>
      <c r="B15" s="95"/>
      <c r="C15" s="95"/>
      <c r="D15" s="96"/>
      <c r="E15" s="96"/>
      <c r="F15" s="87"/>
      <c r="G15" s="83"/>
      <c r="T15" s="67"/>
      <c r="U15" s="68"/>
      <c r="V15" s="159"/>
      <c r="W15" s="159"/>
      <c r="X15" s="159"/>
      <c r="Y15" s="160"/>
    </row>
    <row r="16" spans="1:25" x14ac:dyDescent="0.25">
      <c r="A16" s="12" t="s">
        <v>10</v>
      </c>
      <c r="B16" s="97">
        <f>+W4*1*10</f>
        <v>92685.406999129365</v>
      </c>
      <c r="C16" s="98" t="s">
        <v>17</v>
      </c>
      <c r="D16" s="99">
        <v>400</v>
      </c>
      <c r="E16" s="100">
        <f>+B16*D16</f>
        <v>37074162.799651749</v>
      </c>
      <c r="F16" s="101"/>
      <c r="G16" s="83"/>
      <c r="H16" s="86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97">
        <f>+W4*1*20</f>
        <v>185370.81399825873</v>
      </c>
      <c r="C17" s="98" t="s">
        <v>17</v>
      </c>
      <c r="D17" s="99">
        <v>25</v>
      </c>
      <c r="E17" s="100">
        <f>+B17*D17</f>
        <v>4634270.3499564687</v>
      </c>
      <c r="F17" s="101"/>
      <c r="G17" s="83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97">
        <f>+W4*20</f>
        <v>185370.81399825873</v>
      </c>
      <c r="C18" s="98" t="s">
        <v>17</v>
      </c>
      <c r="D18" s="99">
        <v>100</v>
      </c>
      <c r="E18" s="100">
        <f>+B18*D18</f>
        <v>18537081.399825875</v>
      </c>
      <c r="F18" s="101"/>
      <c r="G18" s="83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102">
        <f>+W4</f>
        <v>9268.5406999129373</v>
      </c>
      <c r="C19" s="103" t="s">
        <v>6</v>
      </c>
      <c r="D19" s="96">
        <v>25</v>
      </c>
      <c r="E19" s="96">
        <f>+B19*D19</f>
        <v>231713.51749782343</v>
      </c>
      <c r="F19" s="87"/>
      <c r="G19" s="83"/>
      <c r="L19" s="59"/>
      <c r="U19" s="60"/>
      <c r="V19" s="61"/>
      <c r="W19" s="57"/>
      <c r="X19" s="87"/>
      <c r="Y19" s="87"/>
    </row>
    <row r="20" spans="1:25" x14ac:dyDescent="0.25">
      <c r="A20" s="87" t="s">
        <v>7</v>
      </c>
      <c r="B20" s="104"/>
      <c r="C20" s="104"/>
      <c r="D20" s="100"/>
      <c r="E20" s="100">
        <f>SUM(E16:E19)</f>
        <v>60477228.066931918</v>
      </c>
      <c r="F20" s="87"/>
      <c r="G20" s="83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  <c r="X20" s="87"/>
      <c r="Y20" s="87"/>
    </row>
    <row r="21" spans="1:25" ht="14.4" x14ac:dyDescent="0.3">
      <c r="A21" s="87"/>
      <c r="B21" s="104"/>
      <c r="C21" s="104"/>
      <c r="D21" s="100"/>
      <c r="E21" s="100"/>
      <c r="F21" s="87"/>
      <c r="G21" s="83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94" t="s">
        <v>70</v>
      </c>
      <c r="B22" s="105"/>
      <c r="C22" s="105"/>
      <c r="D22" s="96"/>
      <c r="E22" s="96"/>
      <c r="F22" s="87"/>
      <c r="G22" s="83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106" t="s">
        <v>10</v>
      </c>
      <c r="B23" s="107">
        <f>+(V4/200+1)*(U4+20)*2*2/27</f>
        <v>811.35536912827865</v>
      </c>
      <c r="C23" s="108" t="s">
        <v>17</v>
      </c>
      <c r="D23" s="109">
        <v>400</v>
      </c>
      <c r="E23" s="109">
        <f>+B23*D23</f>
        <v>324542.14765131148</v>
      </c>
      <c r="F23" s="87"/>
      <c r="G23" s="83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s="87" t="s">
        <v>7</v>
      </c>
      <c r="B24" s="104"/>
      <c r="C24" s="104"/>
      <c r="D24" s="100"/>
      <c r="E24" s="100">
        <f>SUM(E23:E23)</f>
        <v>324542.14765131148</v>
      </c>
      <c r="F24" s="87"/>
      <c r="G24" s="83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10"/>
      <c r="C25" s="110"/>
      <c r="D25" s="99"/>
      <c r="E25" s="100"/>
      <c r="F25" s="87"/>
      <c r="G25" s="83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G26" s="83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G27" s="83"/>
      <c r="M27" s="13"/>
      <c r="N27" s="13"/>
      <c r="O27" s="13"/>
      <c r="P27" s="13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G28" s="83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97">
        <f>+ROUND(X4/540,0)</f>
        <v>11</v>
      </c>
      <c r="C29" s="98" t="s">
        <v>5</v>
      </c>
      <c r="D29" s="99">
        <f>+SUM(E27:E28)</f>
        <v>5022882.059609971</v>
      </c>
      <c r="E29" s="99">
        <f>+(B29-1)*D29</f>
        <v>50228820.596099712</v>
      </c>
      <c r="F29" s="87"/>
      <c r="G29" s="83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111" t="s">
        <v>7</v>
      </c>
      <c r="B30" s="112"/>
      <c r="C30" s="112"/>
      <c r="D30" s="113"/>
      <c r="E30" s="113">
        <f>SUM(E27:E29)</f>
        <v>55251702.655709684</v>
      </c>
      <c r="F30" s="87"/>
      <c r="G30" s="83"/>
      <c r="M30" s="13"/>
      <c r="N30" s="13"/>
      <c r="O30" s="13"/>
      <c r="T30" s="13"/>
      <c r="U30" s="48"/>
    </row>
    <row r="31" spans="1:25" x14ac:dyDescent="0.25">
      <c r="A31" s="87"/>
      <c r="B31" s="87"/>
      <c r="C31" s="87"/>
      <c r="D31" s="87"/>
      <c r="E31" s="87"/>
      <c r="F31" s="87"/>
      <c r="G31" s="83"/>
      <c r="M31" s="49">
        <v>0.05</v>
      </c>
      <c r="N31" s="48">
        <f>+M31*SUM(E10:E41)/2</f>
        <v>7374609.3794136709</v>
      </c>
      <c r="O31" s="13">
        <v>50</v>
      </c>
      <c r="Q31" s="2"/>
      <c r="T31" s="13"/>
      <c r="U31" s="48"/>
    </row>
    <row r="32" spans="1:25" x14ac:dyDescent="0.25">
      <c r="A32" s="31" t="s">
        <v>75</v>
      </c>
      <c r="B32" s="105"/>
      <c r="C32" s="105"/>
      <c r="D32" s="96"/>
      <c r="E32" s="96"/>
      <c r="F32" s="87"/>
      <c r="G32" s="83"/>
      <c r="T32" s="13"/>
      <c r="U32" s="48"/>
    </row>
    <row r="33" spans="1:21" x14ac:dyDescent="0.25">
      <c r="A33" s="12" t="s">
        <v>76</v>
      </c>
      <c r="B33" s="97">
        <f>+X4</f>
        <v>6179.0271332752927</v>
      </c>
      <c r="C33" s="98" t="s">
        <v>6</v>
      </c>
      <c r="D33" s="99">
        <v>25</v>
      </c>
      <c r="E33" s="100">
        <f>+B33*D33</f>
        <v>154475.67833188231</v>
      </c>
      <c r="F33" s="87"/>
      <c r="G33" s="83"/>
      <c r="T33" s="13"/>
      <c r="U33" s="48"/>
    </row>
    <row r="34" spans="1:21" x14ac:dyDescent="0.25">
      <c r="A34" s="18" t="s">
        <v>77</v>
      </c>
      <c r="B34" s="102">
        <f>20*X4</f>
        <v>123580.54266550585</v>
      </c>
      <c r="C34" s="103" t="s">
        <v>64</v>
      </c>
      <c r="D34" s="96">
        <v>25</v>
      </c>
      <c r="E34" s="96">
        <f>+B34*D34</f>
        <v>3089513.5666376464</v>
      </c>
      <c r="F34" s="101"/>
      <c r="G34" s="83"/>
      <c r="T34" s="13"/>
      <c r="U34" s="48"/>
    </row>
    <row r="35" spans="1:21" x14ac:dyDescent="0.25">
      <c r="A35" s="87" t="s">
        <v>7</v>
      </c>
      <c r="B35" s="104"/>
      <c r="C35" s="104"/>
      <c r="D35" s="100"/>
      <c r="E35" s="100">
        <f>+SUM(E33:E34)</f>
        <v>3243989.2449695286</v>
      </c>
      <c r="F35" s="87"/>
      <c r="G35" s="83"/>
      <c r="M35" s="41"/>
      <c r="N35" s="41"/>
      <c r="O35" s="41"/>
      <c r="P35" s="13"/>
      <c r="T35" s="79"/>
      <c r="U35" s="48"/>
    </row>
    <row r="36" spans="1:21" x14ac:dyDescent="0.25">
      <c r="A36" s="114"/>
      <c r="B36" s="114"/>
      <c r="C36" s="114"/>
      <c r="D36" s="114"/>
      <c r="E36" s="114"/>
      <c r="F36" s="87"/>
      <c r="G36" s="83"/>
      <c r="M36" s="41"/>
      <c r="N36" s="41"/>
      <c r="O36" s="41"/>
      <c r="P36" s="13"/>
      <c r="T36" s="13"/>
      <c r="U36" s="48"/>
    </row>
    <row r="37" spans="1:21" x14ac:dyDescent="0.25">
      <c r="A37" s="31" t="s">
        <v>83</v>
      </c>
      <c r="B37" s="115">
        <v>10</v>
      </c>
      <c r="C37" s="115" t="s">
        <v>8</v>
      </c>
      <c r="D37" s="116">
        <f>SUM(E10:E35)/2</f>
        <v>121894369.90766396</v>
      </c>
      <c r="E37" s="117">
        <f>D37*B37/100</f>
        <v>12189436.990766397</v>
      </c>
      <c r="F37" s="87"/>
      <c r="G37" s="83"/>
      <c r="M37" s="41"/>
      <c r="N37" s="41"/>
      <c r="O37" s="41"/>
      <c r="P37" s="13"/>
      <c r="T37" s="13"/>
      <c r="U37" s="48"/>
    </row>
    <row r="38" spans="1:21" x14ac:dyDescent="0.25">
      <c r="A38" s="87" t="s">
        <v>7</v>
      </c>
      <c r="B38" s="104"/>
      <c r="C38" s="104"/>
      <c r="D38" s="100"/>
      <c r="E38" s="100">
        <f>+SUM(E37)</f>
        <v>12189436.990766397</v>
      </c>
      <c r="F38" s="87"/>
      <c r="G38" s="83"/>
      <c r="M38" s="41"/>
      <c r="N38" s="41"/>
      <c r="O38" s="41"/>
      <c r="P38" s="13"/>
      <c r="T38" s="13"/>
      <c r="U38" s="48"/>
    </row>
    <row r="39" spans="1:21" x14ac:dyDescent="0.25">
      <c r="A39" s="114"/>
      <c r="B39" s="114"/>
      <c r="C39" s="114"/>
      <c r="D39" s="114"/>
      <c r="E39" s="114"/>
      <c r="F39" s="87"/>
      <c r="G39" s="83"/>
      <c r="M39" s="41"/>
      <c r="N39" s="41"/>
      <c r="O39" s="41"/>
      <c r="P39" s="13"/>
      <c r="T39" s="13"/>
      <c r="U39" s="48"/>
    </row>
    <row r="40" spans="1:21" x14ac:dyDescent="0.25">
      <c r="A40" s="31" t="s">
        <v>9</v>
      </c>
      <c r="B40" s="115">
        <v>10</v>
      </c>
      <c r="C40" s="115" t="s">
        <v>8</v>
      </c>
      <c r="D40" s="116">
        <f>SUM(E10:E38)/2</f>
        <v>134083806.89843036</v>
      </c>
      <c r="E40" s="117">
        <f>D40*B40/100</f>
        <v>13408380.689843036</v>
      </c>
      <c r="F40" s="87"/>
      <c r="G40" s="83"/>
      <c r="M40" s="41"/>
      <c r="N40" s="41"/>
      <c r="O40" s="41"/>
      <c r="P40" s="13"/>
      <c r="T40" s="13"/>
      <c r="U40" s="48"/>
    </row>
    <row r="41" spans="1:21" s="78" customFormat="1" x14ac:dyDescent="0.25">
      <c r="A41" s="87" t="s">
        <v>7</v>
      </c>
      <c r="B41" s="104"/>
      <c r="C41" s="104"/>
      <c r="D41" s="100"/>
      <c r="E41" s="100">
        <f>SUM(E40)</f>
        <v>13408380.689843036</v>
      </c>
      <c r="F41" s="114"/>
      <c r="G41" s="83"/>
      <c r="M41" s="79"/>
      <c r="N41" s="79"/>
      <c r="O41" s="79"/>
      <c r="P41" s="79"/>
      <c r="T41" s="13"/>
      <c r="U41" s="48"/>
    </row>
    <row r="42" spans="1:21" x14ac:dyDescent="0.25">
      <c r="A42" s="87"/>
      <c r="B42" s="104"/>
      <c r="C42" s="104"/>
      <c r="D42" s="100"/>
      <c r="E42" s="100"/>
      <c r="F42" s="87"/>
      <c r="G42" s="83"/>
      <c r="M42" s="13"/>
      <c r="N42" s="42"/>
      <c r="O42" s="24"/>
      <c r="P42" s="13"/>
      <c r="T42" s="13"/>
      <c r="U42" s="48"/>
    </row>
    <row r="43" spans="1:21" x14ac:dyDescent="0.25">
      <c r="A43" s="31" t="s">
        <v>12</v>
      </c>
      <c r="B43" s="105"/>
      <c r="C43" s="105"/>
      <c r="D43" s="99"/>
      <c r="E43" s="99"/>
      <c r="F43" s="87"/>
      <c r="G43" s="83"/>
      <c r="M43" s="13"/>
      <c r="N43" s="13"/>
      <c r="O43" s="13"/>
      <c r="P43" s="13"/>
      <c r="T43" s="13"/>
      <c r="U43" s="48"/>
    </row>
    <row r="44" spans="1:21" x14ac:dyDescent="0.25">
      <c r="A44" s="87" t="s">
        <v>89</v>
      </c>
      <c r="B44" s="104">
        <v>10</v>
      </c>
      <c r="C44" s="98" t="s">
        <v>8</v>
      </c>
      <c r="D44" s="118">
        <f>SUM(E10:E41)/2</f>
        <v>147492187.58827341</v>
      </c>
      <c r="E44" s="113">
        <f>D44*B44/100</f>
        <v>14749218.75882734</v>
      </c>
      <c r="F44" s="87"/>
      <c r="G44" s="83"/>
      <c r="T44" s="13"/>
      <c r="U44" s="48"/>
    </row>
    <row r="45" spans="1:21" x14ac:dyDescent="0.25">
      <c r="A45" s="12" t="s">
        <v>90</v>
      </c>
      <c r="B45" s="110">
        <v>15</v>
      </c>
      <c r="C45" s="98" t="s">
        <v>8</v>
      </c>
      <c r="D45" s="119">
        <f>SUM(E10:E41)/2</f>
        <v>147492187.58827341</v>
      </c>
      <c r="E45" s="99">
        <f>D45*B45/100</f>
        <v>22123828.138241008</v>
      </c>
      <c r="F45" s="87"/>
      <c r="G45" s="83"/>
      <c r="T45" s="13"/>
      <c r="U45" s="48"/>
    </row>
    <row r="46" spans="1:21" x14ac:dyDescent="0.25">
      <c r="A46" s="12" t="s">
        <v>19</v>
      </c>
      <c r="B46" s="110">
        <v>11</v>
      </c>
      <c r="C46" s="98" t="s">
        <v>8</v>
      </c>
      <c r="D46" s="119">
        <f>SUM(E10:E41)/2+SUM(D44:D45)+SUM(D47:D49)</f>
        <v>884953125.52964044</v>
      </c>
      <c r="E46" s="99">
        <f t="shared" ref="E46:E49" si="0">D46*B46/100</f>
        <v>97344843.808260441</v>
      </c>
      <c r="F46" s="87"/>
      <c r="G46" s="83"/>
      <c r="T46" s="13"/>
      <c r="U46" s="48"/>
    </row>
    <row r="47" spans="1:21" x14ac:dyDescent="0.25">
      <c r="A47" s="12" t="s">
        <v>13</v>
      </c>
      <c r="B47" s="110">
        <v>5</v>
      </c>
      <c r="C47" s="98" t="s">
        <v>8</v>
      </c>
      <c r="D47" s="119">
        <f>SUM(E10:E41)/2</f>
        <v>147492187.58827341</v>
      </c>
      <c r="E47" s="99">
        <f t="shared" si="0"/>
        <v>7374609.3794136699</v>
      </c>
      <c r="F47" s="87"/>
      <c r="G47" s="83"/>
      <c r="T47" s="13"/>
      <c r="U47" s="48"/>
    </row>
    <row r="48" spans="1:21" x14ac:dyDescent="0.25">
      <c r="A48" s="12" t="s">
        <v>14</v>
      </c>
      <c r="B48" s="110">
        <v>10</v>
      </c>
      <c r="C48" s="98" t="s">
        <v>8</v>
      </c>
      <c r="D48" s="119">
        <f>SUM(E10:E41)/2</f>
        <v>147492187.58827341</v>
      </c>
      <c r="E48" s="99">
        <f t="shared" si="0"/>
        <v>14749218.75882734</v>
      </c>
      <c r="F48" s="87"/>
      <c r="G48" s="83"/>
      <c r="T48" s="13"/>
      <c r="U48" s="48"/>
    </row>
    <row r="49" spans="1:21" x14ac:dyDescent="0.25">
      <c r="A49" s="18" t="s">
        <v>15</v>
      </c>
      <c r="B49" s="105">
        <v>10</v>
      </c>
      <c r="C49" s="103" t="s">
        <v>8</v>
      </c>
      <c r="D49" s="120">
        <f>SUM(E10:E41)/2</f>
        <v>147492187.58827341</v>
      </c>
      <c r="E49" s="96">
        <f t="shared" si="0"/>
        <v>14749218.75882734</v>
      </c>
      <c r="F49" s="87"/>
      <c r="G49" s="83"/>
      <c r="T49" s="13"/>
      <c r="U49" s="48"/>
    </row>
    <row r="50" spans="1:21" x14ac:dyDescent="0.25">
      <c r="A50" s="87" t="s">
        <v>7</v>
      </c>
      <c r="B50" s="104"/>
      <c r="C50" s="104"/>
      <c r="D50" s="100"/>
      <c r="E50" s="100">
        <f>SUM(E44:E49)</f>
        <v>171090937.60239711</v>
      </c>
      <c r="F50" s="87"/>
      <c r="G50" s="83"/>
      <c r="T50" s="13"/>
      <c r="U50" s="48"/>
    </row>
    <row r="51" spans="1:21" x14ac:dyDescent="0.25">
      <c r="A51" s="74"/>
      <c r="B51" s="110"/>
      <c r="C51" s="110"/>
      <c r="D51" s="99"/>
      <c r="E51" s="121"/>
      <c r="F51" s="87"/>
      <c r="G51" s="83"/>
      <c r="T51" s="13"/>
      <c r="U51" s="48"/>
    </row>
    <row r="52" spans="1:21" x14ac:dyDescent="0.25">
      <c r="A52" s="31" t="s">
        <v>16</v>
      </c>
      <c r="B52" s="122"/>
      <c r="C52" s="122"/>
      <c r="D52" s="123"/>
      <c r="E52" s="123"/>
      <c r="F52" s="87"/>
      <c r="G52" s="2"/>
      <c r="T52" s="13"/>
      <c r="U52" s="48"/>
    </row>
    <row r="53" spans="1:21" x14ac:dyDescent="0.25">
      <c r="A53" s="106" t="s">
        <v>16</v>
      </c>
      <c r="B53" s="124">
        <v>30</v>
      </c>
      <c r="C53" s="108" t="s">
        <v>8</v>
      </c>
      <c r="D53" s="125">
        <f>SUM(E10:E50)/2</f>
        <v>318583125.19067049</v>
      </c>
      <c r="E53" s="109">
        <f>D53*B53/100</f>
        <v>95574937.557201162</v>
      </c>
      <c r="F53" s="87"/>
      <c r="G53" s="2"/>
      <c r="T53" s="13"/>
      <c r="U53" s="48"/>
    </row>
    <row r="54" spans="1:21" x14ac:dyDescent="0.25">
      <c r="A54" s="87" t="s">
        <v>7</v>
      </c>
      <c r="B54" s="104"/>
      <c r="C54" s="104"/>
      <c r="D54" s="100"/>
      <c r="E54" s="100">
        <f>SUM(E53)</f>
        <v>95574937.557201162</v>
      </c>
      <c r="F54" s="87"/>
      <c r="T54" s="13"/>
      <c r="U54" s="48"/>
    </row>
    <row r="55" spans="1:21" x14ac:dyDescent="0.25">
      <c r="A55" s="87"/>
      <c r="B55" s="110"/>
      <c r="C55" s="110"/>
      <c r="D55" s="99"/>
      <c r="E55" s="99"/>
      <c r="F55" s="87"/>
      <c r="T55" s="13"/>
      <c r="U55" s="48"/>
    </row>
    <row r="56" spans="1:21" x14ac:dyDescent="0.25">
      <c r="A56" s="31" t="s">
        <v>91</v>
      </c>
      <c r="B56" s="122"/>
      <c r="C56" s="122"/>
      <c r="D56" s="123"/>
      <c r="E56" s="123"/>
      <c r="F56" s="87"/>
      <c r="T56" s="13"/>
      <c r="U56" s="48"/>
    </row>
    <row r="57" spans="1:21" x14ac:dyDescent="0.25">
      <c r="A57" s="18" t="s">
        <v>92</v>
      </c>
      <c r="B57" s="126">
        <f>X4*74/43560</f>
        <v>10.496969877464915</v>
      </c>
      <c r="C57" s="103" t="s">
        <v>86</v>
      </c>
      <c r="D57" s="117">
        <v>500000</v>
      </c>
      <c r="E57" s="117">
        <f>B57*D57</f>
        <v>5248484.9387324573</v>
      </c>
      <c r="F57" s="101" t="s">
        <v>99</v>
      </c>
      <c r="T57" s="13"/>
      <c r="U57" s="48"/>
    </row>
    <row r="58" spans="1:21" x14ac:dyDescent="0.25">
      <c r="A58" s="101" t="s">
        <v>7</v>
      </c>
      <c r="B58" s="127"/>
      <c r="C58" s="127"/>
      <c r="D58" s="128"/>
      <c r="E58" s="128">
        <f>SUM(E57)</f>
        <v>5248484.9387324573</v>
      </c>
      <c r="F58" s="87"/>
      <c r="J58" s="2"/>
      <c r="T58" s="13"/>
      <c r="U58" s="48"/>
    </row>
    <row r="59" spans="1:21" x14ac:dyDescent="0.25">
      <c r="A59" s="87"/>
      <c r="B59" s="87"/>
      <c r="C59" s="87"/>
      <c r="D59" s="87"/>
      <c r="E59" s="87"/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74" t="s">
        <v>94</v>
      </c>
      <c r="B61" s="110"/>
      <c r="C61" s="87"/>
      <c r="D61" s="104"/>
      <c r="E61" s="129">
        <f>SUM(E10:E54)/2</f>
        <v>414158062.74787164</v>
      </c>
      <c r="F61" s="100"/>
      <c r="G61" s="2"/>
      <c r="J61" s="74"/>
      <c r="T61" s="13"/>
      <c r="U61" s="48"/>
    </row>
    <row r="62" spans="1:21" x14ac:dyDescent="0.25">
      <c r="A62" s="87"/>
      <c r="B62" s="110"/>
      <c r="C62" s="110"/>
      <c r="D62" s="99"/>
      <c r="E62" s="130"/>
      <c r="F62" s="87"/>
      <c r="T62" s="13"/>
      <c r="U62" s="48"/>
    </row>
    <row r="63" spans="1:21" x14ac:dyDescent="0.25">
      <c r="A63" s="74" t="s">
        <v>95</v>
      </c>
      <c r="B63" s="131"/>
      <c r="C63" s="110"/>
      <c r="D63" s="99"/>
      <c r="E63" s="100">
        <f>E58</f>
        <v>5248484.9387324573</v>
      </c>
      <c r="F63" s="87"/>
      <c r="J63" s="74"/>
      <c r="T63" s="13"/>
      <c r="U63" s="48"/>
    </row>
    <row r="64" spans="1:21" x14ac:dyDescent="0.25">
      <c r="A64" s="87"/>
      <c r="B64" s="110"/>
      <c r="C64" s="110"/>
      <c r="D64" s="99"/>
      <c r="E64" s="99"/>
      <c r="F64" s="87"/>
      <c r="J64" s="87"/>
      <c r="T64" s="13"/>
      <c r="U64" s="48"/>
    </row>
    <row r="65" spans="1:21" x14ac:dyDescent="0.25">
      <c r="A65" s="74" t="s">
        <v>93</v>
      </c>
      <c r="B65" s="87"/>
      <c r="C65" s="87"/>
      <c r="D65" s="87"/>
      <c r="E65" s="132">
        <f>+PMT(0.03375,50,-E61-E63,0)</f>
        <v>17479715.05998664</v>
      </c>
      <c r="F65" s="101" t="s">
        <v>98</v>
      </c>
      <c r="J65" s="74"/>
      <c r="T65" s="13"/>
      <c r="U65" s="48"/>
    </row>
    <row r="66" spans="1:21" x14ac:dyDescent="0.25">
      <c r="A66" s="87"/>
      <c r="B66" s="87"/>
      <c r="C66" s="87"/>
      <c r="D66" s="87"/>
      <c r="E66" s="87"/>
      <c r="F66" s="87"/>
      <c r="T66" s="13"/>
      <c r="U66" s="48"/>
    </row>
    <row r="67" spans="1:21" x14ac:dyDescent="0.25">
      <c r="A67" s="92" t="s">
        <v>29</v>
      </c>
      <c r="B67" s="57"/>
      <c r="C67" s="57"/>
      <c r="D67" s="99"/>
      <c r="E67" s="99">
        <f>N31+P26</f>
        <v>7374609.3794136709</v>
      </c>
      <c r="F67" s="87"/>
      <c r="J67" s="1"/>
      <c r="T67" s="13"/>
      <c r="U67" s="48"/>
    </row>
    <row r="68" spans="1:21" x14ac:dyDescent="0.25">
      <c r="A68" s="74"/>
      <c r="B68" s="110"/>
      <c r="C68" s="110"/>
      <c r="D68" s="99"/>
      <c r="E68" s="99"/>
      <c r="F68" s="87"/>
      <c r="T68" s="13"/>
      <c r="U68" s="48"/>
    </row>
    <row r="69" spans="1:21" x14ac:dyDescent="0.25">
      <c r="A69" s="92" t="s">
        <v>80</v>
      </c>
      <c r="B69" s="87"/>
      <c r="C69" s="87"/>
      <c r="D69" s="87"/>
      <c r="E69" s="133">
        <f>+Y4</f>
        <v>400.80977364210031</v>
      </c>
      <c r="F69" s="87"/>
      <c r="J69" s="1"/>
      <c r="T69" s="13"/>
      <c r="U69" s="48"/>
    </row>
    <row r="70" spans="1:21" x14ac:dyDescent="0.25">
      <c r="A70" s="57"/>
      <c r="B70" s="110"/>
      <c r="C70" s="110"/>
      <c r="D70" s="99"/>
      <c r="E70" s="99"/>
      <c r="F70" s="87"/>
      <c r="J70" s="15"/>
      <c r="T70" s="13"/>
      <c r="U70" s="48"/>
    </row>
    <row r="71" spans="1:21" x14ac:dyDescent="0.25">
      <c r="A71" s="74" t="s">
        <v>96</v>
      </c>
      <c r="B71" s="110"/>
      <c r="C71" s="110"/>
      <c r="D71" s="99"/>
      <c r="E71" s="99">
        <f>+(E65+E67)/E69</f>
        <v>62010.275382141182</v>
      </c>
      <c r="F71" s="87"/>
      <c r="J71" s="21"/>
      <c r="T71" s="13"/>
      <c r="U71" s="48"/>
    </row>
    <row r="72" spans="1:21" x14ac:dyDescent="0.25">
      <c r="A72" s="87"/>
      <c r="B72" s="87"/>
      <c r="C72" s="87"/>
      <c r="D72" s="87"/>
      <c r="E72" s="87"/>
      <c r="F72" s="87"/>
      <c r="T72" s="13"/>
      <c r="U72" s="48"/>
    </row>
    <row r="73" spans="1:21" x14ac:dyDescent="0.25">
      <c r="T73" s="13"/>
      <c r="U73" s="48"/>
    </row>
  </sheetData>
  <phoneticPr fontId="0" type="noConversion"/>
  <pageMargins left="0.75" right="0.75" top="1" bottom="1" header="0.5" footer="0.5"/>
  <pageSetup scale="45" orientation="landscape"/>
  <headerFooter alignWithMargins="0">
    <oddFooter>&amp;LLA Basin Stormwater Conservation Study_Project Costs&amp;R&amp;D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zoomScaleNormal="100" zoomScaleSheetLayoutView="70" workbookViewId="0">
      <selection activeCell="T13" sqref="T13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5.33203125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3" width="21.6640625" customWidth="1"/>
    <col min="24" max="24" width="18.109375" customWidth="1"/>
    <col min="25" max="25" width="13.33203125" customWidth="1"/>
    <col min="28" max="28" width="27.44140625" bestFit="1" customWidth="1"/>
  </cols>
  <sheetData>
    <row r="1" spans="1:29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9" x14ac:dyDescent="0.25">
      <c r="A2" s="1" t="str">
        <f>Summary!A2</f>
        <v>N Summerville</v>
      </c>
    </row>
    <row r="3" spans="1:29" x14ac:dyDescent="0.25">
      <c r="A3" s="16">
        <f>Summary!A3</f>
        <v>42275</v>
      </c>
      <c r="T3" s="67"/>
      <c r="U3" s="68" t="s">
        <v>18</v>
      </c>
      <c r="V3" s="68" t="s">
        <v>18</v>
      </c>
      <c r="W3" s="68" t="s">
        <v>18</v>
      </c>
      <c r="X3" s="68" t="s">
        <v>18</v>
      </c>
      <c r="Y3" s="69" t="s">
        <v>79</v>
      </c>
      <c r="Z3" s="88"/>
    </row>
    <row r="4" spans="1:29" x14ac:dyDescent="0.25">
      <c r="T4" s="67"/>
      <c r="U4" s="68"/>
      <c r="V4" s="159"/>
      <c r="W4" s="159"/>
      <c r="X4" s="159"/>
      <c r="Y4" s="160"/>
      <c r="Z4" s="88"/>
      <c r="AB4" s="89"/>
      <c r="AC4" s="88"/>
    </row>
    <row r="5" spans="1:29" ht="15" thickBot="1" x14ac:dyDescent="0.35">
      <c r="A5" s="19" t="s">
        <v>44</v>
      </c>
      <c r="B5" s="20"/>
      <c r="C5" s="20"/>
      <c r="D5" s="20"/>
      <c r="E5" s="20"/>
      <c r="T5" s="67" t="s">
        <v>44</v>
      </c>
      <c r="U5" s="68">
        <v>50</v>
      </c>
      <c r="V5" s="161">
        <v>30277.99379694145</v>
      </c>
      <c r="W5" s="159">
        <f>V5*0.95</f>
        <v>28764.094107094377</v>
      </c>
      <c r="X5" s="159">
        <f>V5*0.05</f>
        <v>1513.8996898470725</v>
      </c>
      <c r="Y5" s="160">
        <v>931.64583365116562</v>
      </c>
      <c r="Z5" s="88"/>
      <c r="AB5" s="89"/>
      <c r="AC5" s="88"/>
    </row>
    <row r="6" spans="1:29" x14ac:dyDescent="0.25">
      <c r="T6" s="67"/>
      <c r="U6" s="68"/>
      <c r="V6" s="159"/>
      <c r="W6" s="159"/>
      <c r="X6" s="159"/>
      <c r="Y6" s="160"/>
      <c r="Z6" s="88"/>
      <c r="AB6" s="89"/>
      <c r="AC6" s="88"/>
    </row>
    <row r="7" spans="1:29" x14ac:dyDescent="0.25">
      <c r="A7" s="92" t="s">
        <v>0</v>
      </c>
      <c r="B7" s="134" t="s">
        <v>1</v>
      </c>
      <c r="C7" s="134" t="s">
        <v>2</v>
      </c>
      <c r="D7" s="135" t="s">
        <v>3</v>
      </c>
      <c r="E7" s="135" t="s">
        <v>4</v>
      </c>
      <c r="F7" s="87"/>
      <c r="T7" s="67"/>
      <c r="U7" s="68"/>
      <c r="V7" s="159"/>
      <c r="W7" s="159"/>
      <c r="X7" s="159"/>
      <c r="Y7" s="160"/>
      <c r="Z7" s="88"/>
      <c r="AB7" s="89"/>
      <c r="AC7" s="88"/>
    </row>
    <row r="8" spans="1:29" x14ac:dyDescent="0.25">
      <c r="A8" s="92"/>
      <c r="B8" s="92"/>
      <c r="C8" s="92"/>
      <c r="D8" s="93"/>
      <c r="E8" s="93"/>
      <c r="F8" s="87"/>
      <c r="T8" s="67"/>
      <c r="U8" s="68"/>
      <c r="V8" s="159"/>
      <c r="W8" s="159"/>
      <c r="X8" s="159"/>
      <c r="Y8" s="160"/>
      <c r="Z8" s="88"/>
      <c r="AB8" s="89"/>
      <c r="AC8" s="88"/>
    </row>
    <row r="9" spans="1:29" x14ac:dyDescent="0.25">
      <c r="A9" s="94" t="s">
        <v>61</v>
      </c>
      <c r="B9" s="95"/>
      <c r="C9" s="95"/>
      <c r="D9" s="96"/>
      <c r="E9" s="96"/>
      <c r="F9" s="87"/>
      <c r="T9" s="67"/>
      <c r="U9" s="68"/>
      <c r="V9" s="159"/>
      <c r="W9" s="159"/>
      <c r="X9" s="159"/>
      <c r="Y9" s="160"/>
      <c r="Z9" s="88"/>
      <c r="AB9" s="89"/>
      <c r="AC9" s="88"/>
    </row>
    <row r="10" spans="1:29" ht="12.75" customHeight="1" x14ac:dyDescent="0.25">
      <c r="A10" s="12" t="s">
        <v>62</v>
      </c>
      <c r="B10" s="136">
        <f>+W5</f>
        <v>28764.094107094377</v>
      </c>
      <c r="C10" s="98" t="s">
        <v>6</v>
      </c>
      <c r="D10" s="137">
        <v>5</v>
      </c>
      <c r="E10" s="128">
        <f>+B10*D10</f>
        <v>143820.47053547189</v>
      </c>
      <c r="F10" s="87"/>
      <c r="T10" s="67"/>
      <c r="U10" s="68"/>
      <c r="V10" s="159"/>
      <c r="W10" s="159"/>
      <c r="X10" s="159"/>
      <c r="Y10" s="160"/>
      <c r="Z10" s="88"/>
      <c r="AB10" s="89"/>
      <c r="AC10" s="88"/>
    </row>
    <row r="11" spans="1:29" x14ac:dyDescent="0.25">
      <c r="A11" s="12" t="s">
        <v>63</v>
      </c>
      <c r="B11" s="136">
        <f>+W5*10</f>
        <v>287640.94107094378</v>
      </c>
      <c r="C11" s="98" t="s">
        <v>64</v>
      </c>
      <c r="D11" s="99">
        <v>9</v>
      </c>
      <c r="E11" s="128">
        <f>+B11*D11</f>
        <v>2588768.4696384938</v>
      </c>
      <c r="F11" s="101"/>
      <c r="T11" s="67"/>
      <c r="U11" s="68"/>
      <c r="V11" s="159"/>
      <c r="W11" s="159"/>
      <c r="X11" s="159"/>
      <c r="Y11" s="160"/>
      <c r="Z11" s="88"/>
      <c r="AB11" s="89"/>
      <c r="AC11" s="88"/>
    </row>
    <row r="12" spans="1:29" x14ac:dyDescent="0.25">
      <c r="A12" s="18" t="s">
        <v>65</v>
      </c>
      <c r="B12" s="126">
        <f>+W5*20*10/27</f>
        <v>213067.36375625466</v>
      </c>
      <c r="C12" s="103" t="s">
        <v>17</v>
      </c>
      <c r="D12" s="96">
        <v>25</v>
      </c>
      <c r="E12" s="117">
        <f>+B12*D12</f>
        <v>5326684.0939063663</v>
      </c>
      <c r="F12" s="101"/>
      <c r="T12" s="67"/>
      <c r="U12" s="68"/>
      <c r="V12" s="159"/>
      <c r="W12" s="159"/>
      <c r="X12" s="159"/>
      <c r="Y12" s="160"/>
      <c r="Z12" s="88"/>
      <c r="AB12" s="89"/>
      <c r="AC12" s="88"/>
    </row>
    <row r="13" spans="1:29" x14ac:dyDescent="0.25">
      <c r="A13" s="87" t="s">
        <v>7</v>
      </c>
      <c r="B13" s="127"/>
      <c r="C13" s="127"/>
      <c r="D13" s="128"/>
      <c r="E13" s="128">
        <f>SUM(E10:E12)</f>
        <v>8059273.0340803321</v>
      </c>
      <c r="F13" s="87"/>
      <c r="T13" s="67"/>
      <c r="U13" s="68"/>
      <c r="V13" s="159"/>
      <c r="W13" s="159"/>
      <c r="X13" s="159"/>
      <c r="Y13" s="160"/>
      <c r="Z13" s="88"/>
      <c r="AB13" s="89"/>
      <c r="AC13" s="88"/>
    </row>
    <row r="14" spans="1:29" x14ac:dyDescent="0.25">
      <c r="A14" s="87"/>
      <c r="B14" s="127"/>
      <c r="C14" s="127"/>
      <c r="D14" s="128"/>
      <c r="E14" s="128"/>
      <c r="F14" s="87"/>
      <c r="T14" s="67"/>
      <c r="U14" s="68"/>
      <c r="V14" s="159"/>
      <c r="W14" s="159"/>
      <c r="X14" s="159"/>
      <c r="Y14" s="160"/>
      <c r="Z14" s="88"/>
      <c r="AB14" s="89"/>
      <c r="AC14" s="88"/>
    </row>
    <row r="15" spans="1:29" x14ac:dyDescent="0.25">
      <c r="A15" s="94" t="s">
        <v>66</v>
      </c>
      <c r="B15" s="18"/>
      <c r="C15" s="18"/>
      <c r="D15" s="117"/>
      <c r="E15" s="117"/>
      <c r="F15" s="87"/>
      <c r="T15" s="67"/>
      <c r="U15" s="68"/>
      <c r="V15" s="159"/>
      <c r="W15" s="159"/>
      <c r="X15" s="159"/>
      <c r="Y15" s="160"/>
      <c r="Z15" s="88"/>
      <c r="AB15" s="89"/>
      <c r="AC15" s="88"/>
    </row>
    <row r="16" spans="1:29" x14ac:dyDescent="0.25">
      <c r="A16" s="12" t="s">
        <v>10</v>
      </c>
      <c r="B16" s="136">
        <f>+W5*1*10</f>
        <v>287640.94107094378</v>
      </c>
      <c r="C16" s="98" t="s">
        <v>17</v>
      </c>
      <c r="D16" s="137">
        <v>400</v>
      </c>
      <c r="E16" s="128">
        <f>+B16*D16</f>
        <v>115056376.42837751</v>
      </c>
      <c r="F16" s="101"/>
      <c r="L16" s="58"/>
      <c r="T16" s="67"/>
      <c r="U16" s="68"/>
      <c r="V16" s="159"/>
      <c r="W16" s="159"/>
      <c r="X16" s="159"/>
      <c r="Y16" s="160"/>
      <c r="Z16" s="88"/>
      <c r="AB16" s="89"/>
      <c r="AC16" s="88"/>
    </row>
    <row r="17" spans="1:29" x14ac:dyDescent="0.25">
      <c r="A17" s="12" t="s">
        <v>68</v>
      </c>
      <c r="B17" s="136">
        <f>+W5*1*20</f>
        <v>575281.88214188756</v>
      </c>
      <c r="C17" s="98" t="s">
        <v>17</v>
      </c>
      <c r="D17" s="99">
        <v>25</v>
      </c>
      <c r="E17" s="128">
        <f>+B17*D17</f>
        <v>14382047.053547189</v>
      </c>
      <c r="F17" s="101"/>
      <c r="L17" s="58"/>
      <c r="T17" s="67"/>
      <c r="U17" s="68"/>
      <c r="V17" s="159"/>
      <c r="W17" s="159"/>
      <c r="X17" s="159"/>
      <c r="Y17" s="160"/>
      <c r="Z17" s="88"/>
      <c r="AB17" s="89"/>
      <c r="AC17" s="88"/>
    </row>
    <row r="18" spans="1:29" x14ac:dyDescent="0.25">
      <c r="A18" s="12" t="s">
        <v>67</v>
      </c>
      <c r="B18" s="136">
        <f>+W5*20</f>
        <v>575281.88214188756</v>
      </c>
      <c r="C18" s="98" t="s">
        <v>17</v>
      </c>
      <c r="D18" s="137">
        <v>100</v>
      </c>
      <c r="E18" s="128">
        <f>+B18*D18</f>
        <v>57528188.214188755</v>
      </c>
      <c r="F18" s="101"/>
      <c r="L18" s="58"/>
      <c r="T18" s="67"/>
      <c r="U18" s="68"/>
      <c r="V18" s="159"/>
      <c r="W18" s="159"/>
      <c r="X18" s="159"/>
      <c r="Y18" s="160"/>
      <c r="AB18" s="89"/>
      <c r="AC18" s="88"/>
    </row>
    <row r="19" spans="1:29" x14ac:dyDescent="0.25">
      <c r="A19" s="18" t="s">
        <v>69</v>
      </c>
      <c r="B19" s="126">
        <f>+W5</f>
        <v>28764.094107094377</v>
      </c>
      <c r="C19" s="103" t="s">
        <v>6</v>
      </c>
      <c r="D19" s="117">
        <v>25</v>
      </c>
      <c r="E19" s="117">
        <f>+B19*D19</f>
        <v>719102.35267735948</v>
      </c>
      <c r="F19" s="87"/>
      <c r="L19" s="59"/>
      <c r="T19" s="59"/>
      <c r="U19" s="60"/>
      <c r="V19" s="60"/>
      <c r="W19" s="57"/>
      <c r="X19" s="87"/>
      <c r="Y19" s="87"/>
    </row>
    <row r="20" spans="1:29" ht="14.4" x14ac:dyDescent="0.3">
      <c r="A20" s="87" t="s">
        <v>7</v>
      </c>
      <c r="B20" s="127"/>
      <c r="C20" s="127"/>
      <c r="D20" s="128"/>
      <c r="E20" s="128">
        <f>SUM(E16:E19)</f>
        <v>187685714.04879081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1"/>
      <c r="W20" s="57"/>
    </row>
    <row r="21" spans="1:29" x14ac:dyDescent="0.25">
      <c r="A21" s="87"/>
      <c r="B21" s="127"/>
      <c r="C21" s="127"/>
      <c r="D21" s="128"/>
      <c r="E21" s="128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2"/>
      <c r="W21" s="57"/>
    </row>
    <row r="22" spans="1:29" x14ac:dyDescent="0.25">
      <c r="A22" s="94" t="s">
        <v>70</v>
      </c>
      <c r="B22" s="103"/>
      <c r="C22" s="103"/>
      <c r="D22" s="117"/>
      <c r="E22" s="117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0"/>
      <c r="W22" s="57"/>
    </row>
    <row r="23" spans="1:29" x14ac:dyDescent="0.25">
      <c r="A23" s="106" t="s">
        <v>10</v>
      </c>
      <c r="B23" s="138">
        <f>+(W6/200+1)*(U6+20)*2*2/27</f>
        <v>2.9629629629629628</v>
      </c>
      <c r="C23" s="108" t="s">
        <v>17</v>
      </c>
      <c r="D23" s="139">
        <v>400</v>
      </c>
      <c r="E23" s="139">
        <f t="shared" ref="E23" si="0">+B23*D23</f>
        <v>1185.1851851851852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</row>
    <row r="24" spans="1:29" x14ac:dyDescent="0.25">
      <c r="A24" s="87" t="s">
        <v>7</v>
      </c>
      <c r="B24" s="127"/>
      <c r="C24" s="127"/>
      <c r="D24" s="128"/>
      <c r="E24" s="128">
        <f>SUM(E23:E23)</f>
        <v>1185.1851851851852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9" x14ac:dyDescent="0.25">
      <c r="A25" s="12"/>
      <c r="B25" s="98"/>
      <c r="C25" s="98"/>
      <c r="D25" s="137"/>
      <c r="E25" s="128"/>
      <c r="F25" s="87"/>
      <c r="M25" s="13"/>
      <c r="N25" s="13"/>
      <c r="O25" s="13"/>
      <c r="P25" s="13"/>
      <c r="T25" s="32"/>
      <c r="U25" s="40"/>
    </row>
    <row r="26" spans="1:29" x14ac:dyDescent="0.25">
      <c r="A26" s="31" t="s">
        <v>71</v>
      </c>
      <c r="B26" s="103"/>
      <c r="C26" s="103"/>
      <c r="D26" s="117"/>
      <c r="E26" s="117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</row>
    <row r="27" spans="1:29" x14ac:dyDescent="0.25">
      <c r="A27" s="12" t="s">
        <v>72</v>
      </c>
      <c r="B27" s="136">
        <f>5/3*(50*500+(50+2*5*3)*(500+2*5*3)+SQRT(50*500*(50+2*5*3)*(500+2*5*3)))</f>
        <v>166596.06865366569</v>
      </c>
      <c r="C27" s="98" t="s">
        <v>17</v>
      </c>
      <c r="D27" s="137">
        <v>30</v>
      </c>
      <c r="E27" s="128">
        <f>+B27*D27</f>
        <v>4997882.059609971</v>
      </c>
      <c r="F27" s="87"/>
      <c r="M27" s="13"/>
      <c r="N27" s="13"/>
      <c r="O27" s="13"/>
      <c r="P27" s="13"/>
      <c r="T27" s="13"/>
      <c r="U27" s="48"/>
    </row>
    <row r="28" spans="1:29" x14ac:dyDescent="0.25">
      <c r="A28" s="12" t="s">
        <v>73</v>
      </c>
      <c r="B28" s="98">
        <v>1</v>
      </c>
      <c r="C28" s="98" t="s">
        <v>5</v>
      </c>
      <c r="D28" s="137">
        <v>25000</v>
      </c>
      <c r="E28" s="128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9" x14ac:dyDescent="0.25">
      <c r="A29" s="12" t="s">
        <v>74</v>
      </c>
      <c r="B29" s="136">
        <f>+ROUND(X6/540,0)</f>
        <v>0</v>
      </c>
      <c r="C29" s="98" t="s">
        <v>5</v>
      </c>
      <c r="D29" s="137">
        <f>+SUM(E27:E28)</f>
        <v>5022882.059609971</v>
      </c>
      <c r="E29" s="140">
        <f>+(B29-1)*D29</f>
        <v>-5022882.059609971</v>
      </c>
      <c r="F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9" x14ac:dyDescent="0.25">
      <c r="A30" s="111" t="s">
        <v>7</v>
      </c>
      <c r="B30" s="141"/>
      <c r="C30" s="141"/>
      <c r="D30" s="142"/>
      <c r="E30" s="142">
        <f>SUM(E27:E29)</f>
        <v>0</v>
      </c>
      <c r="F30" s="87"/>
      <c r="M30" s="13"/>
      <c r="N30" s="13"/>
      <c r="O30" s="13"/>
      <c r="T30" s="13"/>
      <c r="U30" s="48"/>
    </row>
    <row r="31" spans="1:29" x14ac:dyDescent="0.25">
      <c r="A31" s="74"/>
      <c r="B31" s="98"/>
      <c r="C31" s="98"/>
      <c r="D31" s="137"/>
      <c r="E31" s="137"/>
      <c r="F31" s="87"/>
      <c r="M31" s="49">
        <v>0.05</v>
      </c>
      <c r="N31" s="47">
        <f>+M31*SUM(E10:E41)/2</f>
        <v>11890728.661116175</v>
      </c>
      <c r="O31" s="13">
        <v>50</v>
      </c>
      <c r="Q31" s="2"/>
      <c r="T31" s="13"/>
      <c r="U31" s="48"/>
    </row>
    <row r="32" spans="1:29" x14ac:dyDescent="0.25">
      <c r="A32" s="31" t="s">
        <v>75</v>
      </c>
      <c r="B32" s="103"/>
      <c r="C32" s="103"/>
      <c r="D32" s="117"/>
      <c r="E32" s="117"/>
      <c r="F32" s="87"/>
      <c r="T32" s="13"/>
      <c r="U32" s="48"/>
    </row>
    <row r="33" spans="1:25" x14ac:dyDescent="0.25">
      <c r="A33" s="12" t="s">
        <v>76</v>
      </c>
      <c r="B33" s="136">
        <f>+X5</f>
        <v>1513.8996898470725</v>
      </c>
      <c r="C33" s="98" t="s">
        <v>6</v>
      </c>
      <c r="D33" s="137">
        <v>25</v>
      </c>
      <c r="E33" s="143">
        <f>+B33*D33</f>
        <v>37847.492246176815</v>
      </c>
      <c r="F33" s="87"/>
      <c r="T33" s="13"/>
      <c r="U33" s="48"/>
    </row>
    <row r="34" spans="1:25" x14ac:dyDescent="0.25">
      <c r="A34" s="18" t="s">
        <v>77</v>
      </c>
      <c r="B34" s="126">
        <f>20*X5</f>
        <v>30277.99379694145</v>
      </c>
      <c r="C34" s="103" t="s">
        <v>64</v>
      </c>
      <c r="D34" s="117">
        <v>25</v>
      </c>
      <c r="E34" s="144">
        <f>+B34*D34</f>
        <v>756949.84492353629</v>
      </c>
      <c r="F34" s="87"/>
      <c r="T34" s="13"/>
      <c r="U34" s="48"/>
    </row>
    <row r="35" spans="1:25" x14ac:dyDescent="0.25">
      <c r="A35" s="87" t="s">
        <v>7</v>
      </c>
      <c r="B35" s="127"/>
      <c r="C35" s="127"/>
      <c r="D35" s="128"/>
      <c r="E35" s="128">
        <f>+SUM(E33:E34)</f>
        <v>794797.33716971311</v>
      </c>
      <c r="F35" s="101"/>
      <c r="T35" s="13"/>
      <c r="U35" s="48"/>
    </row>
    <row r="36" spans="1:25" x14ac:dyDescent="0.25">
      <c r="A36" s="114"/>
      <c r="B36" s="101"/>
      <c r="C36" s="101"/>
      <c r="D36" s="101"/>
      <c r="E36" s="101"/>
      <c r="F36" s="87"/>
      <c r="M36" s="41"/>
      <c r="N36" s="41"/>
      <c r="O36" s="41"/>
      <c r="P36" s="13"/>
      <c r="T36" s="79"/>
      <c r="U36" s="80"/>
    </row>
    <row r="37" spans="1:25" x14ac:dyDescent="0.25">
      <c r="A37" s="31" t="s">
        <v>83</v>
      </c>
      <c r="B37" s="103">
        <v>10</v>
      </c>
      <c r="C37" s="103" t="s">
        <v>8</v>
      </c>
      <c r="D37" s="116">
        <f>SUM(E10:E35)/2</f>
        <v>196540969.60522604</v>
      </c>
      <c r="E37" s="117">
        <f>D37*B37/100</f>
        <v>19654096.960522603</v>
      </c>
      <c r="F37" s="87"/>
      <c r="M37" s="41"/>
      <c r="N37" s="41"/>
      <c r="O37" s="41"/>
      <c r="P37" s="13"/>
      <c r="T37" s="13"/>
      <c r="U37" s="48"/>
    </row>
    <row r="38" spans="1:25" x14ac:dyDescent="0.25">
      <c r="A38" s="87" t="s">
        <v>7</v>
      </c>
      <c r="B38" s="127"/>
      <c r="C38" s="127"/>
      <c r="D38" s="128"/>
      <c r="E38" s="128">
        <f>SUM(E37)</f>
        <v>19654096.960522603</v>
      </c>
      <c r="F38" s="87"/>
      <c r="M38" s="41"/>
      <c r="N38" s="41"/>
      <c r="O38" s="41"/>
      <c r="P38" s="13"/>
      <c r="T38" s="13"/>
      <c r="U38" s="48"/>
    </row>
    <row r="39" spans="1:25" x14ac:dyDescent="0.25">
      <c r="A39" s="114"/>
      <c r="B39" s="101"/>
      <c r="C39" s="101"/>
      <c r="D39" s="101"/>
      <c r="E39" s="101"/>
      <c r="F39" s="87"/>
      <c r="M39" s="41"/>
      <c r="N39" s="41"/>
      <c r="O39" s="41"/>
      <c r="P39" s="13"/>
      <c r="T39" s="13"/>
      <c r="U39" s="48"/>
    </row>
    <row r="40" spans="1:25" x14ac:dyDescent="0.25">
      <c r="A40" s="31" t="s">
        <v>9</v>
      </c>
      <c r="B40" s="103">
        <v>10</v>
      </c>
      <c r="C40" s="103" t="s">
        <v>8</v>
      </c>
      <c r="D40" s="116">
        <f>SUM(E10:E38)/2</f>
        <v>216195066.56574863</v>
      </c>
      <c r="E40" s="117">
        <f>D40*B40/100</f>
        <v>21619506.656574864</v>
      </c>
      <c r="F40" s="87"/>
      <c r="M40" s="41"/>
      <c r="N40" s="41"/>
      <c r="O40" s="41"/>
      <c r="P40" s="13"/>
      <c r="T40" s="13"/>
      <c r="U40" s="48"/>
    </row>
    <row r="41" spans="1:25" x14ac:dyDescent="0.25">
      <c r="A41" s="87" t="s">
        <v>7</v>
      </c>
      <c r="B41" s="127"/>
      <c r="C41" s="127"/>
      <c r="D41" s="128"/>
      <c r="E41" s="128">
        <f>SUM(E40)</f>
        <v>21619506.656574864</v>
      </c>
      <c r="F41" s="87"/>
      <c r="M41" s="41"/>
      <c r="N41" s="41"/>
      <c r="O41" s="41"/>
      <c r="P41" s="13"/>
      <c r="T41" s="13"/>
      <c r="U41" s="48"/>
    </row>
    <row r="42" spans="1:25" x14ac:dyDescent="0.25">
      <c r="A42" s="87"/>
      <c r="B42" s="127"/>
      <c r="C42" s="127"/>
      <c r="D42" s="128"/>
      <c r="E42" s="128"/>
      <c r="F42" s="87"/>
      <c r="M42" s="41"/>
      <c r="N42" s="41"/>
      <c r="O42" s="41"/>
      <c r="P42" s="13"/>
      <c r="T42" s="13"/>
      <c r="U42" s="48"/>
      <c r="V42" s="78"/>
      <c r="W42" s="78"/>
      <c r="X42" s="78"/>
      <c r="Y42" s="78"/>
    </row>
    <row r="43" spans="1:25" s="78" customFormat="1" x14ac:dyDescent="0.25">
      <c r="A43" s="31" t="s">
        <v>12</v>
      </c>
      <c r="B43" s="103"/>
      <c r="C43" s="103"/>
      <c r="D43" s="137"/>
      <c r="E43" s="137"/>
      <c r="F43" s="114"/>
      <c r="M43" s="79"/>
      <c r="N43" s="79"/>
      <c r="O43" s="79"/>
      <c r="P43" s="79"/>
      <c r="T43" s="13"/>
      <c r="U43" s="48"/>
      <c r="V43"/>
      <c r="W43"/>
      <c r="X43"/>
      <c r="Y43"/>
    </row>
    <row r="44" spans="1:25" x14ac:dyDescent="0.25">
      <c r="A44" s="87" t="s">
        <v>89</v>
      </c>
      <c r="B44" s="104">
        <v>10</v>
      </c>
      <c r="C44" s="98" t="s">
        <v>8</v>
      </c>
      <c r="D44" s="145">
        <f>SUM(E10:E41)/2</f>
        <v>237814573.22232348</v>
      </c>
      <c r="E44" s="142">
        <f>D44*B45/100</f>
        <v>35672185.983348519</v>
      </c>
      <c r="F44" s="87"/>
      <c r="M44" s="13"/>
      <c r="N44" s="42"/>
      <c r="O44" s="24"/>
      <c r="P44" s="13"/>
      <c r="T44" s="13"/>
      <c r="U44" s="48"/>
    </row>
    <row r="45" spans="1:25" x14ac:dyDescent="0.25">
      <c r="A45" s="12" t="s">
        <v>90</v>
      </c>
      <c r="B45" s="110">
        <v>15</v>
      </c>
      <c r="C45" s="98" t="s">
        <v>8</v>
      </c>
      <c r="D45" s="146">
        <f>SUM(E10:E41)/2</f>
        <v>237814573.22232348</v>
      </c>
      <c r="E45" s="137">
        <f>D45*B46/100</f>
        <v>26159603.054455582</v>
      </c>
      <c r="F45" s="87"/>
      <c r="M45" s="13"/>
      <c r="N45" s="13"/>
      <c r="O45" s="13"/>
      <c r="P45" s="13"/>
      <c r="T45" s="13"/>
      <c r="U45" s="48"/>
    </row>
    <row r="46" spans="1:25" x14ac:dyDescent="0.25">
      <c r="A46" s="12" t="s">
        <v>19</v>
      </c>
      <c r="B46" s="110">
        <v>11</v>
      </c>
      <c r="C46" s="98" t="s">
        <v>8</v>
      </c>
      <c r="D46" s="146">
        <f>SUM(E10:E41)/2+SUM(D44:D45)+SUM(D47:D49)</f>
        <v>1426887439.333941</v>
      </c>
      <c r="E46" s="137">
        <f t="shared" ref="E46:E49" si="1">D46*B46/100</f>
        <v>156957618.3267335</v>
      </c>
      <c r="F46" s="87"/>
      <c r="T46" s="13"/>
      <c r="U46" s="48"/>
    </row>
    <row r="47" spans="1:25" x14ac:dyDescent="0.25">
      <c r="A47" s="12" t="s">
        <v>13</v>
      </c>
      <c r="B47" s="110">
        <v>5</v>
      </c>
      <c r="C47" s="98" t="s">
        <v>8</v>
      </c>
      <c r="D47" s="146">
        <f>SUM(E10:E41)/2</f>
        <v>237814573.22232348</v>
      </c>
      <c r="E47" s="137">
        <f t="shared" si="1"/>
        <v>11890728.661116173</v>
      </c>
      <c r="F47" s="87"/>
      <c r="T47" s="13"/>
      <c r="U47" s="48"/>
    </row>
    <row r="48" spans="1:25" x14ac:dyDescent="0.25">
      <c r="A48" s="12" t="s">
        <v>14</v>
      </c>
      <c r="B48" s="110">
        <v>10</v>
      </c>
      <c r="C48" s="98" t="s">
        <v>8</v>
      </c>
      <c r="D48" s="146">
        <f>SUM(E10:E41)/2</f>
        <v>237814573.22232348</v>
      </c>
      <c r="E48" s="137">
        <f t="shared" si="1"/>
        <v>23781457.322232347</v>
      </c>
      <c r="F48" s="87"/>
      <c r="T48" s="13"/>
      <c r="U48" s="48"/>
    </row>
    <row r="49" spans="1:21" x14ac:dyDescent="0.25">
      <c r="A49" s="18" t="s">
        <v>15</v>
      </c>
      <c r="B49" s="105">
        <v>10</v>
      </c>
      <c r="C49" s="103" t="s">
        <v>8</v>
      </c>
      <c r="D49" s="116">
        <f>SUM(E10:E41)/2</f>
        <v>237814573.22232348</v>
      </c>
      <c r="E49" s="117">
        <f t="shared" si="1"/>
        <v>23781457.322232347</v>
      </c>
      <c r="F49" s="87"/>
      <c r="T49" s="13"/>
      <c r="U49" s="48"/>
    </row>
    <row r="50" spans="1:21" x14ac:dyDescent="0.25">
      <c r="A50" s="87" t="s">
        <v>7</v>
      </c>
      <c r="B50" s="127"/>
      <c r="C50" s="127"/>
      <c r="D50" s="128"/>
      <c r="E50" s="128">
        <f>SUM(E44:E49)</f>
        <v>278243050.67011845</v>
      </c>
      <c r="F50" s="87"/>
      <c r="T50" s="13"/>
      <c r="U50" s="48"/>
    </row>
    <row r="51" spans="1:21" x14ac:dyDescent="0.25">
      <c r="A51" s="74"/>
      <c r="B51" s="98"/>
      <c r="C51" s="98"/>
      <c r="D51" s="137"/>
      <c r="E51" s="121"/>
      <c r="F51" s="87"/>
      <c r="T51" s="13"/>
      <c r="U51" s="48"/>
    </row>
    <row r="52" spans="1:21" x14ac:dyDescent="0.25">
      <c r="A52" s="31" t="s">
        <v>16</v>
      </c>
      <c r="B52" s="122"/>
      <c r="C52" s="122"/>
      <c r="D52" s="123"/>
      <c r="E52" s="123"/>
      <c r="F52" s="87"/>
      <c r="T52" s="13"/>
      <c r="U52" s="48"/>
    </row>
    <row r="53" spans="1:21" x14ac:dyDescent="0.25">
      <c r="A53" s="106" t="s">
        <v>16</v>
      </c>
      <c r="B53" s="108">
        <v>30</v>
      </c>
      <c r="C53" s="108" t="s">
        <v>8</v>
      </c>
      <c r="D53" s="147">
        <f>SUM(E10:E50)/2</f>
        <v>516057623.89244193</v>
      </c>
      <c r="E53" s="139">
        <f>D53*B53/100</f>
        <v>154817287.1677326</v>
      </c>
      <c r="F53" s="87"/>
      <c r="T53" s="13"/>
      <c r="U53" s="48"/>
    </row>
    <row r="54" spans="1:21" x14ac:dyDescent="0.25">
      <c r="A54" s="87" t="s">
        <v>7</v>
      </c>
      <c r="B54" s="127"/>
      <c r="C54" s="127"/>
      <c r="D54" s="128"/>
      <c r="E54" s="128">
        <f>SUM(E53)</f>
        <v>154817287.1677326</v>
      </c>
      <c r="F54" s="87"/>
      <c r="T54" s="13"/>
      <c r="U54" s="48"/>
    </row>
    <row r="55" spans="1:21" x14ac:dyDescent="0.25">
      <c r="A55" s="87"/>
      <c r="B55" s="98"/>
      <c r="C55" s="98"/>
      <c r="D55" s="137"/>
      <c r="E55" s="137"/>
      <c r="F55" s="87"/>
      <c r="T55" s="13"/>
      <c r="U55" s="48"/>
    </row>
    <row r="56" spans="1:21" x14ac:dyDescent="0.25">
      <c r="A56" s="31" t="s">
        <v>91</v>
      </c>
      <c r="B56" s="122"/>
      <c r="C56" s="122"/>
      <c r="D56" s="123"/>
      <c r="E56" s="123"/>
      <c r="F56" s="87"/>
      <c r="T56" s="13"/>
      <c r="U56" s="48"/>
    </row>
    <row r="57" spans="1:21" x14ac:dyDescent="0.25">
      <c r="A57" s="18" t="s">
        <v>92</v>
      </c>
      <c r="B57" s="158">
        <f>X5*74/43560</f>
        <v>2.5718222462966795</v>
      </c>
      <c r="C57" s="103" t="s">
        <v>86</v>
      </c>
      <c r="D57" s="117">
        <v>500000</v>
      </c>
      <c r="E57" s="117">
        <f>B57*D57</f>
        <v>1285911.1231483398</v>
      </c>
      <c r="F57" s="101" t="s">
        <v>99</v>
      </c>
      <c r="T57" s="13"/>
      <c r="U57" s="48"/>
    </row>
    <row r="58" spans="1:21" x14ac:dyDescent="0.25">
      <c r="A58" s="101" t="s">
        <v>7</v>
      </c>
      <c r="B58" s="127"/>
      <c r="C58" s="127"/>
      <c r="D58" s="128"/>
      <c r="E58" s="128">
        <f>SUM(E57)</f>
        <v>1285911.1231483398</v>
      </c>
      <c r="F58" s="87"/>
      <c r="T58" s="13"/>
      <c r="U58" s="48"/>
    </row>
    <row r="59" spans="1:21" x14ac:dyDescent="0.25">
      <c r="A59" s="87"/>
      <c r="B59" s="87"/>
      <c r="C59" s="87"/>
      <c r="D59" s="87"/>
      <c r="E59" s="87"/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74" t="s">
        <v>94</v>
      </c>
      <c r="B61" s="110"/>
      <c r="C61" s="87"/>
      <c r="D61" s="104"/>
      <c r="E61" s="148">
        <f>SUM(E10:E54)/2</f>
        <v>670874911.06017447</v>
      </c>
      <c r="F61" s="87"/>
      <c r="T61" s="13"/>
      <c r="U61" s="48"/>
    </row>
    <row r="62" spans="1:21" x14ac:dyDescent="0.25">
      <c r="A62" s="87"/>
      <c r="B62" s="110"/>
      <c r="C62" s="110"/>
      <c r="D62" s="99"/>
      <c r="E62" s="130"/>
      <c r="F62" s="100"/>
      <c r="G62" s="2"/>
      <c r="T62" s="13"/>
      <c r="U62" s="48"/>
    </row>
    <row r="63" spans="1:21" x14ac:dyDescent="0.25">
      <c r="A63" s="74" t="s">
        <v>95</v>
      </c>
      <c r="B63" s="131"/>
      <c r="C63" s="110"/>
      <c r="D63" s="99"/>
      <c r="E63" s="100">
        <f>E58</f>
        <v>1285911.1231483398</v>
      </c>
      <c r="F63" s="87"/>
      <c r="T63" s="13"/>
      <c r="U63" s="48"/>
    </row>
    <row r="64" spans="1:21" x14ac:dyDescent="0.25">
      <c r="A64" s="87"/>
      <c r="B64" s="110"/>
      <c r="C64" s="110"/>
      <c r="D64" s="99"/>
      <c r="E64" s="99"/>
      <c r="F64" s="87"/>
      <c r="T64" s="13"/>
      <c r="U64" s="48"/>
    </row>
    <row r="65" spans="1:21" x14ac:dyDescent="0.25">
      <c r="A65" s="74" t="s">
        <v>93</v>
      </c>
      <c r="B65" s="87"/>
      <c r="C65" s="87"/>
      <c r="D65" s="87"/>
      <c r="E65" s="90">
        <f>+PMT(0.03375,50,-E61-E63,0)</f>
        <v>28013820.268324103</v>
      </c>
      <c r="F65" s="101" t="s">
        <v>98</v>
      </c>
      <c r="T65" s="13"/>
      <c r="U65" s="48"/>
    </row>
    <row r="66" spans="1:21" x14ac:dyDescent="0.25">
      <c r="A66" s="87"/>
      <c r="B66" s="87"/>
      <c r="C66" s="87"/>
      <c r="D66" s="87"/>
      <c r="E66" s="87"/>
      <c r="F66" s="87"/>
      <c r="T66" s="13"/>
      <c r="U66" s="48"/>
    </row>
    <row r="67" spans="1:21" x14ac:dyDescent="0.25">
      <c r="A67" s="92" t="s">
        <v>29</v>
      </c>
      <c r="B67" s="57"/>
      <c r="C67" s="57"/>
      <c r="D67" s="99"/>
      <c r="E67" s="137">
        <f>N31+P26</f>
        <v>11890728.661116175</v>
      </c>
      <c r="F67" s="87"/>
    </row>
    <row r="68" spans="1:21" x14ac:dyDescent="0.25">
      <c r="A68" s="74"/>
      <c r="B68" s="110"/>
      <c r="C68" s="110"/>
      <c r="D68" s="99"/>
      <c r="E68" s="99"/>
      <c r="F68" s="87"/>
    </row>
    <row r="69" spans="1:21" x14ac:dyDescent="0.25">
      <c r="A69" s="92" t="s">
        <v>80</v>
      </c>
      <c r="B69" s="87"/>
      <c r="C69" s="87"/>
      <c r="D69" s="87"/>
      <c r="E69" s="149">
        <f>+Y5</f>
        <v>931.64583365116562</v>
      </c>
      <c r="F69" s="87"/>
    </row>
    <row r="70" spans="1:21" x14ac:dyDescent="0.25">
      <c r="A70" s="57"/>
      <c r="B70" s="110"/>
      <c r="C70" s="110"/>
      <c r="D70" s="99"/>
      <c r="E70" s="99"/>
      <c r="F70" s="87"/>
    </row>
    <row r="71" spans="1:21" x14ac:dyDescent="0.25">
      <c r="A71" s="74" t="s">
        <v>96</v>
      </c>
      <c r="B71" s="110"/>
      <c r="C71" s="110"/>
      <c r="D71" s="99"/>
      <c r="E71" s="137">
        <f>+(E65+E67)/E69</f>
        <v>42832.316195793413</v>
      </c>
      <c r="F71" s="87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90" workbookViewId="0">
      <selection activeCell="W11" sqref="W11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45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 t="s">
        <v>45</v>
      </c>
      <c r="U6" s="68">
        <v>50</v>
      </c>
      <c r="V6" s="159">
        <v>4590.0477733036569</v>
      </c>
      <c r="W6" s="159">
        <v>4590.0477733036569</v>
      </c>
      <c r="X6" s="159">
        <v>0</v>
      </c>
      <c r="Y6" s="160">
        <v>117.86527561282018</v>
      </c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+W6</f>
        <v>4590.0477733036569</v>
      </c>
      <c r="C10" s="25" t="s">
        <v>6</v>
      </c>
      <c r="D10" s="11">
        <v>5</v>
      </c>
      <c r="E10" s="2">
        <f>+B10*D10</f>
        <v>22950.238866518284</v>
      </c>
      <c r="T10" s="67"/>
      <c r="U10" s="68"/>
      <c r="V10" s="159"/>
      <c r="W10" s="159"/>
      <c r="X10" s="159"/>
      <c r="Y10" s="160"/>
    </row>
    <row r="11" spans="1:25" x14ac:dyDescent="0.25">
      <c r="A11" s="12" t="s">
        <v>63</v>
      </c>
      <c r="B11" s="97">
        <f>+W6*10</f>
        <v>45900.477733036569</v>
      </c>
      <c r="C11" s="98" t="s">
        <v>64</v>
      </c>
      <c r="D11" s="99">
        <v>9</v>
      </c>
      <c r="E11" s="100">
        <f>+B11*D11</f>
        <v>413104.29959732911</v>
      </c>
      <c r="F11" s="101"/>
      <c r="T11" s="67"/>
      <c r="U11" s="68"/>
      <c r="V11" s="159"/>
      <c r="W11" s="159"/>
      <c r="X11" s="159"/>
      <c r="Y11" s="160"/>
    </row>
    <row r="12" spans="1:25" x14ac:dyDescent="0.25">
      <c r="A12" s="18" t="s">
        <v>65</v>
      </c>
      <c r="B12" s="102">
        <f>+W6*20*10/27</f>
        <v>34000.353876323381</v>
      </c>
      <c r="C12" s="103" t="s">
        <v>17</v>
      </c>
      <c r="D12" s="96">
        <v>25</v>
      </c>
      <c r="E12" s="96">
        <f>+B12*D12</f>
        <v>850008.84690808458</v>
      </c>
      <c r="F12" s="101"/>
      <c r="T12" s="67"/>
      <c r="U12" s="68"/>
      <c r="V12" s="159"/>
      <c r="W12" s="159"/>
      <c r="X12" s="159"/>
      <c r="Y12" s="160"/>
    </row>
    <row r="13" spans="1:25" x14ac:dyDescent="0.25">
      <c r="A13" s="87" t="s">
        <v>7</v>
      </c>
      <c r="B13" s="104"/>
      <c r="C13" s="104"/>
      <c r="D13" s="100"/>
      <c r="E13" s="100">
        <f>SUM(E10:E12)</f>
        <v>1286063.3853719321</v>
      </c>
      <c r="F13" s="87"/>
      <c r="T13" s="67"/>
      <c r="U13" s="68"/>
      <c r="V13" s="159"/>
      <c r="W13" s="159"/>
      <c r="X13" s="159"/>
      <c r="Y13" s="160"/>
    </row>
    <row r="14" spans="1:25" x14ac:dyDescent="0.25">
      <c r="A14" s="87"/>
      <c r="B14" s="104"/>
      <c r="C14" s="104"/>
      <c r="D14" s="100"/>
      <c r="E14" s="100"/>
      <c r="F14" s="87"/>
      <c r="T14" s="67"/>
      <c r="U14" s="68"/>
      <c r="V14" s="159"/>
      <c r="W14" s="159"/>
      <c r="X14" s="159"/>
      <c r="Y14" s="160"/>
    </row>
    <row r="15" spans="1:25" x14ac:dyDescent="0.25">
      <c r="A15" s="94" t="s">
        <v>66</v>
      </c>
      <c r="B15" s="95"/>
      <c r="C15" s="95"/>
      <c r="D15" s="96"/>
      <c r="E15" s="96"/>
      <c r="F15" s="87"/>
      <c r="T15" s="67"/>
      <c r="U15" s="68"/>
      <c r="V15" s="159"/>
      <c r="W15" s="159"/>
      <c r="X15" s="159"/>
      <c r="Y15" s="160"/>
    </row>
    <row r="16" spans="1:25" x14ac:dyDescent="0.25">
      <c r="A16" s="12" t="s">
        <v>10</v>
      </c>
      <c r="B16" s="97">
        <f>+W6*1*10</f>
        <v>45900.477733036569</v>
      </c>
      <c r="C16" s="98" t="s">
        <v>17</v>
      </c>
      <c r="D16" s="99">
        <v>400</v>
      </c>
      <c r="E16" s="100">
        <f>+B16*D16</f>
        <v>18360191.093214627</v>
      </c>
      <c r="F16" s="101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97">
        <f>+W6*1*20</f>
        <v>91800.955466073137</v>
      </c>
      <c r="C17" s="98" t="s">
        <v>17</v>
      </c>
      <c r="D17" s="99">
        <v>25</v>
      </c>
      <c r="E17" s="100">
        <f>+B17*D17</f>
        <v>2295023.8866518284</v>
      </c>
      <c r="F17" s="101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97">
        <f>+W6*20</f>
        <v>91800.955466073137</v>
      </c>
      <c r="C18" s="98" t="s">
        <v>17</v>
      </c>
      <c r="D18" s="99">
        <v>100</v>
      </c>
      <c r="E18" s="100">
        <f>+B18*D18</f>
        <v>9180095.5466073137</v>
      </c>
      <c r="F18" s="101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102">
        <f>+W6</f>
        <v>4590.0477733036569</v>
      </c>
      <c r="C19" s="103" t="s">
        <v>6</v>
      </c>
      <c r="D19" s="96">
        <v>25</v>
      </c>
      <c r="E19" s="150">
        <f>+B19*D19</f>
        <v>114751.19433259142</v>
      </c>
      <c r="F19" s="87"/>
      <c r="L19" s="59"/>
      <c r="U19" s="60"/>
      <c r="V19" s="61"/>
      <c r="W19" s="57"/>
      <c r="X19" s="87"/>
      <c r="Y19" s="87"/>
    </row>
    <row r="20" spans="1:25" x14ac:dyDescent="0.25">
      <c r="A20" s="87" t="s">
        <v>7</v>
      </c>
      <c r="B20" s="104"/>
      <c r="C20" s="104"/>
      <c r="D20" s="100"/>
      <c r="E20" s="100">
        <f>SUM(E16:E19)</f>
        <v>29950061.72080636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A21" s="87"/>
      <c r="B21" s="104"/>
      <c r="C21" s="104"/>
      <c r="D21" s="100"/>
      <c r="E21" s="100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94" t="s">
        <v>70</v>
      </c>
      <c r="B22" s="105"/>
      <c r="C22" s="105"/>
      <c r="D22" s="96"/>
      <c r="E22" s="96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106" t="s">
        <v>10</v>
      </c>
      <c r="B23" s="107">
        <f>+(W6/200+1)*(U6+20)*2*2/27</f>
        <v>248.37284750463405</v>
      </c>
      <c r="C23" s="108" t="s">
        <v>17</v>
      </c>
      <c r="D23" s="109">
        <v>400</v>
      </c>
      <c r="E23" s="109">
        <f t="shared" ref="E23" si="0">+B23*D23</f>
        <v>99349.139001853619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s="87" t="s">
        <v>7</v>
      </c>
      <c r="B24" s="104"/>
      <c r="C24" s="104"/>
      <c r="D24" s="100"/>
      <c r="E24" s="100">
        <f>SUM(E23:E23)</f>
        <v>99349.139001853619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10"/>
      <c r="C25" s="110"/>
      <c r="D25" s="99"/>
      <c r="E25" s="100"/>
      <c r="F25" s="87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M27" s="13"/>
      <c r="N27" s="13"/>
      <c r="O27" s="13"/>
      <c r="P27" s="13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97">
        <f>+ROUND(X6/540,0)</f>
        <v>0</v>
      </c>
      <c r="C29" s="98" t="s">
        <v>5</v>
      </c>
      <c r="D29" s="99">
        <f>+SUM(E27:E28)</f>
        <v>5022882.059609971</v>
      </c>
      <c r="E29" s="151">
        <f>+(B29-1)*D29</f>
        <v>-5022882.059609971</v>
      </c>
      <c r="F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18" t="s">
        <v>92</v>
      </c>
      <c r="B30" s="126">
        <f>X6*74/43560</f>
        <v>0</v>
      </c>
      <c r="C30" s="103" t="s">
        <v>86</v>
      </c>
      <c r="D30" s="117">
        <v>500000</v>
      </c>
      <c r="E30" s="117">
        <f>B30*D30</f>
        <v>0</v>
      </c>
      <c r="F30" s="87"/>
      <c r="M30" s="13"/>
      <c r="N30" s="13"/>
      <c r="O30" s="13"/>
      <c r="T30" s="13"/>
      <c r="U30" s="48"/>
    </row>
    <row r="31" spans="1:25" x14ac:dyDescent="0.25">
      <c r="A31" s="87" t="s">
        <v>7</v>
      </c>
      <c r="B31" s="104"/>
      <c r="C31" s="104"/>
      <c r="D31" s="100"/>
      <c r="E31" s="100">
        <f>SUM(E27:E30)</f>
        <v>0</v>
      </c>
      <c r="F31" s="87"/>
      <c r="M31" s="49">
        <v>0.05</v>
      </c>
      <c r="N31" s="47">
        <f>+M31*SUM(E10:E42)/2</f>
        <v>1895796.1918333992</v>
      </c>
      <c r="O31" s="13">
        <v>50</v>
      </c>
      <c r="Q31" s="2"/>
      <c r="T31" s="13"/>
      <c r="U31" s="48"/>
    </row>
    <row r="32" spans="1:25" x14ac:dyDescent="0.25">
      <c r="A32" s="74"/>
      <c r="B32" s="110"/>
      <c r="C32" s="110"/>
      <c r="D32" s="99"/>
      <c r="E32" s="99"/>
      <c r="F32" s="87"/>
      <c r="T32" s="13"/>
      <c r="U32" s="48"/>
    </row>
    <row r="33" spans="1:21" x14ac:dyDescent="0.25">
      <c r="A33" s="31" t="s">
        <v>75</v>
      </c>
      <c r="B33" s="105"/>
      <c r="C33" s="105"/>
      <c r="D33" s="96"/>
      <c r="E33" s="96"/>
      <c r="F33" s="87"/>
      <c r="T33" s="13"/>
      <c r="U33" s="48"/>
    </row>
    <row r="34" spans="1:21" x14ac:dyDescent="0.25">
      <c r="A34" s="12" t="s">
        <v>76</v>
      </c>
      <c r="B34" s="97">
        <f>+X6</f>
        <v>0</v>
      </c>
      <c r="C34" s="98" t="s">
        <v>6</v>
      </c>
      <c r="D34" s="99">
        <v>25</v>
      </c>
      <c r="E34" s="100">
        <f>+B34*D34</f>
        <v>0</v>
      </c>
      <c r="F34" s="87"/>
      <c r="T34" s="13"/>
      <c r="U34" s="48"/>
    </row>
    <row r="35" spans="1:21" x14ac:dyDescent="0.25">
      <c r="A35" s="18" t="s">
        <v>77</v>
      </c>
      <c r="B35" s="102">
        <f>20*X6</f>
        <v>0</v>
      </c>
      <c r="C35" s="103" t="s">
        <v>64</v>
      </c>
      <c r="D35" s="96">
        <v>25</v>
      </c>
      <c r="E35" s="96">
        <f>+B35*D35</f>
        <v>0</v>
      </c>
      <c r="F35" s="101"/>
      <c r="T35" s="13"/>
      <c r="U35" s="48"/>
    </row>
    <row r="36" spans="1:21" x14ac:dyDescent="0.25">
      <c r="A36" s="87" t="s">
        <v>7</v>
      </c>
      <c r="B36" s="104"/>
      <c r="C36" s="104"/>
      <c r="D36" s="100"/>
      <c r="E36" s="100">
        <f>+SUM(E34:E35)</f>
        <v>0</v>
      </c>
      <c r="F36" s="87"/>
      <c r="M36" s="41"/>
      <c r="N36" s="41"/>
      <c r="O36" s="41"/>
      <c r="P36" s="13"/>
      <c r="T36" s="13"/>
      <c r="U36" s="48"/>
    </row>
    <row r="37" spans="1:21" x14ac:dyDescent="0.25">
      <c r="A37" s="114"/>
      <c r="B37" s="114"/>
      <c r="C37" s="114"/>
      <c r="D37" s="114"/>
      <c r="E37" s="114"/>
      <c r="F37" s="87"/>
      <c r="M37" s="41"/>
      <c r="N37" s="41"/>
      <c r="O37" s="41"/>
      <c r="P37" s="13"/>
      <c r="T37" s="79"/>
      <c r="U37" s="80"/>
    </row>
    <row r="38" spans="1:21" x14ac:dyDescent="0.25">
      <c r="A38" s="31" t="s">
        <v>83</v>
      </c>
      <c r="B38" s="115">
        <v>10</v>
      </c>
      <c r="C38" s="115" t="s">
        <v>8</v>
      </c>
      <c r="D38" s="152">
        <f>SUM(E10:E36)/2</f>
        <v>31335474.245180149</v>
      </c>
      <c r="E38" s="153">
        <f>D38*B38/100</f>
        <v>3133547.4245180148</v>
      </c>
      <c r="F38" s="87"/>
      <c r="M38" s="41"/>
      <c r="N38" s="41"/>
      <c r="O38" s="41"/>
      <c r="P38" s="13"/>
      <c r="T38" s="13"/>
      <c r="U38" s="48"/>
    </row>
    <row r="39" spans="1:21" x14ac:dyDescent="0.25">
      <c r="A39" s="87" t="s">
        <v>7</v>
      </c>
      <c r="B39" s="104"/>
      <c r="C39" s="104"/>
      <c r="D39" s="100"/>
      <c r="E39" s="100">
        <f>SUM(E38)</f>
        <v>3133547.4245180148</v>
      </c>
      <c r="F39" s="87"/>
      <c r="M39" s="41"/>
      <c r="N39" s="41"/>
      <c r="O39" s="41"/>
      <c r="P39" s="13"/>
      <c r="T39" s="13"/>
      <c r="U39" s="48"/>
    </row>
    <row r="40" spans="1:21" x14ac:dyDescent="0.25">
      <c r="A40" s="114"/>
      <c r="B40" s="114"/>
      <c r="C40" s="114"/>
      <c r="D40" s="114"/>
      <c r="E40" s="114"/>
      <c r="F40" s="87"/>
      <c r="M40" s="41"/>
      <c r="N40" s="41"/>
      <c r="O40" s="41"/>
      <c r="P40" s="13"/>
      <c r="T40" s="13"/>
      <c r="U40" s="48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34469021.669698164</v>
      </c>
      <c r="E41" s="153">
        <f>D41*B41/100</f>
        <v>3446902.1669698167</v>
      </c>
      <c r="F41" s="87"/>
      <c r="M41" s="41"/>
      <c r="N41" s="41"/>
      <c r="O41" s="41"/>
      <c r="P41" s="13"/>
      <c r="T41" s="13"/>
      <c r="U41" s="48"/>
    </row>
    <row r="42" spans="1:21" x14ac:dyDescent="0.25">
      <c r="A42" s="87" t="s">
        <v>7</v>
      </c>
      <c r="B42" s="104"/>
      <c r="C42" s="104"/>
      <c r="D42" s="100"/>
      <c r="E42" s="100">
        <f>SUM(E41)</f>
        <v>3446902.1669698167</v>
      </c>
      <c r="F42" s="87"/>
      <c r="M42" s="41"/>
      <c r="N42" s="41"/>
      <c r="O42" s="41"/>
      <c r="P42" s="13"/>
      <c r="T42" s="13"/>
      <c r="U42" s="48"/>
    </row>
    <row r="43" spans="1:21" s="78" customFormat="1" x14ac:dyDescent="0.25">
      <c r="A43" s="87"/>
      <c r="B43" s="104"/>
      <c r="C43" s="104"/>
      <c r="D43" s="100"/>
      <c r="E43" s="100"/>
      <c r="F43" s="114"/>
      <c r="M43" s="79"/>
      <c r="N43" s="79"/>
      <c r="O43" s="79"/>
      <c r="P43" s="79"/>
      <c r="T43" s="13"/>
      <c r="U43" s="48"/>
    </row>
    <row r="44" spans="1:21" x14ac:dyDescent="0.25">
      <c r="A44" s="31" t="s">
        <v>12</v>
      </c>
      <c r="B44" s="105"/>
      <c r="C44" s="105"/>
      <c r="D44" s="99"/>
      <c r="E44" s="99"/>
      <c r="F44" s="87"/>
      <c r="M44" s="13"/>
      <c r="N44" s="42"/>
      <c r="O44" s="24"/>
      <c r="P44" s="13"/>
      <c r="T44" s="13"/>
      <c r="U44" s="48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SUM(E10:E42)/2</f>
        <v>37915923.836667985</v>
      </c>
      <c r="E45" s="113">
        <f>D45*B45/100</f>
        <v>3791592.3836667985</v>
      </c>
      <c r="F45" s="87"/>
      <c r="M45" s="13"/>
      <c r="N45" s="13"/>
      <c r="O45" s="13"/>
      <c r="P45" s="13"/>
      <c r="T45" s="13"/>
      <c r="U45" s="48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37915923.836667985</v>
      </c>
      <c r="E46" s="99">
        <f>D46*B46/100</f>
        <v>5687388.5755001977</v>
      </c>
      <c r="F46" s="87"/>
      <c r="T46" s="13"/>
      <c r="U46" s="48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227495543.02000791</v>
      </c>
      <c r="E47" s="99">
        <f t="shared" ref="E47:E50" si="1">D47*B47/100</f>
        <v>25024509.732200872</v>
      </c>
      <c r="F47" s="87"/>
      <c r="T47" s="13"/>
      <c r="U47" s="48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37915923.836667985</v>
      </c>
      <c r="E48" s="99">
        <f t="shared" si="1"/>
        <v>1895796.1918333992</v>
      </c>
      <c r="F48" s="87"/>
      <c r="T48" s="13"/>
      <c r="U48" s="48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37915923.836667985</v>
      </c>
      <c r="E49" s="99">
        <f t="shared" si="1"/>
        <v>3791592.3836667985</v>
      </c>
      <c r="F49" s="87"/>
      <c r="T49" s="13"/>
      <c r="U49" s="48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37915923.836667985</v>
      </c>
      <c r="E50" s="96">
        <f t="shared" si="1"/>
        <v>3791592.3836667985</v>
      </c>
      <c r="F50" s="87"/>
      <c r="T50" s="13"/>
      <c r="U50" s="48"/>
    </row>
    <row r="51" spans="1:21" x14ac:dyDescent="0.25">
      <c r="A51" s="87" t="s">
        <v>7</v>
      </c>
      <c r="B51" s="104"/>
      <c r="C51" s="104"/>
      <c r="D51" s="100"/>
      <c r="E51" s="100">
        <f>SUM(E45:E50)</f>
        <v>43982471.650534861</v>
      </c>
      <c r="F51" s="87"/>
      <c r="T51" s="13"/>
      <c r="U51" s="48"/>
    </row>
    <row r="52" spans="1:21" x14ac:dyDescent="0.25">
      <c r="A52" s="74"/>
      <c r="B52" s="110"/>
      <c r="C52" s="110"/>
      <c r="D52" s="99"/>
      <c r="E52" s="121"/>
      <c r="F52" s="87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81898395.487202853</v>
      </c>
      <c r="E54" s="109">
        <f>D54*B54/100</f>
        <v>24569518.646160856</v>
      </c>
      <c r="F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24569518.646160856</v>
      </c>
      <c r="F55" s="87"/>
      <c r="T55" s="13"/>
      <c r="U55" s="48"/>
    </row>
    <row r="56" spans="1:21" x14ac:dyDescent="0.25">
      <c r="A56" s="87"/>
      <c r="B56" s="110"/>
      <c r="C56" s="110"/>
      <c r="D56" s="99"/>
      <c r="E56" s="99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X6*74/43560</f>
        <v>0</v>
      </c>
      <c r="C58" s="103" t="s">
        <v>86</v>
      </c>
      <c r="D58" s="117">
        <v>500000</v>
      </c>
      <c r="E58" s="117">
        <f>B58*D58</f>
        <v>0</v>
      </c>
      <c r="F58" s="87"/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0</v>
      </c>
      <c r="F59" s="101" t="s">
        <v>99</v>
      </c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106467914.13336369</v>
      </c>
      <c r="F62" s="87"/>
      <c r="T62" s="13"/>
      <c r="U62" s="48"/>
    </row>
    <row r="63" spans="1:21" x14ac:dyDescent="0.25">
      <c r="A63" s="87"/>
      <c r="B63" s="110"/>
      <c r="C63" s="110"/>
      <c r="D63" s="99"/>
      <c r="E63" s="130"/>
      <c r="F63" s="100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0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4437290.767985221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1895796.1918333992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+Y6</f>
        <v>117.86527561282018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53731.5755373313</v>
      </c>
      <c r="F72" s="87"/>
      <c r="G72" s="2"/>
      <c r="T72" s="13"/>
      <c r="U72" s="48"/>
    </row>
    <row r="73" spans="1:21" x14ac:dyDescent="0.25">
      <c r="T73" s="13"/>
      <c r="U73" s="48"/>
    </row>
    <row r="74" spans="1:21" x14ac:dyDescent="0.25">
      <c r="T74" s="13"/>
      <c r="U74" s="48"/>
    </row>
    <row r="75" spans="1:21" x14ac:dyDescent="0.25"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90" workbookViewId="0">
      <selection activeCell="T17" sqref="T17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5.33203125" bestFit="1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162"/>
      <c r="W3" s="162"/>
      <c r="X3" s="162"/>
      <c r="Y3" s="162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46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 t="s">
        <v>46</v>
      </c>
      <c r="U7" s="68">
        <v>50</v>
      </c>
      <c r="V7" s="159">
        <v>30032.483983783</v>
      </c>
      <c r="W7" s="159">
        <v>28530.859784593849</v>
      </c>
      <c r="X7" s="159">
        <v>1501.6241991891511</v>
      </c>
      <c r="Y7" s="160">
        <v>601.19870127561762</v>
      </c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12" t="s">
        <v>62</v>
      </c>
      <c r="B10" s="97">
        <f>W7</f>
        <v>28530.859784593849</v>
      </c>
      <c r="C10" s="98" t="s">
        <v>6</v>
      </c>
      <c r="D10" s="99">
        <v>5</v>
      </c>
      <c r="E10" s="100">
        <f>+B10*D10</f>
        <v>142654.29892296926</v>
      </c>
      <c r="F10" s="87"/>
      <c r="T10" s="67"/>
      <c r="U10" s="68"/>
      <c r="V10" s="159"/>
      <c r="W10" s="159"/>
      <c r="X10" s="159"/>
      <c r="Y10" s="160"/>
    </row>
    <row r="11" spans="1:25" x14ac:dyDescent="0.25">
      <c r="A11" s="12" t="s">
        <v>63</v>
      </c>
      <c r="B11" s="97">
        <f>+W7*10</f>
        <v>285308.59784593852</v>
      </c>
      <c r="C11" s="98" t="s">
        <v>64</v>
      </c>
      <c r="D11" s="99">
        <v>9</v>
      </c>
      <c r="E11" s="100">
        <f>+B11*D11</f>
        <v>2567777.3806134467</v>
      </c>
      <c r="F11" s="101"/>
      <c r="T11" s="67"/>
      <c r="U11" s="68"/>
      <c r="V11" s="159"/>
      <c r="W11" s="159"/>
      <c r="X11" s="159"/>
      <c r="Y11" s="160"/>
    </row>
    <row r="12" spans="1:25" x14ac:dyDescent="0.25">
      <c r="A12" s="18" t="s">
        <v>65</v>
      </c>
      <c r="B12" s="102">
        <f>+W7*20*10/27</f>
        <v>211339.70210810262</v>
      </c>
      <c r="C12" s="103" t="s">
        <v>17</v>
      </c>
      <c r="D12" s="96">
        <v>25</v>
      </c>
      <c r="E12" s="96">
        <f>+B12*D12</f>
        <v>5283492.5527025657</v>
      </c>
      <c r="F12" s="101"/>
      <c r="T12" s="67"/>
      <c r="U12" s="68"/>
      <c r="V12" s="159"/>
      <c r="W12" s="159"/>
      <c r="X12" s="159"/>
      <c r="Y12" s="160"/>
    </row>
    <row r="13" spans="1:25" x14ac:dyDescent="0.25">
      <c r="A13" s="87" t="s">
        <v>7</v>
      </c>
      <c r="B13" s="104"/>
      <c r="C13" s="104"/>
      <c r="D13" s="100"/>
      <c r="E13" s="100">
        <f>SUM(E10:E12)</f>
        <v>7993924.2322389819</v>
      </c>
      <c r="F13" s="87"/>
      <c r="T13" s="67"/>
      <c r="U13" s="68"/>
      <c r="V13" s="159"/>
      <c r="W13" s="159"/>
      <c r="X13" s="159"/>
      <c r="Y13" s="160"/>
    </row>
    <row r="14" spans="1:25" x14ac:dyDescent="0.25">
      <c r="A14" s="87"/>
      <c r="B14" s="104"/>
      <c r="C14" s="104"/>
      <c r="D14" s="100"/>
      <c r="E14" s="100"/>
      <c r="F14" s="87"/>
      <c r="T14" s="67"/>
      <c r="U14" s="68"/>
      <c r="V14" s="159"/>
      <c r="W14" s="159"/>
      <c r="X14" s="159"/>
      <c r="Y14" s="160"/>
    </row>
    <row r="15" spans="1:25" x14ac:dyDescent="0.25">
      <c r="A15" s="94" t="s">
        <v>66</v>
      </c>
      <c r="B15" s="95"/>
      <c r="C15" s="95"/>
      <c r="D15" s="96"/>
      <c r="E15" s="96"/>
      <c r="F15" s="87"/>
      <c r="T15" s="67"/>
      <c r="U15" s="68"/>
      <c r="V15" s="159"/>
      <c r="W15" s="159"/>
      <c r="X15" s="159"/>
      <c r="Y15" s="160"/>
    </row>
    <row r="16" spans="1:25" x14ac:dyDescent="0.25">
      <c r="A16" s="12" t="s">
        <v>10</v>
      </c>
      <c r="B16" s="97">
        <f>+W7*1*10</f>
        <v>285308.59784593852</v>
      </c>
      <c r="C16" s="98" t="s">
        <v>17</v>
      </c>
      <c r="D16" s="99">
        <v>400</v>
      </c>
      <c r="E16" s="100">
        <f>+B16*D16</f>
        <v>114123439.1383754</v>
      </c>
      <c r="F16" s="101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97">
        <f>+W7*1*20</f>
        <v>570617.19569187704</v>
      </c>
      <c r="C17" s="98" t="s">
        <v>17</v>
      </c>
      <c r="D17" s="99">
        <v>25</v>
      </c>
      <c r="E17" s="100">
        <f>+B17*D17</f>
        <v>14265429.892296925</v>
      </c>
      <c r="F17" s="101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97">
        <f>+W7*20</f>
        <v>570617.19569187704</v>
      </c>
      <c r="C18" s="98" t="s">
        <v>17</v>
      </c>
      <c r="D18" s="99">
        <v>100</v>
      </c>
      <c r="E18" s="100">
        <f>+B18*D18</f>
        <v>57061719.569187701</v>
      </c>
      <c r="F18" s="101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102">
        <f>+W7</f>
        <v>28530.859784593849</v>
      </c>
      <c r="C19" s="103" t="s">
        <v>6</v>
      </c>
      <c r="D19" s="96">
        <v>25</v>
      </c>
      <c r="E19" s="150">
        <f>+B19*D19</f>
        <v>713271.49461484619</v>
      </c>
      <c r="F19" s="87"/>
      <c r="L19" s="59"/>
      <c r="U19" s="60"/>
      <c r="V19" s="61"/>
      <c r="W19" s="57"/>
      <c r="X19" s="87"/>
      <c r="Y19" s="87"/>
    </row>
    <row r="20" spans="1:25" x14ac:dyDescent="0.25">
      <c r="A20" s="87" t="s">
        <v>7</v>
      </c>
      <c r="B20" s="104"/>
      <c r="C20" s="104"/>
      <c r="D20" s="100"/>
      <c r="E20" s="100">
        <f>SUM(E16:E19)</f>
        <v>186163860.09447485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A21" s="87"/>
      <c r="B21" s="104"/>
      <c r="C21" s="104"/>
      <c r="D21" s="100"/>
      <c r="E21" s="100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94" t="s">
        <v>70</v>
      </c>
      <c r="B22" s="105"/>
      <c r="C22" s="105"/>
      <c r="D22" s="96"/>
      <c r="E22" s="96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106" t="s">
        <v>10</v>
      </c>
      <c r="B23" s="107">
        <f>+(W7/200+1)*(U7+20)*2*2/27</f>
        <v>1489.7482851270886</v>
      </c>
      <c r="C23" s="108" t="s">
        <v>17</v>
      </c>
      <c r="D23" s="109">
        <v>400</v>
      </c>
      <c r="E23" s="109">
        <f t="shared" ref="E23" si="0">+B23*D23</f>
        <v>595899.31405083544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s="87" t="s">
        <v>7</v>
      </c>
      <c r="B24" s="104"/>
      <c r="C24" s="104"/>
      <c r="D24" s="100"/>
      <c r="E24" s="100">
        <f>SUM(E23:E23)</f>
        <v>595899.31405083544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10"/>
      <c r="C25" s="110"/>
      <c r="D25" s="99"/>
      <c r="E25" s="100"/>
      <c r="F25" s="87"/>
      <c r="M25" s="13"/>
      <c r="N25" s="13"/>
      <c r="O25" s="13"/>
      <c r="P25" s="13"/>
    </row>
    <row r="26" spans="1:25" x14ac:dyDescent="0.25">
      <c r="A26" s="31" t="s">
        <v>71</v>
      </c>
      <c r="B26" s="105"/>
      <c r="C26" s="105"/>
      <c r="D26" s="96"/>
      <c r="E26" s="96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97">
        <f>5/3*(50*500+(50+2*5*3)*(500+2*5*3)+SQRT(50*500*(50+2*5*3)*(500+2*5*3)))</f>
        <v>166596.06865366569</v>
      </c>
      <c r="C27" s="98" t="s">
        <v>17</v>
      </c>
      <c r="D27" s="99">
        <v>30</v>
      </c>
      <c r="E27" s="100">
        <f>+B27*D27</f>
        <v>4997882.059609971</v>
      </c>
      <c r="F27" s="87"/>
      <c r="M27" s="13"/>
      <c r="N27" s="13"/>
      <c r="O27" s="13"/>
      <c r="P27" s="13"/>
    </row>
    <row r="28" spans="1:25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97">
        <f>+ROUND(X7/540,0)</f>
        <v>3</v>
      </c>
      <c r="C29" s="98" t="s">
        <v>5</v>
      </c>
      <c r="D29" s="99">
        <f>+SUM(E27:E28)</f>
        <v>5022882.059609971</v>
      </c>
      <c r="E29" s="99">
        <f>+(B29-1)*D29</f>
        <v>10045764.119219942</v>
      </c>
      <c r="F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18" t="s">
        <v>92</v>
      </c>
      <c r="B30" s="126">
        <f>X7*74/43560</f>
        <v>2.5509685661156376</v>
      </c>
      <c r="C30" s="103" t="s">
        <v>86</v>
      </c>
      <c r="D30" s="117">
        <v>500000</v>
      </c>
      <c r="E30" s="144">
        <f>D30*B30</f>
        <v>1275484.2830578189</v>
      </c>
      <c r="F30" s="87"/>
      <c r="M30" s="13"/>
      <c r="N30" s="13"/>
      <c r="O30" s="13"/>
      <c r="T30" s="13"/>
      <c r="U30" s="48"/>
    </row>
    <row r="31" spans="1:25" x14ac:dyDescent="0.25">
      <c r="A31" s="87" t="s">
        <v>7</v>
      </c>
      <c r="B31" s="104"/>
      <c r="C31" s="104"/>
      <c r="D31" s="100"/>
      <c r="E31" s="100">
        <f>SUM(E27:E30)</f>
        <v>16344130.46188773</v>
      </c>
      <c r="F31" s="87"/>
      <c r="M31" s="49">
        <v>0.05</v>
      </c>
      <c r="N31" s="47">
        <f>+M31*SUM(E10:E42)/2</f>
        <v>12819113.091837216</v>
      </c>
      <c r="O31" s="13">
        <v>50</v>
      </c>
      <c r="Q31" s="2"/>
      <c r="T31" s="13"/>
      <c r="U31" s="48"/>
    </row>
    <row r="32" spans="1:25" x14ac:dyDescent="0.25">
      <c r="A32" s="74"/>
      <c r="B32" s="110"/>
      <c r="C32" s="110"/>
      <c r="D32" s="99"/>
      <c r="E32" s="99"/>
      <c r="F32" s="87"/>
      <c r="T32" s="13"/>
      <c r="U32" s="48"/>
    </row>
    <row r="33" spans="1:21" x14ac:dyDescent="0.25">
      <c r="A33" s="31" t="s">
        <v>75</v>
      </c>
      <c r="B33" s="105"/>
      <c r="C33" s="105"/>
      <c r="D33" s="96"/>
      <c r="E33" s="96"/>
      <c r="F33" s="87"/>
      <c r="T33" s="13"/>
      <c r="U33" s="48"/>
    </row>
    <row r="34" spans="1:21" x14ac:dyDescent="0.25">
      <c r="A34" s="12" t="s">
        <v>76</v>
      </c>
      <c r="B34" s="97">
        <f>+X7</f>
        <v>1501.6241991891511</v>
      </c>
      <c r="C34" s="98" t="s">
        <v>6</v>
      </c>
      <c r="D34" s="99">
        <v>25</v>
      </c>
      <c r="E34" s="100">
        <f>+B34*D34</f>
        <v>37540.604979728778</v>
      </c>
      <c r="F34" s="87"/>
      <c r="T34" s="13"/>
      <c r="U34" s="48"/>
    </row>
    <row r="35" spans="1:21" x14ac:dyDescent="0.25">
      <c r="A35" s="18" t="s">
        <v>77</v>
      </c>
      <c r="B35" s="102">
        <f>20*X7</f>
        <v>30032.483983783022</v>
      </c>
      <c r="C35" s="103" t="s">
        <v>64</v>
      </c>
      <c r="D35" s="96">
        <v>25</v>
      </c>
      <c r="E35" s="96">
        <f>+B35*D35</f>
        <v>750812.09959457559</v>
      </c>
      <c r="F35" s="101"/>
      <c r="T35" s="13"/>
      <c r="U35" s="48"/>
    </row>
    <row r="36" spans="1:21" x14ac:dyDescent="0.25">
      <c r="A36" s="87" t="s">
        <v>7</v>
      </c>
      <c r="B36" s="104"/>
      <c r="C36" s="104"/>
      <c r="D36" s="100"/>
      <c r="E36" s="100">
        <f>+SUM(E34:E35)</f>
        <v>788352.7045743044</v>
      </c>
      <c r="F36" s="87"/>
      <c r="M36" s="41"/>
      <c r="N36" s="41"/>
      <c r="O36" s="41"/>
      <c r="P36" s="13"/>
      <c r="T36" s="13"/>
      <c r="U36" s="48"/>
    </row>
    <row r="37" spans="1:21" x14ac:dyDescent="0.25">
      <c r="A37" s="114"/>
      <c r="B37" s="114"/>
      <c r="C37" s="114"/>
      <c r="D37" s="114"/>
      <c r="E37" s="114"/>
      <c r="F37" s="87"/>
      <c r="M37" s="41"/>
      <c r="N37" s="41"/>
      <c r="O37" s="41"/>
      <c r="P37" s="13"/>
      <c r="T37" s="79"/>
      <c r="U37" s="80"/>
    </row>
    <row r="38" spans="1:21" x14ac:dyDescent="0.25">
      <c r="A38" s="31" t="s">
        <v>83</v>
      </c>
      <c r="B38" s="115">
        <v>10</v>
      </c>
      <c r="C38" s="115" t="s">
        <v>8</v>
      </c>
      <c r="D38" s="152">
        <f>SUM(E10:E36)/2</f>
        <v>211886166.80722672</v>
      </c>
      <c r="E38" s="153">
        <f>D38*B38/100</f>
        <v>21188616.680722669</v>
      </c>
      <c r="F38" s="87"/>
      <c r="M38" s="41"/>
      <c r="N38" s="41"/>
      <c r="O38" s="41"/>
      <c r="P38" s="13"/>
      <c r="T38" s="13"/>
      <c r="U38" s="48"/>
    </row>
    <row r="39" spans="1:21" x14ac:dyDescent="0.25">
      <c r="A39" s="87" t="s">
        <v>7</v>
      </c>
      <c r="B39" s="104"/>
      <c r="C39" s="104"/>
      <c r="D39" s="100"/>
      <c r="E39" s="100">
        <f>SUM(E38)</f>
        <v>21188616.680722669</v>
      </c>
      <c r="F39" s="87"/>
      <c r="M39" s="41"/>
      <c r="N39" s="41"/>
      <c r="O39" s="41"/>
      <c r="P39" s="13"/>
      <c r="T39" s="13"/>
      <c r="U39" s="48"/>
    </row>
    <row r="40" spans="1:21" x14ac:dyDescent="0.25">
      <c r="A40" s="114"/>
      <c r="B40" s="114"/>
      <c r="C40" s="114"/>
      <c r="D40" s="114"/>
      <c r="E40" s="114"/>
      <c r="F40" s="87"/>
      <c r="M40" s="41"/>
      <c r="N40" s="41"/>
      <c r="O40" s="41"/>
      <c r="P40" s="13"/>
      <c r="T40" s="13"/>
      <c r="U40" s="48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233074783.48794937</v>
      </c>
      <c r="E41" s="153">
        <f>D41*B41/100</f>
        <v>23307478.348794937</v>
      </c>
      <c r="F41" s="87"/>
      <c r="M41" s="41"/>
      <c r="N41" s="41"/>
      <c r="O41" s="41"/>
      <c r="P41" s="13"/>
      <c r="T41" s="13"/>
      <c r="U41" s="48"/>
    </row>
    <row r="42" spans="1:21" x14ac:dyDescent="0.25">
      <c r="A42" s="87" t="s">
        <v>7</v>
      </c>
      <c r="B42" s="104"/>
      <c r="C42" s="104"/>
      <c r="D42" s="100"/>
      <c r="E42" s="100">
        <f>SUM(E41)</f>
        <v>23307478.348794937</v>
      </c>
      <c r="F42" s="87"/>
      <c r="M42" s="41"/>
      <c r="N42" s="41"/>
      <c r="O42" s="41"/>
      <c r="P42" s="13"/>
      <c r="T42" s="13"/>
      <c r="U42" s="48"/>
    </row>
    <row r="43" spans="1:21" s="78" customFormat="1" x14ac:dyDescent="0.25">
      <c r="A43" s="87"/>
      <c r="B43" s="104"/>
      <c r="C43" s="104"/>
      <c r="D43" s="100"/>
      <c r="E43" s="100"/>
      <c r="F43" s="114"/>
      <c r="M43" s="79"/>
      <c r="N43" s="79"/>
      <c r="O43" s="79"/>
      <c r="P43" s="79"/>
      <c r="T43" s="13"/>
      <c r="U43" s="48"/>
    </row>
    <row r="44" spans="1:21" x14ac:dyDescent="0.25">
      <c r="A44" s="31" t="s">
        <v>12</v>
      </c>
      <c r="B44" s="105"/>
      <c r="C44" s="105"/>
      <c r="D44" s="99"/>
      <c r="E44" s="99"/>
      <c r="F44" s="87"/>
      <c r="M44" s="13"/>
      <c r="N44" s="42"/>
      <c r="O44" s="24"/>
      <c r="P44" s="13"/>
      <c r="T44" s="13"/>
      <c r="U44" s="48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SUM(E10:E42)/2</f>
        <v>256382261.83674431</v>
      </c>
      <c r="E45" s="113">
        <f>D45*B45/100</f>
        <v>25638226.183674432</v>
      </c>
      <c r="F45" s="87"/>
      <c r="M45" s="13"/>
      <c r="N45" s="13"/>
      <c r="O45" s="13"/>
      <c r="P45" s="13"/>
      <c r="T45" s="13"/>
      <c r="U45" s="48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256382261.83674431</v>
      </c>
      <c r="E46" s="99">
        <f>D46*B46/100</f>
        <v>38457339.275511645</v>
      </c>
      <c r="F46" s="87"/>
      <c r="T46" s="13"/>
      <c r="U46" s="48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1538293571.0204659</v>
      </c>
      <c r="E47" s="99">
        <f t="shared" ref="E47:E50" si="1">D47*B47/100</f>
        <v>169212292.81225124</v>
      </c>
      <c r="F47" s="87"/>
      <c r="T47" s="13"/>
      <c r="U47" s="48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256382261.83674431</v>
      </c>
      <c r="E48" s="99">
        <f t="shared" si="1"/>
        <v>12819113.091837216</v>
      </c>
      <c r="F48" s="87"/>
      <c r="T48" s="13"/>
      <c r="U48" s="48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256382261.83674431</v>
      </c>
      <c r="E49" s="99">
        <f t="shared" si="1"/>
        <v>25638226.183674432</v>
      </c>
      <c r="F49" s="87"/>
      <c r="T49" s="13"/>
      <c r="U49" s="48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256382261.83674431</v>
      </c>
      <c r="E50" s="96">
        <f t="shared" si="1"/>
        <v>25638226.183674432</v>
      </c>
      <c r="F50" s="87"/>
      <c r="T50" s="13"/>
      <c r="U50" s="48"/>
    </row>
    <row r="51" spans="1:21" x14ac:dyDescent="0.25">
      <c r="A51" s="87" t="s">
        <v>7</v>
      </c>
      <c r="B51" s="104"/>
      <c r="C51" s="104"/>
      <c r="D51" s="100"/>
      <c r="E51" s="100">
        <f>SUM(E45:E50)</f>
        <v>297403423.73062342</v>
      </c>
      <c r="F51" s="87"/>
      <c r="T51" s="13"/>
      <c r="U51" s="48"/>
    </row>
    <row r="52" spans="1:21" x14ac:dyDescent="0.25">
      <c r="A52" s="74"/>
      <c r="B52" s="110"/>
      <c r="C52" s="110"/>
      <c r="D52" s="99"/>
      <c r="E52" s="121"/>
      <c r="F52" s="87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553785685.56736767</v>
      </c>
      <c r="E54" s="109">
        <f>D54*B54/100</f>
        <v>166135705.6702103</v>
      </c>
      <c r="F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166135705.6702103</v>
      </c>
      <c r="F55" s="87"/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X7*74/43560</f>
        <v>2.5509685661156376</v>
      </c>
      <c r="C58" s="103" t="s">
        <v>86</v>
      </c>
      <c r="D58" s="117">
        <v>500000</v>
      </c>
      <c r="E58" s="117">
        <f>B58*D58</f>
        <v>1275484.2830578189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1275484.2830578189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719921391.23757803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1275484.2830578189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30057508.533875514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12819113.091837216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+Y7</f>
        <v>601.19870127561762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71318.553308145085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zoomScaleNormal="100" zoomScaleSheetLayoutView="90" workbookViewId="0">
      <selection activeCell="T21" sqref="T21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6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6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6" x14ac:dyDescent="0.25">
      <c r="A3" s="16">
        <f>Summary!A3</f>
        <v>42275</v>
      </c>
      <c r="T3" s="67"/>
      <c r="U3" s="67"/>
      <c r="V3" s="69"/>
      <c r="W3" s="69"/>
      <c r="X3" s="69"/>
      <c r="Y3" s="69"/>
    </row>
    <row r="4" spans="1:26" x14ac:dyDescent="0.25">
      <c r="T4" s="67"/>
      <c r="U4" s="68"/>
      <c r="V4" s="159"/>
      <c r="W4" s="159"/>
      <c r="X4" s="159"/>
      <c r="Y4" s="160"/>
      <c r="Z4" s="87"/>
    </row>
    <row r="5" spans="1:26" ht="15" thickBot="1" x14ac:dyDescent="0.35">
      <c r="A5" s="19" t="s">
        <v>47</v>
      </c>
      <c r="B5" s="20"/>
      <c r="C5" s="20"/>
      <c r="D5" s="20"/>
      <c r="E5" s="20"/>
      <c r="T5" s="67"/>
      <c r="U5" s="68"/>
      <c r="V5" s="161"/>
      <c r="W5" s="159"/>
      <c r="X5" s="159"/>
      <c r="Y5" s="160"/>
      <c r="Z5" s="87"/>
    </row>
    <row r="6" spans="1:26" x14ac:dyDescent="0.25">
      <c r="T6" s="67"/>
      <c r="U6" s="68"/>
      <c r="V6" s="159"/>
      <c r="W6" s="159"/>
      <c r="X6" s="159"/>
      <c r="Y6" s="160"/>
      <c r="Z6" s="87"/>
    </row>
    <row r="7" spans="1:26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  <c r="Z7" s="87"/>
    </row>
    <row r="8" spans="1:26" x14ac:dyDescent="0.25">
      <c r="A8" s="1"/>
      <c r="B8" s="1"/>
      <c r="C8" s="1"/>
      <c r="D8" s="5"/>
      <c r="E8" s="5"/>
      <c r="T8" s="67" t="s">
        <v>47</v>
      </c>
      <c r="U8" s="68">
        <v>60</v>
      </c>
      <c r="V8" s="159">
        <v>8034.1803170036383</v>
      </c>
      <c r="W8" s="159">
        <v>7953.8385138336016</v>
      </c>
      <c r="X8" s="159">
        <v>80.341803170036656</v>
      </c>
      <c r="Y8" s="160">
        <v>256.77792826247475</v>
      </c>
      <c r="Z8" s="87"/>
    </row>
    <row r="9" spans="1:26" x14ac:dyDescent="0.25">
      <c r="A9" s="94" t="s">
        <v>61</v>
      </c>
      <c r="B9" s="95"/>
      <c r="C9" s="95"/>
      <c r="D9" s="96"/>
      <c r="E9" s="96"/>
      <c r="F9" s="87"/>
      <c r="T9" s="67"/>
      <c r="U9" s="68"/>
      <c r="V9" s="159"/>
      <c r="W9" s="159"/>
      <c r="X9" s="159"/>
      <c r="Y9" s="160"/>
      <c r="Z9" s="87"/>
    </row>
    <row r="10" spans="1:26" ht="12.75" customHeight="1" x14ac:dyDescent="0.25">
      <c r="A10" s="12" t="s">
        <v>62</v>
      </c>
      <c r="B10" s="97">
        <f>+W8</f>
        <v>7953.8385138336016</v>
      </c>
      <c r="C10" s="98" t="s">
        <v>6</v>
      </c>
      <c r="D10" s="99">
        <v>5</v>
      </c>
      <c r="E10" s="100">
        <f>+B10*D10</f>
        <v>39769.192569168008</v>
      </c>
      <c r="F10" s="87"/>
      <c r="T10" s="67"/>
      <c r="U10" s="68"/>
      <c r="V10" s="159"/>
      <c r="W10" s="159"/>
      <c r="X10" s="159"/>
      <c r="Y10" s="160"/>
      <c r="Z10" s="87"/>
    </row>
    <row r="11" spans="1:26" x14ac:dyDescent="0.25">
      <c r="A11" s="12" t="s">
        <v>63</v>
      </c>
      <c r="B11" s="97">
        <f>+W8*10</f>
        <v>79538.385138336016</v>
      </c>
      <c r="C11" s="98" t="s">
        <v>64</v>
      </c>
      <c r="D11" s="99">
        <v>9</v>
      </c>
      <c r="E11" s="100">
        <f>+B11*D11</f>
        <v>715845.46624502412</v>
      </c>
      <c r="F11" s="101"/>
      <c r="T11" s="67"/>
      <c r="U11" s="68"/>
      <c r="V11" s="159"/>
      <c r="W11" s="159"/>
      <c r="X11" s="159"/>
      <c r="Y11" s="160"/>
      <c r="Z11" s="87"/>
    </row>
    <row r="12" spans="1:26" x14ac:dyDescent="0.25">
      <c r="A12" s="18" t="s">
        <v>65</v>
      </c>
      <c r="B12" s="102">
        <f>+W8*20*10/27</f>
        <v>58917.322324693341</v>
      </c>
      <c r="C12" s="103" t="s">
        <v>17</v>
      </c>
      <c r="D12" s="96">
        <v>25</v>
      </c>
      <c r="E12" s="96">
        <f>+B12*D12</f>
        <v>1472933.0581173336</v>
      </c>
      <c r="F12" s="101"/>
      <c r="T12" s="67"/>
      <c r="U12" s="68"/>
      <c r="V12" s="159"/>
      <c r="W12" s="159"/>
      <c r="X12" s="159"/>
      <c r="Y12" s="160"/>
      <c r="Z12" s="87"/>
    </row>
    <row r="13" spans="1:26" x14ac:dyDescent="0.25">
      <c r="A13" s="87" t="s">
        <v>7</v>
      </c>
      <c r="B13" s="104"/>
      <c r="C13" s="104"/>
      <c r="D13" s="100"/>
      <c r="E13" s="100">
        <f>SUM(E10:E12)</f>
        <v>2228547.7169315256</v>
      </c>
      <c r="F13" s="87"/>
      <c r="T13" s="67"/>
      <c r="U13" s="68"/>
      <c r="V13" s="159"/>
      <c r="W13" s="159"/>
      <c r="X13" s="159"/>
      <c r="Y13" s="160"/>
      <c r="Z13" s="87"/>
    </row>
    <row r="14" spans="1:26" x14ac:dyDescent="0.25">
      <c r="A14" s="87"/>
      <c r="B14" s="104"/>
      <c r="C14" s="104"/>
      <c r="D14" s="100"/>
      <c r="E14" s="100"/>
      <c r="F14" s="87"/>
      <c r="T14" s="67"/>
      <c r="U14" s="68"/>
      <c r="V14" s="159"/>
      <c r="W14" s="159"/>
      <c r="X14" s="159"/>
      <c r="Y14" s="160"/>
      <c r="Z14" s="87"/>
    </row>
    <row r="15" spans="1:26" x14ac:dyDescent="0.25">
      <c r="A15" s="94" t="s">
        <v>66</v>
      </c>
      <c r="B15" s="95"/>
      <c r="C15" s="95"/>
      <c r="D15" s="96"/>
      <c r="E15" s="96"/>
      <c r="F15" s="87"/>
      <c r="T15" s="67"/>
      <c r="U15" s="68"/>
      <c r="V15" s="159"/>
      <c r="W15" s="159"/>
      <c r="X15" s="159"/>
      <c r="Y15" s="160"/>
      <c r="Z15" s="87"/>
    </row>
    <row r="16" spans="1:26" x14ac:dyDescent="0.25">
      <c r="A16" s="12" t="s">
        <v>10</v>
      </c>
      <c r="B16" s="97">
        <f>+W8*1*10</f>
        <v>79538.385138336016</v>
      </c>
      <c r="C16" s="98" t="s">
        <v>17</v>
      </c>
      <c r="D16" s="99">
        <v>400</v>
      </c>
      <c r="E16" s="100">
        <f>+B16*D16</f>
        <v>31815354.055334408</v>
      </c>
      <c r="F16" s="101"/>
      <c r="L16" s="58"/>
      <c r="T16" s="67"/>
      <c r="U16" s="68"/>
      <c r="V16" s="159"/>
      <c r="W16" s="159"/>
      <c r="X16" s="159"/>
      <c r="Y16" s="160"/>
      <c r="Z16" s="87"/>
    </row>
    <row r="17" spans="1:26" x14ac:dyDescent="0.25">
      <c r="A17" s="12" t="s">
        <v>68</v>
      </c>
      <c r="B17" s="97">
        <f>+W8*1*20</f>
        <v>159076.77027667203</v>
      </c>
      <c r="C17" s="98" t="s">
        <v>17</v>
      </c>
      <c r="D17" s="99">
        <v>25</v>
      </c>
      <c r="E17" s="100">
        <f>+B17*D17</f>
        <v>3976919.256916801</v>
      </c>
      <c r="F17" s="101"/>
      <c r="L17" s="58"/>
      <c r="T17" s="67"/>
      <c r="U17" s="68"/>
      <c r="V17" s="159"/>
      <c r="W17" s="159"/>
      <c r="X17" s="159"/>
      <c r="Y17" s="160"/>
      <c r="Z17" s="87"/>
    </row>
    <row r="18" spans="1:26" x14ac:dyDescent="0.25">
      <c r="A18" s="12" t="s">
        <v>67</v>
      </c>
      <c r="B18" s="97">
        <f>+W8*20</f>
        <v>159076.77027667203</v>
      </c>
      <c r="C18" s="98" t="s">
        <v>17</v>
      </c>
      <c r="D18" s="99">
        <v>100</v>
      </c>
      <c r="E18" s="100">
        <f>+B18*D18</f>
        <v>15907677.027667204</v>
      </c>
      <c r="F18" s="101"/>
      <c r="L18" s="58"/>
      <c r="T18" s="67"/>
      <c r="U18" s="68"/>
      <c r="V18" s="159"/>
      <c r="W18" s="159"/>
      <c r="X18" s="159"/>
      <c r="Y18" s="160"/>
      <c r="Z18" s="87"/>
    </row>
    <row r="19" spans="1:26" ht="14.4" x14ac:dyDescent="0.3">
      <c r="A19" s="18" t="s">
        <v>69</v>
      </c>
      <c r="B19" s="102">
        <f>+W8</f>
        <v>7953.8385138336016</v>
      </c>
      <c r="C19" s="103" t="s">
        <v>6</v>
      </c>
      <c r="D19" s="96">
        <v>25</v>
      </c>
      <c r="E19" s="150">
        <f>+B19*D19</f>
        <v>198845.96284584003</v>
      </c>
      <c r="F19" s="87"/>
      <c r="L19" s="59"/>
      <c r="U19" s="60"/>
      <c r="V19" s="61"/>
      <c r="W19" s="57"/>
    </row>
    <row r="20" spans="1:26" x14ac:dyDescent="0.25">
      <c r="A20" s="87" t="s">
        <v>7</v>
      </c>
      <c r="B20" s="104"/>
      <c r="C20" s="104"/>
      <c r="D20" s="100"/>
      <c r="E20" s="100">
        <f>SUM(E16:E19)</f>
        <v>51898796.302764252</v>
      </c>
      <c r="F20" s="87"/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6" ht="14.4" x14ac:dyDescent="0.3">
      <c r="A21" s="87"/>
      <c r="B21" s="104"/>
      <c r="C21" s="104"/>
      <c r="D21" s="100"/>
      <c r="E21" s="100"/>
      <c r="F21" s="87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6" x14ac:dyDescent="0.25">
      <c r="A22" s="94" t="s">
        <v>70</v>
      </c>
      <c r="B22" s="105"/>
      <c r="C22" s="105"/>
      <c r="D22" s="96"/>
      <c r="E22" s="96"/>
      <c r="F22" s="87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6" x14ac:dyDescent="0.25">
      <c r="A23" s="106" t="s">
        <v>10</v>
      </c>
      <c r="B23" s="107">
        <f>+(W8/200+1)*(U8+20)*2*2/27</f>
        <v>483.1904304493986</v>
      </c>
      <c r="C23" s="108" t="s">
        <v>17</v>
      </c>
      <c r="D23" s="109">
        <v>400</v>
      </c>
      <c r="E23" s="109">
        <f t="shared" ref="E23" si="0">+B23*D23</f>
        <v>193276.17217975945</v>
      </c>
      <c r="F23" s="87"/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6" x14ac:dyDescent="0.25">
      <c r="A24" s="87" t="s">
        <v>7</v>
      </c>
      <c r="B24" s="104"/>
      <c r="C24" s="104"/>
      <c r="D24" s="100"/>
      <c r="E24" s="100">
        <f>SUM(E23:E23)</f>
        <v>193276.17217975945</v>
      </c>
      <c r="F24" s="87"/>
      <c r="M24" s="41" t="s">
        <v>21</v>
      </c>
      <c r="N24" s="41" t="s">
        <v>22</v>
      </c>
      <c r="O24" s="41" t="s">
        <v>24</v>
      </c>
      <c r="P24" s="41" t="s">
        <v>28</v>
      </c>
    </row>
    <row r="25" spans="1:26" x14ac:dyDescent="0.25">
      <c r="A25" s="12"/>
      <c r="B25" s="110"/>
      <c r="C25" s="110"/>
      <c r="D25" s="99"/>
      <c r="E25" s="100"/>
      <c r="F25" s="87"/>
      <c r="M25" s="13"/>
      <c r="N25" s="13"/>
      <c r="O25" s="13"/>
      <c r="P25" s="13"/>
    </row>
    <row r="26" spans="1:26" x14ac:dyDescent="0.25">
      <c r="A26" s="31" t="s">
        <v>71</v>
      </c>
      <c r="B26" s="105"/>
      <c r="C26" s="105"/>
      <c r="D26" s="96"/>
      <c r="E26" s="96"/>
      <c r="F26" s="87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6" x14ac:dyDescent="0.25">
      <c r="A27" s="12" t="s">
        <v>72</v>
      </c>
      <c r="B27" s="97">
        <f>5/3*(50*80+(50+2*5*3)*(80+2*5*3)+SQRT(50*80*(50+2*5*3)*(80+2*5*3)))</f>
        <v>31221.597982794217</v>
      </c>
      <c r="C27" s="98" t="s">
        <v>17</v>
      </c>
      <c r="D27" s="99">
        <v>30</v>
      </c>
      <c r="E27" s="155">
        <f>+B27*D27</f>
        <v>936647.93948382651</v>
      </c>
      <c r="F27" s="87"/>
      <c r="M27" s="13"/>
      <c r="N27" s="13"/>
      <c r="O27" s="13"/>
      <c r="P27" s="13"/>
    </row>
    <row r="28" spans="1:26" x14ac:dyDescent="0.25">
      <c r="A28" s="12" t="s">
        <v>73</v>
      </c>
      <c r="B28" s="110">
        <v>1</v>
      </c>
      <c r="C28" s="98" t="s">
        <v>5</v>
      </c>
      <c r="D28" s="99">
        <v>25000</v>
      </c>
      <c r="E28" s="100">
        <f>+B28*D28</f>
        <v>25000</v>
      </c>
      <c r="F28" s="87"/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6" x14ac:dyDescent="0.25">
      <c r="A29" s="12" t="s">
        <v>74</v>
      </c>
      <c r="B29" s="97">
        <f>+ROUND(X8/80,0)</f>
        <v>1</v>
      </c>
      <c r="C29" s="98" t="s">
        <v>5</v>
      </c>
      <c r="D29" s="99">
        <f>+SUM(E27:E28)</f>
        <v>961647.93948382651</v>
      </c>
      <c r="E29" s="99">
        <f>+(B29-1)*D29</f>
        <v>0</v>
      </c>
      <c r="F29" s="87"/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6" x14ac:dyDescent="0.25">
      <c r="A30" s="18" t="s">
        <v>92</v>
      </c>
      <c r="B30" s="156">
        <f>X8*74/43560</f>
        <v>0.13648515690042959</v>
      </c>
      <c r="C30" s="103" t="s">
        <v>86</v>
      </c>
      <c r="D30" s="117">
        <v>500000</v>
      </c>
      <c r="E30" s="117">
        <f>D30*B30</f>
        <v>68242.578450214787</v>
      </c>
      <c r="F30" s="87"/>
      <c r="M30" s="13"/>
      <c r="N30" s="13"/>
      <c r="O30" s="13"/>
      <c r="T30" s="13"/>
      <c r="U30" s="48"/>
    </row>
    <row r="31" spans="1:26" x14ac:dyDescent="0.25">
      <c r="A31" s="87" t="s">
        <v>7</v>
      </c>
      <c r="B31" s="104"/>
      <c r="C31" s="104"/>
      <c r="D31" s="100"/>
      <c r="E31" s="100">
        <f>SUM(E27:E30)</f>
        <v>1029890.5179340413</v>
      </c>
      <c r="F31" s="87"/>
      <c r="M31" s="49">
        <v>0.05</v>
      </c>
      <c r="N31" s="47">
        <f>+M31*SUM(E10:E42)/2</f>
        <v>3351257.7544666673</v>
      </c>
      <c r="O31" s="13">
        <v>50</v>
      </c>
      <c r="Q31" s="2"/>
      <c r="T31" s="13"/>
      <c r="U31" s="48"/>
    </row>
    <row r="32" spans="1:26" x14ac:dyDescent="0.25">
      <c r="A32" s="74"/>
      <c r="B32" s="110"/>
      <c r="C32" s="110"/>
      <c r="D32" s="99"/>
      <c r="E32" s="99"/>
      <c r="F32" s="87"/>
      <c r="T32" s="13"/>
      <c r="U32" s="48"/>
    </row>
    <row r="33" spans="1:21" x14ac:dyDescent="0.25">
      <c r="A33" s="31" t="s">
        <v>75</v>
      </c>
      <c r="B33" s="105"/>
      <c r="C33" s="105"/>
      <c r="D33" s="96"/>
      <c r="E33" s="96"/>
      <c r="F33" s="87"/>
      <c r="T33" s="13"/>
      <c r="U33" s="48"/>
    </row>
    <row r="34" spans="1:21" x14ac:dyDescent="0.25">
      <c r="A34" s="12" t="s">
        <v>76</v>
      </c>
      <c r="B34" s="97">
        <f>+X8</f>
        <v>80.341803170036656</v>
      </c>
      <c r="C34" s="98" t="s">
        <v>6</v>
      </c>
      <c r="D34" s="99">
        <v>25</v>
      </c>
      <c r="E34" s="100">
        <f>+B34*D34</f>
        <v>2008.5450792509164</v>
      </c>
      <c r="F34" s="87"/>
      <c r="T34" s="13"/>
      <c r="U34" s="48"/>
    </row>
    <row r="35" spans="1:21" x14ac:dyDescent="0.25">
      <c r="A35" s="18" t="s">
        <v>77</v>
      </c>
      <c r="B35" s="102">
        <f>20*X8</f>
        <v>1606.8360634007331</v>
      </c>
      <c r="C35" s="103" t="s">
        <v>64</v>
      </c>
      <c r="D35" s="96">
        <v>25</v>
      </c>
      <c r="E35" s="96">
        <f>+B35*D35</f>
        <v>40170.901585018328</v>
      </c>
      <c r="F35" s="101"/>
      <c r="T35" s="13"/>
      <c r="U35" s="48"/>
    </row>
    <row r="36" spans="1:21" x14ac:dyDescent="0.25">
      <c r="A36" s="87" t="s">
        <v>7</v>
      </c>
      <c r="B36" s="104"/>
      <c r="C36" s="104"/>
      <c r="D36" s="100"/>
      <c r="E36" s="100">
        <f>+SUM(E34:E35)</f>
        <v>42179.446664269242</v>
      </c>
      <c r="F36" s="87"/>
      <c r="M36" s="41"/>
      <c r="N36" s="41"/>
      <c r="O36" s="41"/>
      <c r="P36" s="13"/>
      <c r="T36" s="13"/>
      <c r="U36" s="48"/>
    </row>
    <row r="37" spans="1:21" x14ac:dyDescent="0.25">
      <c r="A37" s="114"/>
      <c r="B37" s="114"/>
      <c r="C37" s="114"/>
      <c r="D37" s="114"/>
      <c r="E37" s="114"/>
      <c r="F37" s="87"/>
      <c r="M37" s="41"/>
      <c r="N37" s="41"/>
      <c r="O37" s="41"/>
      <c r="P37" s="13"/>
      <c r="T37" s="79"/>
      <c r="U37" s="80"/>
    </row>
    <row r="38" spans="1:21" x14ac:dyDescent="0.25">
      <c r="A38" s="31" t="s">
        <v>83</v>
      </c>
      <c r="B38" s="115">
        <v>10</v>
      </c>
      <c r="C38" s="115" t="s">
        <v>8</v>
      </c>
      <c r="D38" s="157">
        <f>SUM(E10:E36)/2</f>
        <v>55392690.156473838</v>
      </c>
      <c r="E38" s="153">
        <f>D38*B38/100</f>
        <v>5539269.0156473843</v>
      </c>
      <c r="F38" s="87"/>
      <c r="M38" s="41"/>
      <c r="N38" s="41"/>
      <c r="O38" s="41"/>
      <c r="P38" s="13"/>
      <c r="T38" s="13"/>
      <c r="U38" s="48"/>
    </row>
    <row r="39" spans="1:21" x14ac:dyDescent="0.25">
      <c r="A39" s="87" t="s">
        <v>7</v>
      </c>
      <c r="B39" s="104"/>
      <c r="C39" s="104"/>
      <c r="D39" s="100"/>
      <c r="E39" s="100">
        <f>SUM(E38)</f>
        <v>5539269.0156473843</v>
      </c>
      <c r="F39" s="87"/>
      <c r="M39" s="41"/>
      <c r="N39" s="41"/>
      <c r="O39" s="41"/>
      <c r="P39" s="13"/>
      <c r="T39" s="13"/>
      <c r="U39" s="48"/>
    </row>
    <row r="40" spans="1:21" x14ac:dyDescent="0.25">
      <c r="A40" s="114"/>
      <c r="B40" s="114"/>
      <c r="C40" s="114"/>
      <c r="D40" s="114"/>
      <c r="E40" s="114"/>
      <c r="F40" s="87"/>
      <c r="M40" s="41"/>
      <c r="N40" s="41"/>
      <c r="O40" s="41"/>
      <c r="P40" s="13"/>
      <c r="T40" s="13"/>
      <c r="U40" s="48"/>
    </row>
    <row r="41" spans="1:21" x14ac:dyDescent="0.25">
      <c r="A41" s="31" t="s">
        <v>9</v>
      </c>
      <c r="B41" s="115">
        <v>10</v>
      </c>
      <c r="C41" s="115" t="s">
        <v>8</v>
      </c>
      <c r="D41" s="152">
        <f>SUM(E10:E39)/2</f>
        <v>60931959.172121219</v>
      </c>
      <c r="E41" s="153">
        <f>D41*B41/100</f>
        <v>6093195.9172121212</v>
      </c>
      <c r="F41" s="87"/>
      <c r="M41" s="41"/>
      <c r="N41" s="41"/>
      <c r="O41" s="41"/>
      <c r="P41" s="13"/>
      <c r="T41" s="13"/>
      <c r="U41" s="48"/>
    </row>
    <row r="42" spans="1:21" x14ac:dyDescent="0.25">
      <c r="A42" s="87" t="s">
        <v>7</v>
      </c>
      <c r="B42" s="104"/>
      <c r="C42" s="104"/>
      <c r="D42" s="100"/>
      <c r="E42" s="100">
        <f>SUM(E41)</f>
        <v>6093195.9172121212</v>
      </c>
      <c r="F42" s="87"/>
      <c r="M42" s="41"/>
      <c r="N42" s="41"/>
      <c r="O42" s="41"/>
      <c r="P42" s="13"/>
      <c r="T42" s="13"/>
      <c r="U42" s="48"/>
    </row>
    <row r="43" spans="1:21" s="78" customFormat="1" x14ac:dyDescent="0.25">
      <c r="A43" s="87"/>
      <c r="B43" s="104"/>
      <c r="C43" s="104"/>
      <c r="D43" s="100"/>
      <c r="E43" s="100"/>
      <c r="F43" s="114"/>
      <c r="M43" s="79"/>
      <c r="N43" s="79"/>
      <c r="O43" s="79"/>
      <c r="P43" s="79"/>
      <c r="T43" s="13"/>
      <c r="U43" s="48"/>
    </row>
    <row r="44" spans="1:21" x14ac:dyDescent="0.25">
      <c r="A44" s="31" t="s">
        <v>12</v>
      </c>
      <c r="B44" s="105"/>
      <c r="C44" s="105"/>
      <c r="D44" s="99"/>
      <c r="E44" s="99"/>
      <c r="F44" s="87"/>
      <c r="M44" s="13"/>
      <c r="N44" s="42"/>
      <c r="O44" s="24"/>
      <c r="P44" s="13"/>
      <c r="T44" s="13"/>
      <c r="U44" s="48"/>
    </row>
    <row r="45" spans="1:21" x14ac:dyDescent="0.25">
      <c r="A45" s="87" t="s">
        <v>89</v>
      </c>
      <c r="B45" s="104">
        <v>10</v>
      </c>
      <c r="C45" s="98" t="s">
        <v>8</v>
      </c>
      <c r="D45" s="118">
        <f>SUM(E9:E42)/2</f>
        <v>67025155.089333341</v>
      </c>
      <c r="E45" s="113">
        <f>D45*B45/100</f>
        <v>6702515.5089333346</v>
      </c>
      <c r="F45" s="87"/>
      <c r="M45" s="13"/>
      <c r="N45" s="13"/>
      <c r="O45" s="13"/>
      <c r="P45" s="13"/>
      <c r="T45" s="13"/>
      <c r="U45" s="48"/>
    </row>
    <row r="46" spans="1:21" x14ac:dyDescent="0.25">
      <c r="A46" s="12" t="s">
        <v>90</v>
      </c>
      <c r="B46" s="110">
        <v>15</v>
      </c>
      <c r="C46" s="98" t="s">
        <v>8</v>
      </c>
      <c r="D46" s="119">
        <f>SUM(E10:E42)/2</f>
        <v>67025155.089333341</v>
      </c>
      <c r="E46" s="99">
        <f>D46*B46/100</f>
        <v>10053773.263400001</v>
      </c>
      <c r="F46" s="87"/>
      <c r="T46" s="13"/>
      <c r="U46" s="48"/>
    </row>
    <row r="47" spans="1:21" x14ac:dyDescent="0.25">
      <c r="A47" s="12" t="s">
        <v>19</v>
      </c>
      <c r="B47" s="110">
        <v>11</v>
      </c>
      <c r="C47" s="98" t="s">
        <v>8</v>
      </c>
      <c r="D47" s="119">
        <f>SUM(E10:E42)/2+SUM(D45:D46)+SUM(D48:D50)</f>
        <v>402150930.53600001</v>
      </c>
      <c r="E47" s="99">
        <f t="shared" ref="E47:E50" si="1">D47*B47/100</f>
        <v>44236602.358960003</v>
      </c>
      <c r="F47" s="87"/>
      <c r="T47" s="13"/>
      <c r="U47" s="48"/>
    </row>
    <row r="48" spans="1:21" x14ac:dyDescent="0.25">
      <c r="A48" s="12" t="s">
        <v>13</v>
      </c>
      <c r="B48" s="110">
        <v>5</v>
      </c>
      <c r="C48" s="98" t="s">
        <v>8</v>
      </c>
      <c r="D48" s="119">
        <f>SUM(E10:E42)/2</f>
        <v>67025155.089333341</v>
      </c>
      <c r="E48" s="99">
        <f t="shared" si="1"/>
        <v>3351257.7544666673</v>
      </c>
      <c r="F48" s="87"/>
      <c r="T48" s="13"/>
      <c r="U48" s="48"/>
    </row>
    <row r="49" spans="1:21" x14ac:dyDescent="0.25">
      <c r="A49" s="12" t="s">
        <v>14</v>
      </c>
      <c r="B49" s="110">
        <v>10</v>
      </c>
      <c r="C49" s="98" t="s">
        <v>8</v>
      </c>
      <c r="D49" s="119">
        <f>SUM(E10:E42)/2</f>
        <v>67025155.089333341</v>
      </c>
      <c r="E49" s="99">
        <f t="shared" si="1"/>
        <v>6702515.5089333346</v>
      </c>
      <c r="F49" s="87"/>
      <c r="T49" s="13"/>
      <c r="U49" s="48"/>
    </row>
    <row r="50" spans="1:21" x14ac:dyDescent="0.25">
      <c r="A50" s="18" t="s">
        <v>15</v>
      </c>
      <c r="B50" s="105">
        <v>10</v>
      </c>
      <c r="C50" s="103" t="s">
        <v>8</v>
      </c>
      <c r="D50" s="120">
        <f>SUM(E10:E42)/2</f>
        <v>67025155.089333341</v>
      </c>
      <c r="E50" s="96">
        <f t="shared" si="1"/>
        <v>6702515.5089333346</v>
      </c>
      <c r="F50" s="87"/>
      <c r="T50" s="13"/>
      <c r="U50" s="48"/>
    </row>
    <row r="51" spans="1:21" x14ac:dyDescent="0.25">
      <c r="A51" s="87" t="s">
        <v>7</v>
      </c>
      <c r="B51" s="104"/>
      <c r="C51" s="104"/>
      <c r="D51" s="100"/>
      <c r="E51" s="100">
        <f>SUM(E45:E50)</f>
        <v>77749179.90362668</v>
      </c>
      <c r="F51" s="87"/>
      <c r="T51" s="13"/>
      <c r="U51" s="48"/>
    </row>
    <row r="52" spans="1:21" x14ac:dyDescent="0.25">
      <c r="A52" s="74"/>
      <c r="B52" s="110"/>
      <c r="C52" s="110"/>
      <c r="D52" s="99"/>
      <c r="E52" s="121"/>
      <c r="F52" s="87"/>
      <c r="T52" s="13"/>
      <c r="U52" s="48"/>
    </row>
    <row r="53" spans="1:21" x14ac:dyDescent="0.25">
      <c r="A53" s="31" t="s">
        <v>16</v>
      </c>
      <c r="B53" s="122"/>
      <c r="C53" s="122"/>
      <c r="D53" s="123"/>
      <c r="E53" s="123"/>
      <c r="F53" s="87"/>
      <c r="T53" s="13"/>
      <c r="U53" s="48"/>
    </row>
    <row r="54" spans="1:21" x14ac:dyDescent="0.25">
      <c r="A54" s="106" t="s">
        <v>16</v>
      </c>
      <c r="B54" s="124">
        <v>30</v>
      </c>
      <c r="C54" s="108" t="s">
        <v>8</v>
      </c>
      <c r="D54" s="125">
        <f>SUM(E10:E51)/2</f>
        <v>144774334.99296001</v>
      </c>
      <c r="E54" s="109">
        <f>D54*B54/100</f>
        <v>43432300.497887999</v>
      </c>
      <c r="F54" s="87"/>
      <c r="T54" s="13"/>
      <c r="U54" s="48"/>
    </row>
    <row r="55" spans="1:21" x14ac:dyDescent="0.25">
      <c r="A55" s="87" t="s">
        <v>7</v>
      </c>
      <c r="B55" s="104"/>
      <c r="C55" s="104"/>
      <c r="D55" s="100"/>
      <c r="E55" s="100">
        <f>SUM(E54)</f>
        <v>43432300.497887999</v>
      </c>
      <c r="F55" s="87"/>
      <c r="T55" s="13"/>
      <c r="U55" s="48"/>
    </row>
    <row r="56" spans="1:21" x14ac:dyDescent="0.25">
      <c r="A56" s="87"/>
      <c r="B56" s="110"/>
      <c r="C56" s="110"/>
      <c r="D56" s="99"/>
      <c r="E56" s="99"/>
      <c r="F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T57" s="13"/>
      <c r="U57" s="48"/>
    </row>
    <row r="58" spans="1:21" x14ac:dyDescent="0.25">
      <c r="A58" s="18" t="s">
        <v>92</v>
      </c>
      <c r="B58" s="126">
        <f>X8*74/43560</f>
        <v>0.13648515690042959</v>
      </c>
      <c r="C58" s="103" t="s">
        <v>86</v>
      </c>
      <c r="D58" s="117">
        <v>500000</v>
      </c>
      <c r="E58" s="117">
        <f>B58*D58</f>
        <v>68242.578450214787</v>
      </c>
      <c r="F58" s="101" t="s">
        <v>99</v>
      </c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68242.578450214787</v>
      </c>
      <c r="F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188206635.490848</v>
      </c>
      <c r="F62" s="100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68242.578450214787</v>
      </c>
      <c r="F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7846780.7423555274</v>
      </c>
      <c r="F66" s="101" t="s">
        <v>98</v>
      </c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3351257.7544666673</v>
      </c>
      <c r="F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+Y8</f>
        <v>256.77792826247475</v>
      </c>
      <c r="F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43609.817138861406</v>
      </c>
      <c r="F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T75" s="13"/>
      <c r="U75" s="48"/>
    </row>
    <row r="76" spans="1:21" x14ac:dyDescent="0.25">
      <c r="A76" s="87"/>
      <c r="B76" s="87"/>
      <c r="C76" s="87"/>
      <c r="D76" s="87"/>
      <c r="E76" s="87"/>
      <c r="F76" s="87"/>
      <c r="T76" s="13"/>
      <c r="U76" s="48"/>
    </row>
    <row r="77" spans="1:21" x14ac:dyDescent="0.25">
      <c r="A77" s="87"/>
      <c r="B77" s="87"/>
      <c r="C77" s="87"/>
      <c r="D77" s="87"/>
      <c r="E77" s="87"/>
      <c r="F77" s="87"/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zoomScaleNormal="100" zoomScaleSheetLayoutView="90" workbookViewId="0">
      <selection activeCell="W18" sqref="W18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3" max="13" width="23" customWidth="1"/>
    <col min="14" max="14" width="14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3" max="23" width="28.6640625" customWidth="1"/>
    <col min="24" max="25" width="15" bestFit="1" customWidth="1"/>
  </cols>
  <sheetData>
    <row r="1" spans="1:26" ht="14.4" x14ac:dyDescent="0.3">
      <c r="A1" s="1" t="str">
        <f>Summary!A1</f>
        <v>LACDPW Basin Study</v>
      </c>
      <c r="T1" s="63" t="s">
        <v>40</v>
      </c>
      <c r="U1" s="64" t="s">
        <v>41</v>
      </c>
      <c r="V1" s="63" t="s">
        <v>42</v>
      </c>
      <c r="W1" s="65" t="s">
        <v>58</v>
      </c>
      <c r="X1" s="65" t="s">
        <v>59</v>
      </c>
      <c r="Y1" s="65" t="s">
        <v>60</v>
      </c>
      <c r="Z1" s="66" t="s">
        <v>78</v>
      </c>
    </row>
    <row r="2" spans="1:26" x14ac:dyDescent="0.25">
      <c r="A2" s="1" t="str">
        <f>Summary!A2</f>
        <v>N Summerville</v>
      </c>
      <c r="T2" s="67"/>
      <c r="U2" s="68" t="s">
        <v>18</v>
      </c>
      <c r="V2" s="67"/>
      <c r="W2" s="68" t="s">
        <v>18</v>
      </c>
      <c r="X2" s="68" t="s">
        <v>18</v>
      </c>
      <c r="Y2" s="68" t="s">
        <v>18</v>
      </c>
      <c r="Z2" s="69" t="s">
        <v>79</v>
      </c>
    </row>
    <row r="3" spans="1:26" x14ac:dyDescent="0.25">
      <c r="A3" s="16">
        <f>Summary!A3</f>
        <v>42275</v>
      </c>
      <c r="T3" s="67"/>
      <c r="U3" s="67"/>
      <c r="V3" s="67"/>
      <c r="W3" s="69"/>
      <c r="X3" s="69"/>
      <c r="Y3" s="69"/>
      <c r="Z3" s="69"/>
    </row>
    <row r="4" spans="1:26" x14ac:dyDescent="0.25">
      <c r="T4" s="67"/>
      <c r="U4" s="68"/>
      <c r="V4" s="70"/>
      <c r="W4" s="159"/>
      <c r="X4" s="159"/>
      <c r="Y4" s="159"/>
      <c r="Z4" s="160"/>
    </row>
    <row r="5" spans="1:26" ht="15" thickBot="1" x14ac:dyDescent="0.35">
      <c r="A5" s="19" t="s">
        <v>48</v>
      </c>
      <c r="B5" s="20"/>
      <c r="C5" s="20"/>
      <c r="D5" s="20"/>
      <c r="E5" s="20"/>
      <c r="T5" s="67"/>
      <c r="U5" s="68"/>
      <c r="V5" s="70"/>
      <c r="W5" s="161"/>
      <c r="X5" s="159"/>
      <c r="Y5" s="159"/>
      <c r="Z5" s="160"/>
    </row>
    <row r="6" spans="1:26" x14ac:dyDescent="0.25">
      <c r="T6" s="67"/>
      <c r="U6" s="68"/>
      <c r="V6" s="70"/>
      <c r="W6" s="159"/>
      <c r="X6" s="159"/>
      <c r="Y6" s="159"/>
      <c r="Z6" s="160"/>
    </row>
    <row r="7" spans="1:26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70"/>
      <c r="W7" s="159"/>
      <c r="X7" s="159"/>
      <c r="Y7" s="159"/>
      <c r="Z7" s="160"/>
    </row>
    <row r="8" spans="1:26" x14ac:dyDescent="0.25">
      <c r="A8" s="1"/>
      <c r="B8" s="1"/>
      <c r="C8" s="1"/>
      <c r="D8" s="5"/>
      <c r="E8" s="5"/>
      <c r="T8" s="67"/>
      <c r="U8" s="68"/>
      <c r="V8" s="70"/>
      <c r="W8" s="159"/>
      <c r="X8" s="159"/>
      <c r="Y8" s="159"/>
      <c r="Z8" s="160"/>
    </row>
    <row r="9" spans="1:26" x14ac:dyDescent="0.25">
      <c r="A9" s="17" t="s">
        <v>61</v>
      </c>
      <c r="B9" s="7"/>
      <c r="C9" s="7"/>
      <c r="D9" s="8"/>
      <c r="E9" s="8"/>
      <c r="T9" s="67" t="s">
        <v>48</v>
      </c>
      <c r="U9" s="68">
        <v>50</v>
      </c>
      <c r="V9" s="70" t="s">
        <v>43</v>
      </c>
      <c r="W9" s="159">
        <v>3132.1388995383004</v>
      </c>
      <c r="X9" s="159">
        <v>3132.1388995383004</v>
      </c>
      <c r="Y9" s="159">
        <v>0</v>
      </c>
      <c r="Z9" s="160">
        <v>81.138461901364877</v>
      </c>
    </row>
    <row r="10" spans="1:26" ht="12.75" customHeight="1" x14ac:dyDescent="0.25">
      <c r="A10" s="9" t="s">
        <v>62</v>
      </c>
      <c r="B10" s="24">
        <f>+X9</f>
        <v>3132.1388995383004</v>
      </c>
      <c r="C10" s="25" t="s">
        <v>6</v>
      </c>
      <c r="D10" s="99">
        <v>5</v>
      </c>
      <c r="E10" s="2">
        <f>+B10*D10</f>
        <v>15660.694497691502</v>
      </c>
      <c r="T10" s="67"/>
      <c r="U10" s="68"/>
      <c r="V10" s="70"/>
      <c r="W10" s="159"/>
      <c r="X10" s="159"/>
      <c r="Y10" s="159"/>
      <c r="Z10" s="160"/>
    </row>
    <row r="11" spans="1:26" x14ac:dyDescent="0.25">
      <c r="A11" s="9" t="s">
        <v>63</v>
      </c>
      <c r="B11" s="24">
        <f>+X9*10</f>
        <v>31321.388995383004</v>
      </c>
      <c r="C11" s="25" t="s">
        <v>64</v>
      </c>
      <c r="D11" s="99">
        <v>9</v>
      </c>
      <c r="E11" s="2">
        <f>+B11*D11</f>
        <v>281892.50095844705</v>
      </c>
      <c r="F11" s="32"/>
      <c r="T11" s="67"/>
      <c r="U11" s="68"/>
      <c r="V11" s="70"/>
      <c r="W11" s="159"/>
      <c r="X11" s="159"/>
      <c r="Y11" s="159"/>
      <c r="Z11" s="160"/>
    </row>
    <row r="12" spans="1:26" x14ac:dyDescent="0.25">
      <c r="A12" s="71" t="s">
        <v>65</v>
      </c>
      <c r="B12" s="72">
        <f>+X9*20*10/27</f>
        <v>23201.028885468892</v>
      </c>
      <c r="C12" s="26" t="s">
        <v>17</v>
      </c>
      <c r="D12" s="96">
        <v>25</v>
      </c>
      <c r="E12" s="8">
        <f>+B12*D12</f>
        <v>580025.7221367223</v>
      </c>
      <c r="F12" s="32"/>
      <c r="T12" s="67"/>
      <c r="U12" s="68"/>
      <c r="V12" s="70"/>
      <c r="W12" s="159"/>
      <c r="X12" s="159"/>
      <c r="Y12" s="159"/>
      <c r="Z12" s="160"/>
    </row>
    <row r="13" spans="1:26" x14ac:dyDescent="0.25">
      <c r="A13" t="s">
        <v>7</v>
      </c>
      <c r="B13" s="13"/>
      <c r="C13" s="13"/>
      <c r="D13" s="100"/>
      <c r="E13" s="2">
        <f>SUM(E10:E12)</f>
        <v>877578.91759286087</v>
      </c>
      <c r="T13" s="67"/>
      <c r="U13" s="68"/>
      <c r="V13" s="70"/>
      <c r="W13" s="159"/>
      <c r="X13" s="159"/>
      <c r="Y13" s="159"/>
      <c r="Z13" s="160"/>
    </row>
    <row r="14" spans="1:26" x14ac:dyDescent="0.25">
      <c r="B14" s="13"/>
      <c r="C14" s="13"/>
      <c r="D14" s="100"/>
      <c r="E14" s="2"/>
      <c r="T14" s="67"/>
      <c r="U14" s="68"/>
      <c r="V14" s="70"/>
      <c r="W14" s="159"/>
      <c r="X14" s="159"/>
      <c r="Y14" s="159"/>
      <c r="Z14" s="160"/>
    </row>
    <row r="15" spans="1:26" x14ac:dyDescent="0.25">
      <c r="A15" s="17" t="s">
        <v>66</v>
      </c>
      <c r="B15" s="7"/>
      <c r="C15" s="7"/>
      <c r="D15" s="96"/>
      <c r="E15" s="8"/>
      <c r="T15" s="67"/>
      <c r="U15" s="68"/>
      <c r="V15" s="70"/>
      <c r="W15" s="159"/>
      <c r="X15" s="159"/>
      <c r="Y15" s="159"/>
      <c r="Z15" s="160"/>
    </row>
    <row r="16" spans="1:26" x14ac:dyDescent="0.25">
      <c r="A16" s="9" t="s">
        <v>10</v>
      </c>
      <c r="B16" s="24">
        <f>+X9*1*10</f>
        <v>31321.388995383004</v>
      </c>
      <c r="C16" s="25" t="s">
        <v>17</v>
      </c>
      <c r="D16" s="99">
        <v>400</v>
      </c>
      <c r="E16" s="2">
        <f>+B16*D16</f>
        <v>12528555.598153202</v>
      </c>
      <c r="F16" s="32"/>
      <c r="L16" s="58"/>
      <c r="T16" s="67"/>
      <c r="U16" s="68"/>
      <c r="V16" s="70"/>
      <c r="W16" s="159"/>
      <c r="X16" s="159"/>
      <c r="Y16" s="159"/>
      <c r="Z16" s="160"/>
    </row>
    <row r="17" spans="1:26" x14ac:dyDescent="0.25">
      <c r="A17" s="12" t="s">
        <v>68</v>
      </c>
      <c r="B17" s="24">
        <f>+X9*1*20</f>
        <v>62642.777990766008</v>
      </c>
      <c r="C17" s="25" t="s">
        <v>17</v>
      </c>
      <c r="D17" s="99">
        <v>25</v>
      </c>
      <c r="E17" s="2">
        <f>+B17*D17</f>
        <v>1566069.4497691502</v>
      </c>
      <c r="F17" s="32"/>
      <c r="L17" s="58"/>
      <c r="T17" s="67"/>
      <c r="U17" s="68"/>
      <c r="V17" s="70"/>
      <c r="W17" s="159"/>
      <c r="X17" s="159"/>
      <c r="Y17" s="159"/>
      <c r="Z17" s="160"/>
    </row>
    <row r="18" spans="1:26" x14ac:dyDescent="0.25">
      <c r="A18" s="12" t="s">
        <v>67</v>
      </c>
      <c r="B18" s="24">
        <f>+X9*20</f>
        <v>62642.777990766008</v>
      </c>
      <c r="C18" s="25" t="s">
        <v>17</v>
      </c>
      <c r="D18" s="99">
        <v>100</v>
      </c>
      <c r="E18" s="2">
        <f>+B18*D18</f>
        <v>6264277.7990766009</v>
      </c>
      <c r="F18" s="32"/>
      <c r="L18" s="58"/>
      <c r="T18" s="67"/>
      <c r="U18" s="68"/>
      <c r="V18" s="70"/>
      <c r="W18" s="159"/>
      <c r="X18" s="159"/>
      <c r="Y18" s="159"/>
      <c r="Z18" s="160"/>
    </row>
    <row r="19" spans="1:26" ht="14.4" x14ac:dyDescent="0.3">
      <c r="A19" s="18" t="s">
        <v>69</v>
      </c>
      <c r="B19" s="72">
        <f>+X9</f>
        <v>3132.1388995383004</v>
      </c>
      <c r="C19" s="26" t="s">
        <v>6</v>
      </c>
      <c r="D19" s="96">
        <v>25</v>
      </c>
      <c r="E19" s="73">
        <f>+B19*D19</f>
        <v>78303.472488457512</v>
      </c>
      <c r="L19" s="59"/>
      <c r="U19" s="60"/>
      <c r="V19" s="59"/>
      <c r="W19" s="61"/>
      <c r="X19" s="57"/>
      <c r="Y19" s="87"/>
      <c r="Z19" s="87"/>
    </row>
    <row r="20" spans="1:26" x14ac:dyDescent="0.25">
      <c r="A20" t="s">
        <v>7</v>
      </c>
      <c r="B20" s="13"/>
      <c r="C20" s="13"/>
      <c r="D20" s="2"/>
      <c r="E20" s="2">
        <f>SUM(E16:E19)</f>
        <v>20437206.319487412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59"/>
      <c r="W20" s="60"/>
      <c r="X20" s="57"/>
    </row>
    <row r="21" spans="1:26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59"/>
      <c r="W21" s="61"/>
      <c r="X21" s="57"/>
    </row>
    <row r="22" spans="1:26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59"/>
      <c r="W22" s="62"/>
      <c r="X22" s="57"/>
    </row>
    <row r="23" spans="1:26" x14ac:dyDescent="0.25">
      <c r="A23" s="27" t="s">
        <v>10</v>
      </c>
      <c r="B23" s="43">
        <f>+(X9/200+1)*(U9+20)*2*2/27</f>
        <v>172.7775725686526</v>
      </c>
      <c r="C23" s="29" t="s">
        <v>17</v>
      </c>
      <c r="D23" s="30">
        <v>400</v>
      </c>
      <c r="E23" s="30">
        <f t="shared" ref="E23" si="0">+B23*D23</f>
        <v>69111.029027461045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59"/>
      <c r="W23" s="60"/>
      <c r="X23" s="57"/>
    </row>
    <row r="24" spans="1:26" x14ac:dyDescent="0.25">
      <c r="A24" t="s">
        <v>7</v>
      </c>
      <c r="B24" s="13"/>
      <c r="C24" s="13"/>
      <c r="D24" s="2"/>
      <c r="E24" s="2">
        <f>SUM(E23:E23)</f>
        <v>69111.029027461045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6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6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6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30</v>
      </c>
      <c r="E27" s="2">
        <f>+B27*D27</f>
        <v>4997882.059609971</v>
      </c>
      <c r="M27" s="13"/>
      <c r="N27" s="13"/>
      <c r="O27" s="13"/>
      <c r="P27" s="13"/>
    </row>
    <row r="28" spans="1:26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6" x14ac:dyDescent="0.25">
      <c r="A29" s="12" t="s">
        <v>74</v>
      </c>
      <c r="B29" s="24">
        <f>+ROUND(Y9/540,0)</f>
        <v>0</v>
      </c>
      <c r="C29" s="25" t="s">
        <v>5</v>
      </c>
      <c r="D29" s="11">
        <f>+SUM(E27:E28)</f>
        <v>5022882.059609971</v>
      </c>
      <c r="E29" s="11">
        <f>+(B29-1)*D29</f>
        <v>-5022882.059609971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6" x14ac:dyDescent="0.25">
      <c r="A30" s="71" t="s">
        <v>92</v>
      </c>
      <c r="B30" s="85">
        <f>Y9*74/43560</f>
        <v>0</v>
      </c>
      <c r="C30" s="26" t="s">
        <v>86</v>
      </c>
      <c r="D30" s="84">
        <v>500000</v>
      </c>
      <c r="E30" s="84">
        <f>D30*B30</f>
        <v>0</v>
      </c>
      <c r="M30" s="13"/>
      <c r="N30" s="13"/>
      <c r="O30" s="13"/>
      <c r="T30" s="13"/>
      <c r="U30" s="48"/>
    </row>
    <row r="31" spans="1:26" x14ac:dyDescent="0.25">
      <c r="A31" t="s">
        <v>7</v>
      </c>
      <c r="B31" s="13"/>
      <c r="C31" s="13"/>
      <c r="D31" s="2"/>
      <c r="E31" s="2">
        <f>SUM(E27:E30)</f>
        <v>0</v>
      </c>
      <c r="M31" s="49">
        <v>0.05</v>
      </c>
      <c r="N31" s="47">
        <f>+M31*SUM(E10:E42)/2</f>
        <v>1293725.7240995178</v>
      </c>
      <c r="O31" s="13">
        <v>50</v>
      </c>
      <c r="Q31" s="2"/>
      <c r="T31" s="13"/>
      <c r="U31" s="48"/>
    </row>
    <row r="32" spans="1:26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+Y9</f>
        <v>0</v>
      </c>
      <c r="C34" s="25" t="s">
        <v>6</v>
      </c>
      <c r="D34" s="11">
        <v>25</v>
      </c>
      <c r="E34" s="2">
        <f>+B34*D34</f>
        <v>0</v>
      </c>
      <c r="T34" s="13"/>
      <c r="U34" s="48"/>
    </row>
    <row r="35" spans="1:21" x14ac:dyDescent="0.25">
      <c r="A35" s="18" t="s">
        <v>77</v>
      </c>
      <c r="B35" s="72">
        <f>20*Y9</f>
        <v>0</v>
      </c>
      <c r="C35" s="26" t="s">
        <v>64</v>
      </c>
      <c r="D35" s="8">
        <v>25</v>
      </c>
      <c r="E35" s="8">
        <f>+B35*D35</f>
        <v>0</v>
      </c>
      <c r="F35" s="32"/>
      <c r="T35" s="13"/>
      <c r="U35" s="48"/>
    </row>
    <row r="36" spans="1:21" x14ac:dyDescent="0.25">
      <c r="A36" t="s">
        <v>7</v>
      </c>
      <c r="B36" s="41" t="s">
        <v>88</v>
      </c>
      <c r="C36" s="13"/>
      <c r="D36" s="2"/>
      <c r="E36" s="2">
        <f>+SUM(E34:E35)</f>
        <v>0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21383896.266107734</v>
      </c>
      <c r="E38" s="77">
        <f>D38*B38/100</f>
        <v>2138389.6266107736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2138389.6266107736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23522285.892718505</v>
      </c>
      <c r="E41" s="77">
        <f>D41*B41/100</f>
        <v>2352228.5892718504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2352228.5892718504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25874514.481990356</v>
      </c>
      <c r="E45" s="38">
        <f>D45*B45/100</f>
        <v>2587451.4481990356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25874514.481990356</v>
      </c>
      <c r="E46" s="11">
        <f>D46*B46/100</f>
        <v>3881177.1722985534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155247086.89194214</v>
      </c>
      <c r="E47" s="11">
        <f t="shared" ref="E47:E50" si="1">D47*B47/100</f>
        <v>17077179.558113638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25874514.481990356</v>
      </c>
      <c r="E48" s="11">
        <f t="shared" si="1"/>
        <v>1293725.7240995178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25874514.481990356</v>
      </c>
      <c r="E49" s="11">
        <f t="shared" si="1"/>
        <v>2587451.4481990356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25874514.481990356</v>
      </c>
      <c r="E50" s="8">
        <f t="shared" si="1"/>
        <v>2587451.4481990356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30014436.799108811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55888951.28109917</v>
      </c>
      <c r="E54" s="30">
        <f>D54*B54/100</f>
        <v>16766685.384329751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16766685.384329751</v>
      </c>
      <c r="T55" s="13"/>
      <c r="U55" s="48"/>
    </row>
    <row r="56" spans="1:21" x14ac:dyDescent="0.25">
      <c r="A56" s="87"/>
      <c r="B56" s="87"/>
      <c r="C56" s="87"/>
      <c r="D56" s="87"/>
      <c r="E56" s="87"/>
      <c r="F56" s="87"/>
      <c r="G56" s="87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G57" s="87"/>
      <c r="T57" s="13"/>
      <c r="U57" s="48"/>
    </row>
    <row r="58" spans="1:21" x14ac:dyDescent="0.25">
      <c r="A58" s="18" t="s">
        <v>92</v>
      </c>
      <c r="B58" s="126">
        <f>Y9*74/43560</f>
        <v>0</v>
      </c>
      <c r="C58" s="103" t="s">
        <v>86</v>
      </c>
      <c r="D58" s="117">
        <v>500000</v>
      </c>
      <c r="E58" s="117">
        <f>B58*D58</f>
        <v>0</v>
      </c>
      <c r="F58" s="101" t="s">
        <v>99</v>
      </c>
      <c r="G58" s="87"/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0</v>
      </c>
      <c r="F59" s="87"/>
      <c r="G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G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G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72655636.665428922</v>
      </c>
      <c r="F62" s="100"/>
      <c r="G62" s="87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G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0</v>
      </c>
      <c r="F64" s="87"/>
      <c r="G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G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3028087.7430712068</v>
      </c>
      <c r="F66" s="101" t="s">
        <v>98</v>
      </c>
      <c r="G66" s="87"/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G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1293725.7240995178</v>
      </c>
      <c r="F68" s="87"/>
      <c r="G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G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+Z9</f>
        <v>81.138461901364877</v>
      </c>
      <c r="F70" s="87"/>
      <c r="G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G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53264.670858864592</v>
      </c>
      <c r="F72" s="87"/>
      <c r="G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G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G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G75" s="87"/>
      <c r="T75" s="13"/>
      <c r="U75" s="48"/>
    </row>
    <row r="76" spans="1:21" x14ac:dyDescent="0.25">
      <c r="T76" s="13"/>
      <c r="U76" s="48"/>
    </row>
    <row r="77" spans="1:21" x14ac:dyDescent="0.25"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zoomScaleNormal="100" zoomScaleSheetLayoutView="100" workbookViewId="0">
      <selection activeCell="V1" sqref="V1:V1048576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6.33203125" bestFit="1" customWidth="1"/>
    <col min="13" max="13" width="23" customWidth="1"/>
    <col min="14" max="14" width="16.6640625" customWidth="1"/>
    <col min="15" max="15" width="17.109375" customWidth="1"/>
    <col min="16" max="16" width="16.5546875" customWidth="1"/>
    <col min="17" max="17" width="17.109375" customWidth="1"/>
    <col min="18" max="18" width="19.33203125" customWidth="1"/>
    <col min="19" max="19" width="11.44140625" customWidth="1"/>
    <col min="20" max="20" width="15" customWidth="1"/>
    <col min="21" max="21" width="26.33203125" customWidth="1"/>
    <col min="22" max="22" width="28.6640625" customWidth="1"/>
    <col min="23" max="24" width="15" bestFit="1" customWidth="1"/>
  </cols>
  <sheetData>
    <row r="1" spans="1:25" ht="14.4" x14ac:dyDescent="0.3">
      <c r="A1" s="1" t="str">
        <f>Summary!A1</f>
        <v>LACDPW Basin Study</v>
      </c>
      <c r="T1" s="63" t="s">
        <v>40</v>
      </c>
      <c r="U1" s="64" t="s">
        <v>41</v>
      </c>
      <c r="V1" s="65" t="s">
        <v>58</v>
      </c>
      <c r="W1" s="65" t="s">
        <v>59</v>
      </c>
      <c r="X1" s="65" t="s">
        <v>60</v>
      </c>
      <c r="Y1" s="66" t="s">
        <v>78</v>
      </c>
    </row>
    <row r="2" spans="1:25" x14ac:dyDescent="0.25">
      <c r="A2" s="1" t="str">
        <f>Summary!A2</f>
        <v>N Summerville</v>
      </c>
      <c r="T2" s="67"/>
      <c r="U2" s="68" t="s">
        <v>18</v>
      </c>
      <c r="V2" s="68" t="s">
        <v>18</v>
      </c>
      <c r="W2" s="68" t="s">
        <v>18</v>
      </c>
      <c r="X2" s="68" t="s">
        <v>18</v>
      </c>
      <c r="Y2" s="69" t="s">
        <v>79</v>
      </c>
    </row>
    <row r="3" spans="1:25" x14ac:dyDescent="0.25">
      <c r="A3" s="16">
        <f>Summary!A3</f>
        <v>42275</v>
      </c>
      <c r="T3" s="67"/>
      <c r="U3" s="67"/>
      <c r="V3" s="162"/>
      <c r="W3" s="162"/>
      <c r="X3" s="162"/>
      <c r="Y3" s="162"/>
    </row>
    <row r="4" spans="1:25" x14ac:dyDescent="0.25">
      <c r="T4" s="67"/>
      <c r="U4" s="68"/>
      <c r="V4" s="159"/>
      <c r="W4" s="159"/>
      <c r="X4" s="159"/>
      <c r="Y4" s="160"/>
    </row>
    <row r="5" spans="1:25" ht="15" thickBot="1" x14ac:dyDescent="0.35">
      <c r="A5" s="19" t="s">
        <v>49</v>
      </c>
      <c r="B5" s="20"/>
      <c r="C5" s="20"/>
      <c r="D5" s="20"/>
      <c r="E5" s="20"/>
      <c r="T5" s="67"/>
      <c r="U5" s="68"/>
      <c r="V5" s="161"/>
      <c r="W5" s="159"/>
      <c r="X5" s="159"/>
      <c r="Y5" s="160"/>
    </row>
    <row r="6" spans="1:25" x14ac:dyDescent="0.25">
      <c r="T6" s="67"/>
      <c r="U6" s="68"/>
      <c r="V6" s="159"/>
      <c r="W6" s="159"/>
      <c r="X6" s="159"/>
      <c r="Y6" s="160"/>
    </row>
    <row r="7" spans="1:25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T7" s="67"/>
      <c r="U7" s="68"/>
      <c r="V7" s="159"/>
      <c r="W7" s="159"/>
      <c r="X7" s="159"/>
      <c r="Y7" s="160"/>
    </row>
    <row r="8" spans="1:25" x14ac:dyDescent="0.25">
      <c r="A8" s="1"/>
      <c r="B8" s="1"/>
      <c r="C8" s="1"/>
      <c r="D8" s="5"/>
      <c r="E8" s="5"/>
      <c r="T8" s="67"/>
      <c r="U8" s="68"/>
      <c r="V8" s="159"/>
      <c r="W8" s="159"/>
      <c r="X8" s="159"/>
      <c r="Y8" s="160"/>
    </row>
    <row r="9" spans="1:25" x14ac:dyDescent="0.25">
      <c r="A9" s="17" t="s">
        <v>61</v>
      </c>
      <c r="B9" s="7"/>
      <c r="C9" s="7"/>
      <c r="D9" s="8"/>
      <c r="E9" s="8"/>
      <c r="T9" s="67"/>
      <c r="U9" s="68"/>
      <c r="V9" s="159"/>
      <c r="W9" s="159"/>
      <c r="X9" s="159"/>
      <c r="Y9" s="160"/>
    </row>
    <row r="10" spans="1:25" ht="12.75" customHeight="1" x14ac:dyDescent="0.25">
      <c r="A10" s="9" t="s">
        <v>62</v>
      </c>
      <c r="B10" s="24">
        <f>+W10</f>
        <v>34987.572517887696</v>
      </c>
      <c r="C10" s="25" t="s">
        <v>6</v>
      </c>
      <c r="D10" s="99">
        <v>5</v>
      </c>
      <c r="E10" s="2">
        <f>+B10*D10</f>
        <v>174937.86258943847</v>
      </c>
      <c r="T10" s="67" t="s">
        <v>49</v>
      </c>
      <c r="U10" s="68">
        <v>70</v>
      </c>
      <c r="V10" s="159">
        <v>34987.572517887696</v>
      </c>
      <c r="W10" s="159">
        <v>34987.572517887696</v>
      </c>
      <c r="X10" s="159">
        <v>0</v>
      </c>
      <c r="Y10" s="160">
        <v>1076.1966737899388</v>
      </c>
    </row>
    <row r="11" spans="1:25" x14ac:dyDescent="0.25">
      <c r="A11" s="9" t="s">
        <v>63</v>
      </c>
      <c r="B11" s="24">
        <f>+W10*10</f>
        <v>349875.72517887695</v>
      </c>
      <c r="C11" s="25" t="s">
        <v>64</v>
      </c>
      <c r="D11" s="99">
        <v>9</v>
      </c>
      <c r="E11" s="2">
        <f>+B11*D11</f>
        <v>3148881.5266098925</v>
      </c>
      <c r="F11" s="32"/>
      <c r="T11" s="67"/>
      <c r="U11" s="68"/>
      <c r="V11" s="159"/>
      <c r="W11" s="159"/>
      <c r="X11" s="159"/>
      <c r="Y11" s="160"/>
    </row>
    <row r="12" spans="1:25" x14ac:dyDescent="0.25">
      <c r="A12" s="71" t="s">
        <v>65</v>
      </c>
      <c r="B12" s="72">
        <f>+W10*20*10/27</f>
        <v>259167.20383620515</v>
      </c>
      <c r="C12" s="26" t="s">
        <v>17</v>
      </c>
      <c r="D12" s="96">
        <v>25</v>
      </c>
      <c r="E12" s="8">
        <f>+B12*D12</f>
        <v>6479180.0959051289</v>
      </c>
      <c r="F12" s="32"/>
      <c r="T12" s="67"/>
      <c r="U12" s="68"/>
      <c r="V12" s="159"/>
      <c r="W12" s="159"/>
      <c r="X12" s="159"/>
      <c r="Y12" s="160"/>
    </row>
    <row r="13" spans="1:25" x14ac:dyDescent="0.25">
      <c r="A13" t="s">
        <v>7</v>
      </c>
      <c r="B13" s="13"/>
      <c r="C13" s="13"/>
      <c r="D13" s="100"/>
      <c r="E13" s="2">
        <f>SUM(E10:E12)</f>
        <v>9802999.4851044603</v>
      </c>
      <c r="T13" s="67"/>
      <c r="U13" s="68"/>
      <c r="V13" s="159"/>
      <c r="W13" s="159"/>
      <c r="X13" s="159"/>
      <c r="Y13" s="160"/>
    </row>
    <row r="14" spans="1:25" x14ac:dyDescent="0.25">
      <c r="B14" s="13"/>
      <c r="C14" s="13"/>
      <c r="D14" s="100"/>
      <c r="E14" s="2"/>
      <c r="T14" s="67"/>
      <c r="U14" s="68"/>
      <c r="V14" s="159"/>
      <c r="W14" s="159"/>
      <c r="X14" s="159"/>
      <c r="Y14" s="160"/>
    </row>
    <row r="15" spans="1:25" x14ac:dyDescent="0.25">
      <c r="A15" s="17" t="s">
        <v>66</v>
      </c>
      <c r="B15" s="7"/>
      <c r="C15" s="7"/>
      <c r="D15" s="96"/>
      <c r="E15" s="8"/>
      <c r="T15" s="67"/>
      <c r="U15" s="68"/>
      <c r="V15" s="159"/>
      <c r="W15" s="159"/>
      <c r="X15" s="159"/>
      <c r="Y15" s="160"/>
    </row>
    <row r="16" spans="1:25" x14ac:dyDescent="0.25">
      <c r="A16" s="9" t="s">
        <v>10</v>
      </c>
      <c r="B16" s="24">
        <f>+W10*1*10</f>
        <v>349875.72517887695</v>
      </c>
      <c r="C16" s="25" t="s">
        <v>17</v>
      </c>
      <c r="D16" s="99">
        <v>400</v>
      </c>
      <c r="E16" s="2">
        <f>+B16*D16</f>
        <v>139950290.07155079</v>
      </c>
      <c r="F16" s="32"/>
      <c r="L16" s="58"/>
      <c r="T16" s="67"/>
      <c r="U16" s="68"/>
      <c r="V16" s="159"/>
      <c r="W16" s="159"/>
      <c r="X16" s="159"/>
      <c r="Y16" s="160"/>
    </row>
    <row r="17" spans="1:25" x14ac:dyDescent="0.25">
      <c r="A17" s="12" t="s">
        <v>68</v>
      </c>
      <c r="B17" s="24">
        <f>+W10*1*20</f>
        <v>699751.4503577539</v>
      </c>
      <c r="C17" s="25" t="s">
        <v>17</v>
      </c>
      <c r="D17" s="99">
        <v>25</v>
      </c>
      <c r="E17" s="2">
        <f>+B17*D17</f>
        <v>17493786.258943848</v>
      </c>
      <c r="F17" s="32"/>
      <c r="L17" s="58"/>
      <c r="T17" s="67"/>
      <c r="U17" s="68"/>
      <c r="V17" s="159"/>
      <c r="W17" s="159"/>
      <c r="X17" s="159"/>
      <c r="Y17" s="160"/>
    </row>
    <row r="18" spans="1:25" x14ac:dyDescent="0.25">
      <c r="A18" s="12" t="s">
        <v>67</v>
      </c>
      <c r="B18" s="24">
        <f>+W10*20</f>
        <v>699751.4503577539</v>
      </c>
      <c r="C18" s="25" t="s">
        <v>17</v>
      </c>
      <c r="D18" s="99">
        <v>100</v>
      </c>
      <c r="E18" s="2">
        <f>+B18*D18</f>
        <v>69975145.035775393</v>
      </c>
      <c r="F18" s="32"/>
      <c r="L18" s="58"/>
      <c r="T18" s="67"/>
      <c r="U18" s="68"/>
      <c r="V18" s="159"/>
      <c r="W18" s="159"/>
      <c r="X18" s="159"/>
      <c r="Y18" s="160"/>
    </row>
    <row r="19" spans="1:25" ht="14.4" x14ac:dyDescent="0.3">
      <c r="A19" s="18" t="s">
        <v>69</v>
      </c>
      <c r="B19" s="72">
        <f>+W10</f>
        <v>34987.572517887696</v>
      </c>
      <c r="C19" s="26" t="s">
        <v>6</v>
      </c>
      <c r="D19" s="96">
        <v>25</v>
      </c>
      <c r="E19" s="73">
        <f>+B19*D19</f>
        <v>874689.31294719246</v>
      </c>
      <c r="L19" s="59"/>
      <c r="U19" s="60"/>
      <c r="V19" s="61"/>
      <c r="W19" s="57"/>
      <c r="X19" s="87"/>
      <c r="Y19" s="87"/>
    </row>
    <row r="20" spans="1:25" x14ac:dyDescent="0.25">
      <c r="A20" t="s">
        <v>7</v>
      </c>
      <c r="B20" s="13"/>
      <c r="C20" s="13"/>
      <c r="D20" s="2"/>
      <c r="E20" s="2">
        <f>SUM(E16:E19)</f>
        <v>228293910.67921722</v>
      </c>
      <c r="L20" s="59"/>
      <c r="M20" s="60"/>
      <c r="N20" s="59"/>
      <c r="O20" s="59"/>
      <c r="P20" s="59"/>
      <c r="Q20" s="59"/>
      <c r="R20" s="59"/>
      <c r="S20" s="59"/>
      <c r="T20" s="59"/>
      <c r="U20" s="60"/>
      <c r="V20" s="60"/>
      <c r="W20" s="57"/>
    </row>
    <row r="21" spans="1:25" ht="14.4" x14ac:dyDescent="0.3">
      <c r="B21" s="13"/>
      <c r="C21" s="13"/>
      <c r="D21" s="2"/>
      <c r="E21" s="2"/>
      <c r="L21" s="59"/>
      <c r="M21" s="44" t="s">
        <v>81</v>
      </c>
      <c r="N21" s="13"/>
      <c r="O21" s="13"/>
      <c r="P21" s="13"/>
      <c r="R21" s="59"/>
      <c r="S21" s="59"/>
      <c r="T21" s="59"/>
      <c r="U21" s="60"/>
      <c r="V21" s="61"/>
      <c r="W21" s="57"/>
    </row>
    <row r="22" spans="1:25" x14ac:dyDescent="0.25">
      <c r="A22" s="17" t="s">
        <v>70</v>
      </c>
      <c r="B22" s="14"/>
      <c r="C22" s="14"/>
      <c r="D22" s="8"/>
      <c r="E22" s="8"/>
      <c r="L22" s="59"/>
      <c r="M22" s="13"/>
      <c r="N22" s="13"/>
      <c r="O22" s="13"/>
      <c r="P22" s="13"/>
      <c r="R22" s="59"/>
      <c r="S22" s="59"/>
      <c r="T22" s="59"/>
      <c r="U22" s="60"/>
      <c r="V22" s="62"/>
      <c r="W22" s="57"/>
    </row>
    <row r="23" spans="1:25" x14ac:dyDescent="0.25">
      <c r="A23" s="27" t="s">
        <v>10</v>
      </c>
      <c r="B23" s="43">
        <f>+(W10/200+1)*(U10+20)*2*2/27</f>
        <v>2345.8381678591795</v>
      </c>
      <c r="C23" s="29" t="s">
        <v>17</v>
      </c>
      <c r="D23" s="30">
        <v>400</v>
      </c>
      <c r="E23" s="30">
        <f t="shared" ref="E23" si="0">+B23*D23</f>
        <v>938335.26714367187</v>
      </c>
      <c r="L23" s="59"/>
      <c r="M23" s="45" t="s">
        <v>20</v>
      </c>
      <c r="N23" s="46"/>
      <c r="O23" s="41" t="s">
        <v>23</v>
      </c>
      <c r="P23" s="41" t="s">
        <v>25</v>
      </c>
      <c r="R23" s="59"/>
      <c r="S23" s="59"/>
      <c r="T23" s="59"/>
      <c r="U23" s="60"/>
      <c r="V23" s="60"/>
      <c r="W23" s="57"/>
    </row>
    <row r="24" spans="1:25" x14ac:dyDescent="0.25">
      <c r="A24" t="s">
        <v>7</v>
      </c>
      <c r="B24" s="13"/>
      <c r="C24" s="13"/>
      <c r="D24" s="2"/>
      <c r="E24" s="2">
        <f>SUM(E23:E23)</f>
        <v>938335.26714367187</v>
      </c>
      <c r="M24" s="41" t="s">
        <v>21</v>
      </c>
      <c r="N24" s="41" t="s">
        <v>22</v>
      </c>
      <c r="O24" s="41" t="s">
        <v>24</v>
      </c>
      <c r="P24" s="41" t="s">
        <v>28</v>
      </c>
    </row>
    <row r="25" spans="1:25" x14ac:dyDescent="0.25">
      <c r="A25" s="12"/>
      <c r="B25" s="10"/>
      <c r="C25" s="10"/>
      <c r="D25" s="11"/>
      <c r="E25" s="2"/>
      <c r="M25" s="13"/>
      <c r="N25" s="13"/>
      <c r="O25" s="13"/>
      <c r="P25" s="13"/>
    </row>
    <row r="26" spans="1:25" x14ac:dyDescent="0.25">
      <c r="A26" s="31" t="s">
        <v>71</v>
      </c>
      <c r="B26" s="14"/>
      <c r="C26" s="14"/>
      <c r="D26" s="8"/>
      <c r="E26" s="8"/>
      <c r="M26" s="13">
        <v>0</v>
      </c>
      <c r="N26" s="42">
        <f>0.746*M26*3*30.4*24</f>
        <v>0</v>
      </c>
      <c r="O26" s="47">
        <v>0.15</v>
      </c>
      <c r="P26" s="48">
        <f>+N26*O26</f>
        <v>0</v>
      </c>
      <c r="T26" s="32"/>
      <c r="U26" s="40"/>
    </row>
    <row r="27" spans="1:25" x14ac:dyDescent="0.25">
      <c r="A27" s="12" t="s">
        <v>72</v>
      </c>
      <c r="B27" s="24">
        <f>5/3*(50*500+(50+2*5*3)*(500+2*5*3)+SQRT(50*500*(50+2*5*3)*(500+2*5*3)))</f>
        <v>166596.06865366569</v>
      </c>
      <c r="C27" s="25" t="s">
        <v>17</v>
      </c>
      <c r="D27" s="11">
        <v>25</v>
      </c>
      <c r="E27" s="2">
        <f>+B27*D27</f>
        <v>4164901.7163416422</v>
      </c>
      <c r="M27" s="13"/>
      <c r="N27" s="13"/>
      <c r="O27" s="13"/>
      <c r="P27" s="13"/>
    </row>
    <row r="28" spans="1:25" x14ac:dyDescent="0.25">
      <c r="A28" s="12" t="s">
        <v>73</v>
      </c>
      <c r="B28" s="10">
        <v>1</v>
      </c>
      <c r="C28" s="25" t="s">
        <v>5</v>
      </c>
      <c r="D28" s="11">
        <v>25000</v>
      </c>
      <c r="E28" s="2">
        <f>+B28*D28</f>
        <v>25000</v>
      </c>
      <c r="M28" s="41" t="s">
        <v>26</v>
      </c>
      <c r="N28" s="41" t="s">
        <v>25</v>
      </c>
      <c r="O28" s="41" t="s">
        <v>30</v>
      </c>
      <c r="Q28" s="41"/>
      <c r="T28" s="13"/>
      <c r="U28" s="48"/>
    </row>
    <row r="29" spans="1:25" x14ac:dyDescent="0.25">
      <c r="A29" s="12" t="s">
        <v>74</v>
      </c>
      <c r="B29" s="24">
        <f>+ROUND(X10/540,0)</f>
        <v>0</v>
      </c>
      <c r="C29" s="25" t="s">
        <v>5</v>
      </c>
      <c r="D29" s="11">
        <f>+SUM(E27:E28)</f>
        <v>4189901.7163416422</v>
      </c>
      <c r="E29" s="11">
        <f>+(B29-1)*D29</f>
        <v>-4189901.7163416422</v>
      </c>
      <c r="M29" s="41" t="s">
        <v>27</v>
      </c>
      <c r="N29" s="41" t="s">
        <v>28</v>
      </c>
      <c r="O29" s="41" t="s">
        <v>31</v>
      </c>
      <c r="Q29" s="41"/>
      <c r="T29" s="13"/>
      <c r="U29" s="48"/>
    </row>
    <row r="30" spans="1:25" x14ac:dyDescent="0.25">
      <c r="A30" s="71" t="s">
        <v>92</v>
      </c>
      <c r="B30" s="85">
        <f>B29</f>
        <v>0</v>
      </c>
      <c r="C30" s="26" t="s">
        <v>86</v>
      </c>
      <c r="D30" s="84">
        <v>500000</v>
      </c>
      <c r="E30" s="84">
        <f>D30*B30</f>
        <v>0</v>
      </c>
      <c r="M30" s="13"/>
      <c r="N30" s="13"/>
      <c r="O30" s="13"/>
      <c r="T30" s="13"/>
      <c r="U30" s="48"/>
    </row>
    <row r="31" spans="1:25" x14ac:dyDescent="0.25">
      <c r="A31" t="s">
        <v>7</v>
      </c>
      <c r="B31" s="13"/>
      <c r="C31" s="13"/>
      <c r="D31" s="2"/>
      <c r="E31" s="2">
        <f>SUM(E27:E29)</f>
        <v>0</v>
      </c>
      <c r="M31" s="49">
        <v>0.05</v>
      </c>
      <c r="N31" s="47">
        <f>+M31*SUM(E10:E42)/2</f>
        <v>14461632.348603655</v>
      </c>
      <c r="O31" s="13">
        <v>50</v>
      </c>
      <c r="Q31" s="2"/>
      <c r="T31" s="13"/>
      <c r="U31" s="48"/>
    </row>
    <row r="32" spans="1:25" x14ac:dyDescent="0.25">
      <c r="A32" s="74"/>
      <c r="B32" s="10"/>
      <c r="C32" s="10"/>
      <c r="D32" s="11"/>
      <c r="E32" s="11"/>
      <c r="T32" s="13"/>
      <c r="U32" s="48"/>
    </row>
    <row r="33" spans="1:21" x14ac:dyDescent="0.25">
      <c r="A33" s="31" t="s">
        <v>75</v>
      </c>
      <c r="B33" s="14"/>
      <c r="C33" s="14"/>
      <c r="D33" s="8"/>
      <c r="E33" s="8"/>
      <c r="T33" s="13"/>
      <c r="U33" s="48"/>
    </row>
    <row r="34" spans="1:21" x14ac:dyDescent="0.25">
      <c r="A34" s="12" t="s">
        <v>76</v>
      </c>
      <c r="B34" s="24">
        <f>+X10</f>
        <v>0</v>
      </c>
      <c r="C34" s="25" t="s">
        <v>6</v>
      </c>
      <c r="D34" s="11">
        <v>25</v>
      </c>
      <c r="E34" s="2">
        <f>+B34*D34</f>
        <v>0</v>
      </c>
      <c r="T34" s="13"/>
      <c r="U34" s="48"/>
    </row>
    <row r="35" spans="1:21" x14ac:dyDescent="0.25">
      <c r="A35" s="18" t="s">
        <v>77</v>
      </c>
      <c r="B35" s="72">
        <f>20*X10</f>
        <v>0</v>
      </c>
      <c r="C35" s="26" t="s">
        <v>64</v>
      </c>
      <c r="D35" s="8">
        <v>25</v>
      </c>
      <c r="E35" s="8">
        <f>+B35*D35</f>
        <v>0</v>
      </c>
      <c r="F35" s="32"/>
      <c r="T35" s="13"/>
      <c r="U35" s="48"/>
    </row>
    <row r="36" spans="1:21" x14ac:dyDescent="0.25">
      <c r="A36" t="s">
        <v>7</v>
      </c>
      <c r="B36" s="13"/>
      <c r="C36" s="13"/>
      <c r="D36" s="2"/>
      <c r="E36" s="2">
        <f>+SUM(E34:E35)</f>
        <v>0</v>
      </c>
      <c r="M36" s="41"/>
      <c r="N36" s="41"/>
      <c r="O36" s="41"/>
      <c r="P36" s="13"/>
      <c r="T36" s="13"/>
      <c r="U36" s="48"/>
    </row>
    <row r="37" spans="1:21" x14ac:dyDescent="0.25">
      <c r="A37" s="78"/>
      <c r="B37" s="78"/>
      <c r="C37" s="78"/>
      <c r="D37" s="78"/>
      <c r="E37" s="78"/>
      <c r="M37" s="41"/>
      <c r="N37" s="41"/>
      <c r="O37" s="41"/>
      <c r="P37" s="13"/>
      <c r="T37" s="79"/>
      <c r="U37" s="80"/>
    </row>
    <row r="38" spans="1:21" x14ac:dyDescent="0.25">
      <c r="A38" s="6" t="s">
        <v>83</v>
      </c>
      <c r="B38" s="75">
        <v>10</v>
      </c>
      <c r="C38" s="75" t="s">
        <v>8</v>
      </c>
      <c r="D38" s="76">
        <f>SUM(E10:E36)/2</f>
        <v>239035245.43146533</v>
      </c>
      <c r="E38" s="77">
        <f>D38*B38/100</f>
        <v>23903524.543146536</v>
      </c>
      <c r="M38" s="41"/>
      <c r="N38" s="41"/>
      <c r="O38" s="41"/>
      <c r="P38" s="13"/>
      <c r="T38" s="13"/>
      <c r="U38" s="48"/>
    </row>
    <row r="39" spans="1:21" x14ac:dyDescent="0.25">
      <c r="A39" t="s">
        <v>7</v>
      </c>
      <c r="B39" s="13"/>
      <c r="C39" s="13"/>
      <c r="D39" s="2"/>
      <c r="E39" s="2">
        <f>SUM(E38)</f>
        <v>23903524.543146536</v>
      </c>
      <c r="M39" s="41"/>
      <c r="N39" s="41"/>
      <c r="O39" s="41"/>
      <c r="P39" s="13"/>
      <c r="T39" s="13"/>
      <c r="U39" s="48"/>
    </row>
    <row r="40" spans="1:21" x14ac:dyDescent="0.25">
      <c r="A40" s="78"/>
      <c r="B40" s="78"/>
      <c r="C40" s="78"/>
      <c r="D40" s="78"/>
      <c r="E40" s="78"/>
      <c r="M40" s="41"/>
      <c r="N40" s="41"/>
      <c r="O40" s="41"/>
      <c r="P40" s="13"/>
      <c r="T40" s="13"/>
      <c r="U40" s="48"/>
    </row>
    <row r="41" spans="1:21" x14ac:dyDescent="0.25">
      <c r="A41" s="6" t="s">
        <v>9</v>
      </c>
      <c r="B41" s="75">
        <v>10</v>
      </c>
      <c r="C41" s="75" t="s">
        <v>8</v>
      </c>
      <c r="D41" s="76">
        <f>SUM(E10:E39)/2</f>
        <v>262938769.97461188</v>
      </c>
      <c r="E41" s="77">
        <f>D41*B41/100</f>
        <v>26293876.997461185</v>
      </c>
      <c r="M41" s="41"/>
      <c r="N41" s="41"/>
      <c r="O41" s="41"/>
      <c r="P41" s="13"/>
      <c r="T41" s="13"/>
      <c r="U41" s="48"/>
    </row>
    <row r="42" spans="1:21" x14ac:dyDescent="0.25">
      <c r="A42" t="s">
        <v>7</v>
      </c>
      <c r="B42" s="13"/>
      <c r="C42" s="13"/>
      <c r="D42" s="2"/>
      <c r="E42" s="2">
        <f>SUM(E41)</f>
        <v>26293876.997461185</v>
      </c>
      <c r="M42" s="41"/>
      <c r="N42" s="41"/>
      <c r="O42" s="41"/>
      <c r="P42" s="13"/>
      <c r="T42" s="13"/>
      <c r="U42" s="48"/>
    </row>
    <row r="43" spans="1:21" s="78" customFormat="1" x14ac:dyDescent="0.25">
      <c r="A43"/>
      <c r="B43" s="13"/>
      <c r="C43" s="13"/>
      <c r="D43" s="2"/>
      <c r="E43" s="2"/>
      <c r="M43" s="79"/>
      <c r="N43" s="79"/>
      <c r="O43" s="79"/>
      <c r="P43" s="79"/>
      <c r="T43" s="13"/>
      <c r="U43" s="48"/>
    </row>
    <row r="44" spans="1:21" x14ac:dyDescent="0.25">
      <c r="A44" s="6" t="s">
        <v>12</v>
      </c>
      <c r="B44" s="14"/>
      <c r="C44" s="14"/>
      <c r="D44" s="11"/>
      <c r="E44" s="11"/>
      <c r="M44" s="13"/>
      <c r="N44" s="42"/>
      <c r="O44" s="24"/>
      <c r="P44" s="13"/>
      <c r="T44" s="13"/>
      <c r="U44" s="48"/>
    </row>
    <row r="45" spans="1:21" x14ac:dyDescent="0.25">
      <c r="A45" t="s">
        <v>89</v>
      </c>
      <c r="B45" s="13">
        <v>10</v>
      </c>
      <c r="C45" s="25" t="s">
        <v>8</v>
      </c>
      <c r="D45" s="37">
        <f>SUM(E10:E42)/2</f>
        <v>289232646.97207308</v>
      </c>
      <c r="E45" s="38">
        <f>D45*B45/100</f>
        <v>28923264.697207309</v>
      </c>
      <c r="M45" s="13"/>
      <c r="N45" s="13"/>
      <c r="O45" s="13"/>
      <c r="P45" s="13"/>
      <c r="T45" s="13"/>
      <c r="U45" s="48"/>
    </row>
    <row r="46" spans="1:21" x14ac:dyDescent="0.25">
      <c r="A46" s="9" t="s">
        <v>90</v>
      </c>
      <c r="B46" s="10">
        <v>15</v>
      </c>
      <c r="C46" s="25" t="s">
        <v>8</v>
      </c>
      <c r="D46" s="36">
        <f>SUM(E10:E42)/2</f>
        <v>289232646.97207308</v>
      </c>
      <c r="E46" s="11">
        <f>D46*B46/100</f>
        <v>43384897.045810968</v>
      </c>
      <c r="T46" s="13"/>
      <c r="U46" s="48"/>
    </row>
    <row r="47" spans="1:21" x14ac:dyDescent="0.25">
      <c r="A47" s="12" t="s">
        <v>19</v>
      </c>
      <c r="B47" s="10">
        <v>11</v>
      </c>
      <c r="C47" s="25" t="s">
        <v>8</v>
      </c>
      <c r="D47" s="36">
        <f>SUM(E10:E42)/2+SUM(D45:D46)+SUM(D48:D50)</f>
        <v>1735395881.8324385</v>
      </c>
      <c r="E47" s="11">
        <f t="shared" ref="E47:E50" si="1">D47*B47/100</f>
        <v>190893547.00156823</v>
      </c>
      <c r="T47" s="13"/>
      <c r="U47" s="48"/>
    </row>
    <row r="48" spans="1:21" x14ac:dyDescent="0.25">
      <c r="A48" s="12" t="s">
        <v>13</v>
      </c>
      <c r="B48" s="10">
        <v>5</v>
      </c>
      <c r="C48" s="25" t="s">
        <v>8</v>
      </c>
      <c r="D48" s="36">
        <f>SUM(E10:E42)/2</f>
        <v>289232646.97207308</v>
      </c>
      <c r="E48" s="11">
        <f t="shared" si="1"/>
        <v>14461632.348603655</v>
      </c>
      <c r="T48" s="13"/>
      <c r="U48" s="48"/>
    </row>
    <row r="49" spans="1:21" x14ac:dyDescent="0.25">
      <c r="A49" s="9" t="s">
        <v>14</v>
      </c>
      <c r="B49" s="10">
        <v>10</v>
      </c>
      <c r="C49" s="25" t="s">
        <v>8</v>
      </c>
      <c r="D49" s="36">
        <f>SUM(E10:E42)/2</f>
        <v>289232646.97207308</v>
      </c>
      <c r="E49" s="11">
        <f t="shared" si="1"/>
        <v>28923264.697207309</v>
      </c>
      <c r="T49" s="13"/>
      <c r="U49" s="48"/>
    </row>
    <row r="50" spans="1:21" x14ac:dyDescent="0.25">
      <c r="A50" s="18" t="s">
        <v>15</v>
      </c>
      <c r="B50" s="14">
        <v>10</v>
      </c>
      <c r="C50" s="26" t="s">
        <v>8</v>
      </c>
      <c r="D50" s="35">
        <f>SUM(E10:E42)/2</f>
        <v>289232646.97207308</v>
      </c>
      <c r="E50" s="8">
        <f t="shared" si="1"/>
        <v>28923264.697207309</v>
      </c>
      <c r="T50" s="13"/>
      <c r="U50" s="48"/>
    </row>
    <row r="51" spans="1:21" x14ac:dyDescent="0.25">
      <c r="A51" t="s">
        <v>7</v>
      </c>
      <c r="B51" s="13"/>
      <c r="C51" s="13"/>
      <c r="D51" s="2"/>
      <c r="E51" s="2">
        <f>SUM(E45:E50)</f>
        <v>335509870.4876048</v>
      </c>
      <c r="T51" s="13"/>
      <c r="U51" s="48"/>
    </row>
    <row r="52" spans="1:21" x14ac:dyDescent="0.25">
      <c r="A52" s="21"/>
      <c r="B52" s="10"/>
      <c r="C52" s="10"/>
      <c r="D52" s="11"/>
      <c r="E52" s="23"/>
      <c r="T52" s="13"/>
      <c r="U52" s="48"/>
    </row>
    <row r="53" spans="1:21" x14ac:dyDescent="0.25">
      <c r="A53" s="6" t="s">
        <v>16</v>
      </c>
      <c r="B53" s="33"/>
      <c r="C53" s="33"/>
      <c r="D53" s="34"/>
      <c r="E53" s="34"/>
      <c r="T53" s="13"/>
      <c r="U53" s="48"/>
    </row>
    <row r="54" spans="1:21" x14ac:dyDescent="0.25">
      <c r="A54" s="27" t="s">
        <v>16</v>
      </c>
      <c r="B54" s="28">
        <v>30</v>
      </c>
      <c r="C54" s="29" t="s">
        <v>8</v>
      </c>
      <c r="D54" s="39">
        <f>SUM(E10:E51)/2</f>
        <v>624742517.45967782</v>
      </c>
      <c r="E54" s="30">
        <f>D54*B54/100</f>
        <v>187422755.23790333</v>
      </c>
      <c r="T54" s="13"/>
      <c r="U54" s="48"/>
    </row>
    <row r="55" spans="1:21" x14ac:dyDescent="0.25">
      <c r="A55" t="s">
        <v>7</v>
      </c>
      <c r="B55" s="13"/>
      <c r="C55" s="13"/>
      <c r="D55" s="2"/>
      <c r="E55" s="2">
        <f>SUM(E54)</f>
        <v>187422755.23790333</v>
      </c>
      <c r="T55" s="13"/>
      <c r="U55" s="48"/>
    </row>
    <row r="56" spans="1:21" x14ac:dyDescent="0.25">
      <c r="B56" s="10"/>
      <c r="C56" s="10"/>
      <c r="D56" s="11"/>
      <c r="E56" s="11"/>
      <c r="T56" s="13"/>
      <c r="U56" s="48"/>
    </row>
    <row r="57" spans="1:21" x14ac:dyDescent="0.25">
      <c r="A57" s="31" t="s">
        <v>91</v>
      </c>
      <c r="B57" s="122"/>
      <c r="C57" s="122"/>
      <c r="D57" s="123"/>
      <c r="E57" s="123"/>
      <c r="F57" s="87"/>
      <c r="G57" s="87"/>
      <c r="T57" s="13"/>
      <c r="U57" s="48"/>
    </row>
    <row r="58" spans="1:21" x14ac:dyDescent="0.25">
      <c r="A58" s="18" t="s">
        <v>92</v>
      </c>
      <c r="B58" s="126">
        <f>X10*74/43560</f>
        <v>0</v>
      </c>
      <c r="C58" s="103" t="s">
        <v>86</v>
      </c>
      <c r="D58" s="117">
        <v>500000</v>
      </c>
      <c r="E58" s="117">
        <f>B58*D58</f>
        <v>0</v>
      </c>
      <c r="F58" s="101" t="s">
        <v>99</v>
      </c>
      <c r="G58" s="87"/>
      <c r="T58" s="13"/>
      <c r="U58" s="48"/>
    </row>
    <row r="59" spans="1:21" x14ac:dyDescent="0.25">
      <c r="A59" s="101" t="s">
        <v>7</v>
      </c>
      <c r="B59" s="127"/>
      <c r="C59" s="127"/>
      <c r="D59" s="128"/>
      <c r="E59" s="128">
        <f>SUM(E58)</f>
        <v>0</v>
      </c>
      <c r="F59" s="87"/>
      <c r="G59" s="87"/>
      <c r="T59" s="13"/>
      <c r="U59" s="48"/>
    </row>
    <row r="60" spans="1:21" x14ac:dyDescent="0.25">
      <c r="A60" s="87"/>
      <c r="B60" s="87"/>
      <c r="C60" s="87"/>
      <c r="D60" s="87"/>
      <c r="E60" s="87"/>
      <c r="F60" s="87"/>
      <c r="G60" s="87"/>
      <c r="T60" s="13"/>
      <c r="U60" s="48"/>
    </row>
    <row r="61" spans="1:21" x14ac:dyDescent="0.25">
      <c r="A61" s="87"/>
      <c r="B61" s="87"/>
      <c r="C61" s="87"/>
      <c r="D61" s="87"/>
      <c r="E61" s="87"/>
      <c r="F61" s="87"/>
      <c r="G61" s="87"/>
      <c r="T61" s="13"/>
      <c r="U61" s="48"/>
    </row>
    <row r="62" spans="1:21" x14ac:dyDescent="0.25">
      <c r="A62" s="74" t="s">
        <v>94</v>
      </c>
      <c r="B62" s="110"/>
      <c r="C62" s="87"/>
      <c r="D62" s="104"/>
      <c r="E62" s="148">
        <f>SUM(E10:E55)/2</f>
        <v>812165272.69758117</v>
      </c>
      <c r="F62" s="100"/>
      <c r="G62" s="87"/>
      <c r="T62" s="13"/>
      <c r="U62" s="48"/>
    </row>
    <row r="63" spans="1:21" x14ac:dyDescent="0.25">
      <c r="A63" s="87"/>
      <c r="B63" s="110"/>
      <c r="C63" s="110"/>
      <c r="D63" s="99"/>
      <c r="E63" s="130"/>
      <c r="F63" s="87"/>
      <c r="G63" s="87"/>
      <c r="T63" s="13"/>
      <c r="U63" s="48"/>
    </row>
    <row r="64" spans="1:21" x14ac:dyDescent="0.25">
      <c r="A64" s="74" t="s">
        <v>95</v>
      </c>
      <c r="B64" s="131"/>
      <c r="C64" s="110"/>
      <c r="D64" s="99"/>
      <c r="E64" s="100">
        <f>E59</f>
        <v>0</v>
      </c>
      <c r="F64" s="87"/>
      <c r="G64" s="87"/>
      <c r="T64" s="13"/>
      <c r="U64" s="48"/>
    </row>
    <row r="65" spans="1:21" x14ac:dyDescent="0.25">
      <c r="A65" s="87"/>
      <c r="B65" s="110"/>
      <c r="C65" s="110"/>
      <c r="D65" s="99"/>
      <c r="E65" s="99"/>
      <c r="F65" s="87"/>
      <c r="G65" s="87"/>
      <c r="T65" s="13"/>
      <c r="U65" s="48"/>
    </row>
    <row r="66" spans="1:21" x14ac:dyDescent="0.25">
      <c r="A66" s="74" t="s">
        <v>93</v>
      </c>
      <c r="B66" s="87"/>
      <c r="C66" s="87"/>
      <c r="D66" s="87"/>
      <c r="E66" s="154">
        <f>+PMT(0.03375,50,-E62-E64,0)</f>
        <v>33848821.928688988</v>
      </c>
      <c r="F66" s="101" t="s">
        <v>98</v>
      </c>
      <c r="G66" s="87"/>
      <c r="T66" s="13"/>
      <c r="U66" s="48"/>
    </row>
    <row r="67" spans="1:21" x14ac:dyDescent="0.25">
      <c r="A67" s="87"/>
      <c r="B67" s="87"/>
      <c r="C67" s="87"/>
      <c r="D67" s="87"/>
      <c r="E67" s="87"/>
      <c r="F67" s="87"/>
      <c r="G67" s="87"/>
      <c r="T67" s="13"/>
      <c r="U67" s="48"/>
    </row>
    <row r="68" spans="1:21" x14ac:dyDescent="0.25">
      <c r="A68" s="92" t="s">
        <v>29</v>
      </c>
      <c r="B68" s="57"/>
      <c r="C68" s="57"/>
      <c r="D68" s="99"/>
      <c r="E68" s="99">
        <f>N31+P26</f>
        <v>14461632.348603655</v>
      </c>
      <c r="F68" s="87"/>
      <c r="G68" s="87"/>
      <c r="T68" s="13"/>
      <c r="U68" s="48"/>
    </row>
    <row r="69" spans="1:21" x14ac:dyDescent="0.25">
      <c r="A69" s="74"/>
      <c r="B69" s="110"/>
      <c r="C69" s="110"/>
      <c r="D69" s="99"/>
      <c r="E69" s="99"/>
      <c r="F69" s="87"/>
      <c r="G69" s="87"/>
      <c r="T69" s="13"/>
      <c r="U69" s="48"/>
    </row>
    <row r="70" spans="1:21" x14ac:dyDescent="0.25">
      <c r="A70" s="92" t="s">
        <v>80</v>
      </c>
      <c r="B70" s="87"/>
      <c r="C70" s="87"/>
      <c r="D70" s="87"/>
      <c r="E70" s="133">
        <f>+Y10</f>
        <v>1076.1966737899388</v>
      </c>
      <c r="F70" s="87"/>
      <c r="G70" s="87"/>
      <c r="T70" s="13"/>
      <c r="U70" s="48"/>
    </row>
    <row r="71" spans="1:21" x14ac:dyDescent="0.25">
      <c r="A71" s="57"/>
      <c r="B71" s="110"/>
      <c r="C71" s="110"/>
      <c r="D71" s="99"/>
      <c r="E71" s="99"/>
      <c r="F71" s="87"/>
      <c r="G71" s="87"/>
      <c r="T71" s="13"/>
      <c r="U71" s="48"/>
    </row>
    <row r="72" spans="1:21" x14ac:dyDescent="0.25">
      <c r="A72" s="74" t="s">
        <v>96</v>
      </c>
      <c r="B72" s="110"/>
      <c r="C72" s="110"/>
      <c r="D72" s="99"/>
      <c r="E72" s="99">
        <f>+(E66+E68)/E70</f>
        <v>44889.986611055334</v>
      </c>
      <c r="F72" s="87"/>
      <c r="G72" s="87"/>
      <c r="T72" s="13"/>
      <c r="U72" s="48"/>
    </row>
    <row r="73" spans="1:21" x14ac:dyDescent="0.25">
      <c r="A73" s="87"/>
      <c r="B73" s="87"/>
      <c r="C73" s="87"/>
      <c r="D73" s="87"/>
      <c r="E73" s="87"/>
      <c r="F73" s="87"/>
      <c r="G73" s="87"/>
      <c r="T73" s="13"/>
      <c r="U73" s="48"/>
    </row>
    <row r="74" spans="1:21" x14ac:dyDescent="0.25">
      <c r="A74" s="87"/>
      <c r="B74" s="87"/>
      <c r="C74" s="87"/>
      <c r="D74" s="87"/>
      <c r="E74" s="87"/>
      <c r="F74" s="87"/>
      <c r="G74" s="87"/>
      <c r="T74" s="13"/>
      <c r="U74" s="48"/>
    </row>
    <row r="75" spans="1:21" x14ac:dyDescent="0.25">
      <c r="A75" s="87"/>
      <c r="B75" s="87"/>
      <c r="C75" s="87"/>
      <c r="D75" s="87"/>
      <c r="E75" s="87"/>
      <c r="F75" s="87"/>
      <c r="G75" s="87"/>
      <c r="T75" s="13"/>
      <c r="U75" s="48"/>
    </row>
    <row r="76" spans="1:21" x14ac:dyDescent="0.25">
      <c r="A76" s="87"/>
      <c r="B76" s="87"/>
      <c r="C76" s="87"/>
      <c r="D76" s="87"/>
      <c r="E76" s="87"/>
      <c r="F76" s="87"/>
      <c r="G76" s="87"/>
      <c r="T76" s="13"/>
      <c r="U76" s="48"/>
    </row>
    <row r="77" spans="1:21" x14ac:dyDescent="0.25">
      <c r="A77" s="87"/>
      <c r="B77" s="87"/>
      <c r="C77" s="87"/>
      <c r="D77" s="87"/>
      <c r="E77" s="87"/>
      <c r="F77" s="87"/>
      <c r="G77" s="87"/>
      <c r="T77" s="13"/>
      <c r="U77" s="48"/>
    </row>
  </sheetData>
  <pageMargins left="0.75" right="0.75" top="1" bottom="1" header="0.5" footer="0.5"/>
  <pageSetup scale="43" orientation="landscape"/>
  <headerFooter alignWithMargins="0">
    <oddFooter>&amp;LLA Basin Stormwater Conservation Study_Project Costs&amp;R&amp;D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Title</vt:lpstr>
      <vt:lpstr>Summary</vt:lpstr>
      <vt:lpstr>5 Aliso</vt:lpstr>
      <vt:lpstr>5 Arroyo</vt:lpstr>
      <vt:lpstr>5 Bell</vt:lpstr>
      <vt:lpstr>5 Browns</vt:lpstr>
      <vt:lpstr>5 Bull</vt:lpstr>
      <vt:lpstr>5 Burbank</vt:lpstr>
      <vt:lpstr>5 Tejunga</vt:lpstr>
      <vt:lpstr>5 Verdugo</vt:lpstr>
      <vt:lpstr>5 Alhambra</vt:lpstr>
      <vt:lpstr>5 Big Dalton</vt:lpstr>
      <vt:lpstr>5 Eaton</vt:lpstr>
      <vt:lpstr>5 Rio Hondo</vt:lpstr>
      <vt:lpstr>5 Rubio</vt:lpstr>
      <vt:lpstr>5 San Jose</vt:lpstr>
      <vt:lpstr>5 Walnut</vt:lpstr>
      <vt:lpstr>'5 Alhambra'!Print_Area</vt:lpstr>
      <vt:lpstr>'5 Aliso'!Print_Area</vt:lpstr>
      <vt:lpstr>'5 Arroyo'!Print_Area</vt:lpstr>
      <vt:lpstr>'5 Bell'!Print_Area</vt:lpstr>
      <vt:lpstr>'5 Big Dalton'!Print_Area</vt:lpstr>
      <vt:lpstr>'5 Browns'!Print_Area</vt:lpstr>
      <vt:lpstr>'5 Bull'!Print_Area</vt:lpstr>
      <vt:lpstr>'5 Burbank'!Print_Area</vt:lpstr>
      <vt:lpstr>'5 Eaton'!Print_Area</vt:lpstr>
      <vt:lpstr>'5 Rio Hondo'!Print_Area</vt:lpstr>
      <vt:lpstr>'5 Rubio'!Print_Area</vt:lpstr>
      <vt:lpstr>'5 San Jose'!Print_Area</vt:lpstr>
      <vt:lpstr>'5 Tejunga'!Print_Area</vt:lpstr>
      <vt:lpstr>'5 Verdugo'!Print_Area</vt:lpstr>
      <vt:lpstr>'5 Walnut'!Print_Area</vt:lpstr>
      <vt:lpstr>Summary!Print_Area</vt:lpstr>
      <vt:lpstr>Title!Print_Area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Bral</dc:creator>
  <cp:lastModifiedBy>Summerville, Nathaniel/SCO</cp:lastModifiedBy>
  <cp:lastPrinted>2015-08-12T15:40:45Z</cp:lastPrinted>
  <dcterms:created xsi:type="dcterms:W3CDTF">2002-10-09T16:06:11Z</dcterms:created>
  <dcterms:modified xsi:type="dcterms:W3CDTF">2015-10-13T15:54:11Z</dcterms:modified>
</cp:coreProperties>
</file>