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CHERON\Projects\Los Angeles County DPW\477376WatershedCall\LABasinStormwaterCaptureStudy\Report\AppendixD_Cost\"/>
    </mc:Choice>
  </mc:AlternateContent>
  <bookViews>
    <workbookView xWindow="360" yWindow="108" windowWidth="11340" windowHeight="8328" tabRatio="763"/>
  </bookViews>
  <sheets>
    <sheet name="Title" sheetId="1" r:id="rId1"/>
    <sheet name="Summary" sheetId="2" r:id="rId2"/>
    <sheet name="4 Sepulveda" sheetId="3" r:id="rId3"/>
    <sheet name="4 Miller Pit" sheetId="4" r:id="rId4"/>
    <sheet name="4 Spadra Basin" sheetId="5" r:id="rId5"/>
    <sheet name="4 Tujunga" sheetId="6" r:id="rId6"/>
    <sheet name="4 United" sheetId="7" r:id="rId7"/>
    <sheet name="4 LA Forbay" sheetId="8" r:id="rId8"/>
    <sheet name="4 Bull Creek" sheetId="9" r:id="rId9"/>
    <sheet name="4 Browns Creek" sheetId="10" r:id="rId10"/>
    <sheet name="Existing Basin Improvements" sheetId="12" r:id="rId11"/>
  </sheets>
  <definedNames>
    <definedName name="_xlnm.Print_Area" localSheetId="9">'4 Browns Creek'!$A$1:$R$57</definedName>
    <definedName name="_xlnm.Print_Area" localSheetId="8">'4 Bull Creek'!$A$1:$R$59</definedName>
    <definedName name="_xlnm.Print_Area" localSheetId="7">'4 LA Forbay'!$A$1:$R$59</definedName>
    <definedName name="_xlnm.Print_Area" localSheetId="3">'4 Miller Pit'!$A$1:$R$59</definedName>
    <definedName name="_xlnm.Print_Area" localSheetId="2">'4 Sepulveda'!$A$1:$R$59</definedName>
    <definedName name="_xlnm.Print_Area" localSheetId="4">'4 Spadra Basin'!$A$1:$R$59</definedName>
    <definedName name="_xlnm.Print_Area" localSheetId="5">'4 Tujunga'!$A$1:$R$59</definedName>
    <definedName name="_xlnm.Print_Area" localSheetId="6">'4 United'!$A$1:$Q$59</definedName>
    <definedName name="_xlnm.Print_Area" localSheetId="1">Summary!$A$1:$J$42</definedName>
    <definedName name="Z_0938481C_6147_45AE_A91B_B3C254F54487_.wvu.Cols" localSheetId="9" hidden="1">'4 Browns Creek'!$J:$K</definedName>
    <definedName name="Z_0938481C_6147_45AE_A91B_B3C254F54487_.wvu.Cols" localSheetId="8" hidden="1">'4 Bull Creek'!$J:$K</definedName>
    <definedName name="Z_0938481C_6147_45AE_A91B_B3C254F54487_.wvu.Cols" localSheetId="7" hidden="1">'4 LA Forbay'!$J:$K</definedName>
    <definedName name="Z_0938481C_6147_45AE_A91B_B3C254F54487_.wvu.Cols" localSheetId="3" hidden="1">'4 Miller Pit'!$J:$K</definedName>
    <definedName name="Z_0938481C_6147_45AE_A91B_B3C254F54487_.wvu.Cols" localSheetId="2" hidden="1">'4 Sepulveda'!$J:$K</definedName>
    <definedName name="Z_0938481C_6147_45AE_A91B_B3C254F54487_.wvu.Cols" localSheetId="4" hidden="1">'4 Spadra Basin'!$J:$K</definedName>
    <definedName name="Z_0938481C_6147_45AE_A91B_B3C254F54487_.wvu.Cols" localSheetId="5" hidden="1">'4 Tujunga'!$J:$K</definedName>
    <definedName name="Z_0938481C_6147_45AE_A91B_B3C254F54487_.wvu.Cols" localSheetId="6" hidden="1">'4 United'!$J:$K</definedName>
    <definedName name="Z_0938481C_6147_45AE_A91B_B3C254F54487_.wvu.PrintArea" localSheetId="9" hidden="1">'4 Browns Creek'!$A$1:$R$57</definedName>
    <definedName name="Z_0938481C_6147_45AE_A91B_B3C254F54487_.wvu.PrintArea" localSheetId="8" hidden="1">'4 Bull Creek'!$A$1:$R$57</definedName>
    <definedName name="Z_0938481C_6147_45AE_A91B_B3C254F54487_.wvu.PrintArea" localSheetId="7" hidden="1">'4 LA Forbay'!$A$1:$R$57</definedName>
    <definedName name="Z_0938481C_6147_45AE_A91B_B3C254F54487_.wvu.PrintArea" localSheetId="3" hidden="1">'4 Miller Pit'!$A$1:$R$57</definedName>
    <definedName name="Z_0938481C_6147_45AE_A91B_B3C254F54487_.wvu.PrintArea" localSheetId="2" hidden="1">'4 Sepulveda'!$A$1:$R$58</definedName>
    <definedName name="Z_0938481C_6147_45AE_A91B_B3C254F54487_.wvu.PrintArea" localSheetId="4" hidden="1">'4 Spadra Basin'!$A$1:$R$57</definedName>
    <definedName name="Z_0938481C_6147_45AE_A91B_B3C254F54487_.wvu.PrintArea" localSheetId="5" hidden="1">'4 Tujunga'!$A$1:$R$57</definedName>
    <definedName name="Z_0938481C_6147_45AE_A91B_B3C254F54487_.wvu.PrintArea" localSheetId="6" hidden="1">'4 United'!$A$1:$Q$59</definedName>
    <definedName name="Z_0938481C_6147_45AE_A91B_B3C254F54487_.wvu.PrintArea" localSheetId="1" hidden="1">Summary!$A$1:$J$38</definedName>
  </definedNames>
  <calcPr calcId="152511"/>
  <customWorkbookViews>
    <customWorkbookView name="Peji, Kayla/SCO - Personal View" guid="{0938481C-6147-45AE-A91B-B3C254F54487}" mergeInterval="0" personalView="1" maximized="1" xWindow="-1929" yWindow="-100" windowWidth="1938" windowHeight="1098" tabRatio="788" activeSheetId="7"/>
    <customWorkbookView name="Summerville, Nathaniel/SCO - Personal View" guid="{DE980C82-6B2E-45C1-AD5F-2B41EFFE9ED0}" mergeInterval="0" personalView="1" xWindow="471" yWindow="179" windowWidth="960" windowHeight="736" activeSheetId="10" showComments="commIndAndComment"/>
  </customWorkbookViews>
  <fileRecoveryPr autoRecover="0"/>
</workbook>
</file>

<file path=xl/calcChain.xml><?xml version="1.0" encoding="utf-8"?>
<calcChain xmlns="http://schemas.openxmlformats.org/spreadsheetml/2006/main">
  <c r="N24" i="12" l="1"/>
  <c r="E55" i="12"/>
  <c r="B21" i="8" l="1"/>
  <c r="E56" i="3" l="1"/>
  <c r="E62" i="3"/>
  <c r="E58" i="3"/>
  <c r="B22" i="1" l="1"/>
  <c r="O23" i="3" l="1"/>
  <c r="O23" i="4"/>
  <c r="P16" i="4"/>
  <c r="M23" i="4"/>
  <c r="N23" i="4"/>
  <c r="B15" i="7" l="1"/>
  <c r="B15" i="6"/>
  <c r="E60" i="4"/>
  <c r="E61" i="12"/>
  <c r="E20" i="12"/>
  <c r="E21" i="12"/>
  <c r="E19" i="12"/>
  <c r="E15" i="12" l="1"/>
  <c r="E16" i="12" l="1"/>
  <c r="H28" i="2" l="1"/>
  <c r="G28" i="2"/>
  <c r="F28" i="2"/>
  <c r="E28" i="2"/>
  <c r="I11" i="2"/>
  <c r="H11" i="2"/>
  <c r="G11" i="2"/>
  <c r="F11" i="2"/>
  <c r="E11" i="2"/>
  <c r="B12" i="1" l="1"/>
  <c r="H36" i="2"/>
  <c r="H34" i="2"/>
  <c r="H24" i="2"/>
  <c r="H22" i="2"/>
  <c r="E11" i="12" l="1"/>
  <c r="E12" i="12"/>
  <c r="E13" i="12"/>
  <c r="E14" i="12"/>
  <c r="E17" i="12"/>
  <c r="E18" i="12"/>
  <c r="E10" i="12"/>
  <c r="E51" i="12"/>
  <c r="E52" i="12" s="1"/>
  <c r="E57" i="12" s="1"/>
  <c r="N17" i="12"/>
  <c r="P17" i="12" s="1"/>
  <c r="B28" i="12"/>
  <c r="E28" i="12" s="1"/>
  <c r="E29" i="12" s="1"/>
  <c r="B24" i="12"/>
  <c r="E24" i="12" s="1"/>
  <c r="E25" i="12" s="1"/>
  <c r="D31" i="12" l="1"/>
  <c r="E31" i="12" s="1"/>
  <c r="E56" i="10"/>
  <c r="B48" i="10"/>
  <c r="E48" i="10" s="1"/>
  <c r="E49" i="10" s="1"/>
  <c r="E54" i="10" s="1"/>
  <c r="B48" i="9"/>
  <c r="E48" i="9" s="1"/>
  <c r="E49" i="9" s="1"/>
  <c r="E54" i="9" s="1"/>
  <c r="E56" i="8"/>
  <c r="E48" i="8"/>
  <c r="E49" i="8" s="1"/>
  <c r="E54" i="8" s="1"/>
  <c r="B48" i="8"/>
  <c r="D11" i="7"/>
  <c r="B48" i="7"/>
  <c r="E48" i="7" s="1"/>
  <c r="E49" i="7" s="1"/>
  <c r="E54" i="7" s="1"/>
  <c r="E56" i="6"/>
  <c r="E48" i="6"/>
  <c r="E49" i="6" s="1"/>
  <c r="E54" i="6" s="1"/>
  <c r="B48" i="6"/>
  <c r="D11" i="6"/>
  <c r="B48" i="5"/>
  <c r="E48" i="5" s="1"/>
  <c r="E49" i="5" s="1"/>
  <c r="E54" i="5" s="1"/>
  <c r="D11" i="5"/>
  <c r="B48" i="4"/>
  <c r="E48" i="4" s="1"/>
  <c r="E49" i="4" s="1"/>
  <c r="E54" i="4" s="1"/>
  <c r="D11" i="4"/>
  <c r="D11" i="3"/>
  <c r="E48" i="3"/>
  <c r="E49" i="3" s="1"/>
  <c r="E54" i="3" s="1"/>
  <c r="B48" i="3"/>
  <c r="E32" i="12" l="1"/>
  <c r="M31" i="8"/>
  <c r="M31" i="9"/>
  <c r="M31" i="10"/>
  <c r="D34" i="12" l="1"/>
  <c r="E34" i="12" s="1"/>
  <c r="E35" i="12" s="1"/>
  <c r="M23" i="6"/>
  <c r="N31" i="7"/>
  <c r="P31" i="7" s="1"/>
  <c r="H30" i="2" l="1"/>
  <c r="D42" i="12"/>
  <c r="E42" i="12" s="1"/>
  <c r="D43" i="12"/>
  <c r="E43" i="12" s="1"/>
  <c r="D39" i="12"/>
  <c r="E39" i="12" s="1"/>
  <c r="D38" i="12"/>
  <c r="D41" i="12"/>
  <c r="E41" i="12" s="1"/>
  <c r="E60" i="7"/>
  <c r="E38" i="12" l="1"/>
  <c r="D40" i="12"/>
  <c r="E40" i="12" s="1"/>
  <c r="E44" i="12" l="1"/>
  <c r="D47" i="12" s="1"/>
  <c r="E47" i="12" s="1"/>
  <c r="E48" i="12" s="1"/>
  <c r="H26" i="2" l="1"/>
  <c r="E59" i="12" l="1"/>
  <c r="E65" i="12" s="1"/>
  <c r="H38" i="2" s="1"/>
  <c r="H5" i="2" l="1"/>
  <c r="G22" i="2"/>
  <c r="E60" i="10"/>
  <c r="G32" i="2" l="1"/>
  <c r="F32" i="2"/>
  <c r="E32" i="2"/>
  <c r="F22" i="2"/>
  <c r="E22" i="2"/>
  <c r="G24" i="2"/>
  <c r="N31" i="10"/>
  <c r="P31" i="10" s="1"/>
  <c r="B25" i="10"/>
  <c r="E25" i="10" s="1"/>
  <c r="E26" i="10" s="1"/>
  <c r="M24" i="10"/>
  <c r="N24" i="10" s="1"/>
  <c r="O24" i="10" s="1"/>
  <c r="B15" i="10" s="1"/>
  <c r="E15" i="10" s="1"/>
  <c r="B21" i="10"/>
  <c r="E21" i="10" s="1"/>
  <c r="B17" i="10"/>
  <c r="E17" i="10" s="1"/>
  <c r="B16" i="10"/>
  <c r="E16" i="10" s="1"/>
  <c r="O17" i="10"/>
  <c r="P17" i="10" s="1"/>
  <c r="E11" i="10"/>
  <c r="E10" i="10"/>
  <c r="N10" i="10" s="1"/>
  <c r="O10" i="10" s="1"/>
  <c r="E60" i="9"/>
  <c r="F24" i="2" s="1"/>
  <c r="N31" i="9"/>
  <c r="P31" i="9" s="1"/>
  <c r="B25" i="9"/>
  <c r="E25" i="9" s="1"/>
  <c r="E26" i="9" s="1"/>
  <c r="M24" i="9"/>
  <c r="N24" i="9" s="1"/>
  <c r="O24" i="9" s="1"/>
  <c r="B15" i="9" s="1"/>
  <c r="E15" i="9" s="1"/>
  <c r="B21" i="9"/>
  <c r="E21" i="9" s="1"/>
  <c r="E22" i="9" s="1"/>
  <c r="B17" i="9"/>
  <c r="E17" i="9" s="1"/>
  <c r="B16" i="9"/>
  <c r="E16" i="9" s="1"/>
  <c r="O17" i="9"/>
  <c r="P17" i="9" s="1"/>
  <c r="E11" i="9"/>
  <c r="E10" i="9"/>
  <c r="E60" i="8"/>
  <c r="E24" i="2" s="1"/>
  <c r="N31" i="8"/>
  <c r="P31" i="8" s="1"/>
  <c r="B25" i="8"/>
  <c r="E25" i="8" s="1"/>
  <c r="E26" i="8" s="1"/>
  <c r="M24" i="8"/>
  <c r="N24" i="8" s="1"/>
  <c r="O24" i="8" s="1"/>
  <c r="B15" i="8" s="1"/>
  <c r="E15" i="8" s="1"/>
  <c r="E21" i="8"/>
  <c r="B17" i="8"/>
  <c r="E17" i="8" s="1"/>
  <c r="B16" i="8"/>
  <c r="E16" i="8" s="1"/>
  <c r="O17" i="8"/>
  <c r="P17" i="8" s="1"/>
  <c r="E11" i="8"/>
  <c r="E10" i="8"/>
  <c r="N10" i="8" s="1"/>
  <c r="O10" i="8" s="1"/>
  <c r="N10" i="9" l="1"/>
  <c r="O10" i="9" s="1"/>
  <c r="G36" i="2"/>
  <c r="E34" i="2"/>
  <c r="G34" i="2"/>
  <c r="F34" i="2"/>
  <c r="F36" i="2"/>
  <c r="E36" i="2"/>
  <c r="E22" i="10"/>
  <c r="E22" i="8"/>
  <c r="E18" i="10"/>
  <c r="E12" i="10"/>
  <c r="E18" i="9"/>
  <c r="E12" i="9"/>
  <c r="E18" i="8"/>
  <c r="E12" i="8"/>
  <c r="D28" i="9" l="1"/>
  <c r="E28" i="9" s="1"/>
  <c r="D28" i="8"/>
  <c r="E28" i="8" s="1"/>
  <c r="E29" i="8" s="1"/>
  <c r="D28" i="10"/>
  <c r="E28" i="10" s="1"/>
  <c r="E29" i="9" l="1"/>
  <c r="D31" i="8"/>
  <c r="E31" i="8" s="1"/>
  <c r="E32" i="8" s="1"/>
  <c r="E29" i="10"/>
  <c r="D31" i="9" l="1"/>
  <c r="E31" i="9" s="1"/>
  <c r="E32" i="9" s="1"/>
  <c r="D38" i="9" s="1"/>
  <c r="E38" i="9" s="1"/>
  <c r="D35" i="8"/>
  <c r="D36" i="8"/>
  <c r="E36" i="8" s="1"/>
  <c r="D31" i="10"/>
  <c r="E31" i="10" s="1"/>
  <c r="D39" i="8"/>
  <c r="E39" i="8" s="1"/>
  <c r="D38" i="8"/>
  <c r="E38" i="8" s="1"/>
  <c r="D40" i="8"/>
  <c r="E40" i="8" s="1"/>
  <c r="N36" i="8"/>
  <c r="E58" i="8" s="1"/>
  <c r="E32" i="10" l="1"/>
  <c r="D35" i="10" s="1"/>
  <c r="E35" i="10" s="1"/>
  <c r="D35" i="9"/>
  <c r="E35" i="9" s="1"/>
  <c r="D37" i="8"/>
  <c r="E37" i="8" s="1"/>
  <c r="E35" i="8"/>
  <c r="D36" i="9"/>
  <c r="E36" i="9" s="1"/>
  <c r="D39" i="9"/>
  <c r="E39" i="9" s="1"/>
  <c r="N36" i="9"/>
  <c r="E58" i="9" s="1"/>
  <c r="D40" i="9"/>
  <c r="E40" i="9" s="1"/>
  <c r="D38" i="10" l="1"/>
  <c r="E38" i="10" s="1"/>
  <c r="D36" i="10"/>
  <c r="E36" i="10" s="1"/>
  <c r="N36" i="10"/>
  <c r="E58" i="10" s="1"/>
  <c r="D39" i="10"/>
  <c r="E39" i="10" s="1"/>
  <c r="D40" i="10"/>
  <c r="E40" i="10" s="1"/>
  <c r="D37" i="9"/>
  <c r="E37" i="9" s="1"/>
  <c r="E41" i="9" s="1"/>
  <c r="E41" i="8"/>
  <c r="E30" i="2"/>
  <c r="D44" i="8"/>
  <c r="E44" i="8" s="1"/>
  <c r="E45" i="8" s="1"/>
  <c r="D37" i="10" l="1"/>
  <c r="E37" i="10" s="1"/>
  <c r="E41" i="10" s="1"/>
  <c r="D44" i="9"/>
  <c r="E44" i="9" s="1"/>
  <c r="E45" i="9" s="1"/>
  <c r="F30" i="2"/>
  <c r="E52" i="8"/>
  <c r="D44" i="10" l="1"/>
  <c r="E44" i="10" s="1"/>
  <c r="E45" i="10" s="1"/>
  <c r="E52" i="10" s="1"/>
  <c r="E62" i="10" s="1"/>
  <c r="G38" i="2" s="1"/>
  <c r="E52" i="9"/>
  <c r="G30" i="2"/>
  <c r="E62" i="8"/>
  <c r="E38" i="2" s="1"/>
  <c r="E26" i="2"/>
  <c r="G26" i="2" l="1"/>
  <c r="E56" i="9"/>
  <c r="E62" i="9" s="1"/>
  <c r="F38" i="2" s="1"/>
  <c r="F26" i="2"/>
  <c r="M23" i="3"/>
  <c r="N23" i="3" s="1"/>
  <c r="I5" i="2" l="1"/>
  <c r="E60" i="6" l="1"/>
  <c r="E60" i="5"/>
  <c r="E60" i="3"/>
  <c r="I15" i="2" l="1"/>
  <c r="H15" i="2"/>
  <c r="G15" i="2"/>
  <c r="F15" i="2"/>
  <c r="E15" i="2"/>
  <c r="B16" i="1" s="1"/>
  <c r="G5" i="2"/>
  <c r="F5" i="2"/>
  <c r="E5" i="2"/>
  <c r="F7" i="2" l="1"/>
  <c r="H7" i="2"/>
  <c r="I7" i="2"/>
  <c r="E7" i="2"/>
  <c r="G7" i="2"/>
  <c r="N30" i="3"/>
  <c r="P30" i="3" s="1"/>
  <c r="N30" i="6"/>
  <c r="N30" i="5"/>
  <c r="N30" i="4"/>
  <c r="B25" i="7"/>
  <c r="B21" i="7"/>
  <c r="E21" i="7" s="1"/>
  <c r="B17" i="7"/>
  <c r="E17" i="7" s="1"/>
  <c r="B16" i="7"/>
  <c r="E16" i="7" s="1"/>
  <c r="M24" i="7"/>
  <c r="N24" i="7" s="1"/>
  <c r="O24" i="7" s="1"/>
  <c r="E15" i="7" s="1"/>
  <c r="O17" i="7"/>
  <c r="P17" i="7" s="1"/>
  <c r="E11" i="7"/>
  <c r="E10" i="7"/>
  <c r="B25" i="6"/>
  <c r="B21" i="6"/>
  <c r="E21" i="6" s="1"/>
  <c r="B17" i="6"/>
  <c r="E17" i="6" s="1"/>
  <c r="B16" i="6"/>
  <c r="E16" i="6" s="1"/>
  <c r="N23" i="6"/>
  <c r="O16" i="6"/>
  <c r="P16" i="6" s="1"/>
  <c r="O16" i="5"/>
  <c r="P16" i="5" s="1"/>
  <c r="O16" i="4"/>
  <c r="E11" i="6"/>
  <c r="E10" i="6"/>
  <c r="B25" i="5"/>
  <c r="B21" i="5"/>
  <c r="E21" i="5" s="1"/>
  <c r="B17" i="5"/>
  <c r="E17" i="5" s="1"/>
  <c r="B16" i="5"/>
  <c r="E16" i="5" s="1"/>
  <c r="M23" i="5"/>
  <c r="N23" i="5" s="1"/>
  <c r="O23" i="5" s="1"/>
  <c r="B15" i="5" s="1"/>
  <c r="O16" i="3"/>
  <c r="P16" i="3" s="1"/>
  <c r="E11" i="5"/>
  <c r="E10" i="5"/>
  <c r="B25" i="4"/>
  <c r="B21" i="4"/>
  <c r="E21" i="4" s="1"/>
  <c r="B17" i="4"/>
  <c r="E17" i="4" s="1"/>
  <c r="B16" i="4"/>
  <c r="E16" i="4" s="1"/>
  <c r="B15" i="4"/>
  <c r="E11" i="4"/>
  <c r="E10" i="4"/>
  <c r="B25" i="3"/>
  <c r="B21" i="3"/>
  <c r="B17" i="3"/>
  <c r="B16" i="3"/>
  <c r="B15" i="3"/>
  <c r="B26" i="1" l="1"/>
  <c r="N10" i="7"/>
  <c r="O10" i="7" s="1"/>
  <c r="O23" i="6"/>
  <c r="E15" i="6" s="1"/>
  <c r="E12" i="7"/>
  <c r="E18" i="7"/>
  <c r="I19" i="2"/>
  <c r="E25" i="7"/>
  <c r="E26" i="7" s="1"/>
  <c r="I17" i="2"/>
  <c r="E25" i="6"/>
  <c r="E26" i="6" s="1"/>
  <c r="H17" i="2"/>
  <c r="P30" i="6"/>
  <c r="H19" i="2"/>
  <c r="E15" i="5"/>
  <c r="E25" i="5"/>
  <c r="E26" i="5" s="1"/>
  <c r="G17" i="2"/>
  <c r="P30" i="5"/>
  <c r="G19" i="2"/>
  <c r="E25" i="4"/>
  <c r="E26" i="4" s="1"/>
  <c r="F17" i="2"/>
  <c r="E15" i="4"/>
  <c r="P30" i="4"/>
  <c r="F19" i="2"/>
  <c r="E19" i="2"/>
  <c r="E25" i="3"/>
  <c r="E26" i="3" s="1"/>
  <c r="E17" i="2"/>
  <c r="E22" i="7"/>
  <c r="E22" i="6"/>
  <c r="E12" i="6"/>
  <c r="E22" i="5"/>
  <c r="E12" i="5"/>
  <c r="E22" i="4"/>
  <c r="E12" i="4"/>
  <c r="E17" i="3"/>
  <c r="E16" i="3"/>
  <c r="E15" i="3"/>
  <c r="E10" i="3"/>
  <c r="E11" i="3"/>
  <c r="E21" i="3"/>
  <c r="B20" i="1" l="1"/>
  <c r="B18" i="1"/>
  <c r="E18" i="6"/>
  <c r="D28" i="6"/>
  <c r="E28" i="6" s="1"/>
  <c r="E29" i="6" s="1"/>
  <c r="D28" i="7"/>
  <c r="E28" i="7" s="1"/>
  <c r="E18" i="5"/>
  <c r="D28" i="5" s="1"/>
  <c r="E28" i="5" s="1"/>
  <c r="E18" i="4"/>
  <c r="D28" i="4" s="1"/>
  <c r="E28" i="4" s="1"/>
  <c r="E22" i="3"/>
  <c r="D31" i="6"/>
  <c r="E31" i="6" s="1"/>
  <c r="E18" i="3"/>
  <c r="E12" i="3"/>
  <c r="E29" i="5" l="1"/>
  <c r="D31" i="5" s="1"/>
  <c r="E31" i="5" s="1"/>
  <c r="E32" i="5" s="1"/>
  <c r="N35" i="5" s="1"/>
  <c r="E29" i="7"/>
  <c r="D31" i="7" s="1"/>
  <c r="E31" i="7" s="1"/>
  <c r="E32" i="7" s="1"/>
  <c r="N36" i="7" s="1"/>
  <c r="E58" i="7" s="1"/>
  <c r="D28" i="3"/>
  <c r="E29" i="4"/>
  <c r="D31" i="4" s="1"/>
  <c r="E31" i="4" s="1"/>
  <c r="E32" i="4" s="1"/>
  <c r="D40" i="4" s="1"/>
  <c r="E40" i="4" s="1"/>
  <c r="E32" i="6"/>
  <c r="D35" i="6" s="1"/>
  <c r="E35" i="6" l="1"/>
  <c r="D35" i="5"/>
  <c r="E35" i="5" s="1"/>
  <c r="D35" i="4"/>
  <c r="E35" i="4" s="1"/>
  <c r="D35" i="7"/>
  <c r="E35" i="7" s="1"/>
  <c r="E58" i="5"/>
  <c r="D39" i="7"/>
  <c r="E39" i="7" s="1"/>
  <c r="D38" i="5"/>
  <c r="E38" i="5" s="1"/>
  <c r="D40" i="7"/>
  <c r="E40" i="7" s="1"/>
  <c r="D38" i="7"/>
  <c r="E38" i="7" s="1"/>
  <c r="D36" i="7"/>
  <c r="E36" i="7" s="1"/>
  <c r="N35" i="4"/>
  <c r="D40" i="5"/>
  <c r="E40" i="5" s="1"/>
  <c r="D36" i="5"/>
  <c r="D39" i="5"/>
  <c r="E39" i="5" s="1"/>
  <c r="D38" i="6"/>
  <c r="E38" i="6" s="1"/>
  <c r="N35" i="6"/>
  <c r="D39" i="6"/>
  <c r="E39" i="6" s="1"/>
  <c r="D40" i="6"/>
  <c r="E40" i="6" s="1"/>
  <c r="D36" i="6"/>
  <c r="D36" i="4"/>
  <c r="D39" i="4"/>
  <c r="E39" i="4" s="1"/>
  <c r="D38" i="4"/>
  <c r="E38" i="4" s="1"/>
  <c r="D37" i="6" l="1"/>
  <c r="E37" i="6" s="1"/>
  <c r="D37" i="5"/>
  <c r="D37" i="4"/>
  <c r="E37" i="4" s="1"/>
  <c r="E58" i="6"/>
  <c r="E58" i="4"/>
  <c r="D37" i="7"/>
  <c r="E37" i="7" s="1"/>
  <c r="E36" i="4"/>
  <c r="E36" i="5"/>
  <c r="E36" i="6"/>
  <c r="E41" i="6" l="1"/>
  <c r="D44" i="6" s="1"/>
  <c r="E44" i="6" s="1"/>
  <c r="E45" i="6" s="1"/>
  <c r="E52" i="6" s="1"/>
  <c r="E41" i="4"/>
  <c r="D44" i="4" s="1"/>
  <c r="E44" i="4" s="1"/>
  <c r="E45" i="4" s="1"/>
  <c r="E41" i="7"/>
  <c r="D44" i="7" s="1"/>
  <c r="E44" i="7" s="1"/>
  <c r="E45" i="7" s="1"/>
  <c r="E52" i="7" s="1"/>
  <c r="I13" i="2"/>
  <c r="G13" i="2"/>
  <c r="E56" i="7" l="1"/>
  <c r="E62" i="7" s="1"/>
  <c r="I21" i="2" s="1"/>
  <c r="F13" i="2"/>
  <c r="E62" i="6"/>
  <c r="H21" i="2" s="1"/>
  <c r="H13" i="2"/>
  <c r="I9" i="2"/>
  <c r="H9" i="2"/>
  <c r="E52" i="4"/>
  <c r="E56" i="4" s="1"/>
  <c r="E62" i="4" l="1"/>
  <c r="F21" i="2" s="1"/>
  <c r="F9" i="2"/>
  <c r="E28" i="3" l="1"/>
  <c r="E29" i="3" l="1"/>
  <c r="D31" i="3" s="1"/>
  <c r="E31" i="3" l="1"/>
  <c r="E32" i="3" l="1"/>
  <c r="D35" i="3"/>
  <c r="E35" i="3" s="1"/>
  <c r="D36" i="3"/>
  <c r="D39" i="3"/>
  <c r="E39" i="3" s="1"/>
  <c r="N35" i="3"/>
  <c r="D38" i="3"/>
  <c r="E38" i="3" s="1"/>
  <c r="D40" i="3"/>
  <c r="E40" i="3" s="1"/>
  <c r="D37" i="3" l="1"/>
  <c r="E37" i="3" s="1"/>
  <c r="E36" i="3"/>
  <c r="E41" i="3" l="1"/>
  <c r="D44" i="3" s="1"/>
  <c r="E44" i="3" s="1"/>
  <c r="E45" i="3" s="1"/>
  <c r="E52" i="3" l="1"/>
  <c r="E21" i="2" l="1"/>
  <c r="E13" i="2"/>
  <c r="B14" i="1" s="1"/>
  <c r="E9" i="2"/>
  <c r="E37" i="5"/>
  <c r="E41" i="5" s="1"/>
  <c r="D44" i="5" l="1"/>
  <c r="E44" i="5" s="1"/>
  <c r="E45" i="5" s="1"/>
  <c r="E52" i="5" l="1"/>
  <c r="E56" i="5" s="1"/>
  <c r="G9" i="2" l="1"/>
  <c r="B10" i="1" s="1"/>
  <c r="B28" i="1" s="1"/>
  <c r="E62" i="5"/>
  <c r="B32" i="1" l="1"/>
  <c r="B24" i="1"/>
  <c r="G21" i="2"/>
</calcChain>
</file>

<file path=xl/sharedStrings.xml><?xml version="1.0" encoding="utf-8"?>
<sst xmlns="http://schemas.openxmlformats.org/spreadsheetml/2006/main" count="1074" uniqueCount="151">
  <si>
    <t>Description</t>
  </si>
  <si>
    <t>Quantity</t>
  </si>
  <si>
    <t>Unit</t>
  </si>
  <si>
    <t>Unit Cost</t>
  </si>
  <si>
    <t>Total Cost</t>
  </si>
  <si>
    <t>each</t>
  </si>
  <si>
    <t>feet</t>
  </si>
  <si>
    <t>SUBTOTAL</t>
  </si>
  <si>
    <t>%</t>
  </si>
  <si>
    <t>GENERAL CONDITIONS</t>
  </si>
  <si>
    <t>LACDPW Basin Study</t>
  </si>
  <si>
    <t>Diversion / Intake Structure</t>
  </si>
  <si>
    <t>Basin Construction</t>
  </si>
  <si>
    <t>Intake Weir</t>
  </si>
  <si>
    <t>Open unlined channel to basin</t>
  </si>
  <si>
    <t>Excavation and Disposal</t>
  </si>
  <si>
    <t>Access perimeter Road</t>
  </si>
  <si>
    <t>Wetland Construction</t>
  </si>
  <si>
    <t>acres</t>
  </si>
  <si>
    <t>Habitat Improvements</t>
  </si>
  <si>
    <t>Recreation Improvements</t>
  </si>
  <si>
    <t>Landscaped Trail</t>
  </si>
  <si>
    <t>Property Acquisition</t>
  </si>
  <si>
    <t>Engineering, Legal, Permitting</t>
  </si>
  <si>
    <t>Legal</t>
  </si>
  <si>
    <t>Permitting</t>
  </si>
  <si>
    <t>Construction Management</t>
  </si>
  <si>
    <t>Contingency</t>
  </si>
  <si>
    <t>Perimeter fencing</t>
  </si>
  <si>
    <t>yd^3</t>
  </si>
  <si>
    <t>$150/ft for Missouri River Diversion Project</t>
  </si>
  <si>
    <t xml:space="preserve">Location </t>
  </si>
  <si>
    <t>Gross Area_AC</t>
  </si>
  <si>
    <t>Gross Perimieter_FT</t>
  </si>
  <si>
    <t>Wetted Area_AC</t>
  </si>
  <si>
    <t>Wetlands</t>
  </si>
  <si>
    <t>Depth_ft</t>
  </si>
  <si>
    <t>Basin Inflow_CFS</t>
  </si>
  <si>
    <t>Sepulveda Dam</t>
  </si>
  <si>
    <t>Miller Pit</t>
  </si>
  <si>
    <t>Rock Pit No. 3</t>
  </si>
  <si>
    <t>Spadra Basin</t>
  </si>
  <si>
    <t>Tujunga Spreading Grds</t>
  </si>
  <si>
    <t>Wetted area</t>
  </si>
  <si>
    <t>Base</t>
  </si>
  <si>
    <t>Depth</t>
  </si>
  <si>
    <t>(feet)</t>
  </si>
  <si>
    <t>(ft^2)</t>
  </si>
  <si>
    <t>Wetted depth</t>
  </si>
  <si>
    <t>Bottom Area</t>
  </si>
  <si>
    <t>Sides</t>
  </si>
  <si>
    <t>Calculate Basin Bottom Size, 10 foot deep, 3:1 sides</t>
  </si>
  <si>
    <t>Volume</t>
  </si>
  <si>
    <t>(yd^3)</t>
  </si>
  <si>
    <t>Calculate Channel Size, 3 ft/sec, 3:1 sides</t>
  </si>
  <si>
    <t>hp</t>
  </si>
  <si>
    <t>Intake weir</t>
  </si>
  <si>
    <t>Project Management</t>
  </si>
  <si>
    <t>Power</t>
  </si>
  <si>
    <t>(hp)</t>
  </si>
  <si>
    <t>(kw-hr)</t>
  </si>
  <si>
    <t>Power Cost</t>
  </si>
  <si>
    <t>($/kw-hr)</t>
  </si>
  <si>
    <t>Annual Cost</t>
  </si>
  <si>
    <t>O&amp;M Costs</t>
  </si>
  <si>
    <t>% Construction</t>
  </si>
  <si>
    <t>($)</t>
  </si>
  <si>
    <t>Annual Operating Cost</t>
  </si>
  <si>
    <t>Project Life</t>
  </si>
  <si>
    <t>(yrs)</t>
  </si>
  <si>
    <t>Annual Volume of Stormwater Conserved (acre-ft/yr)</t>
  </si>
  <si>
    <t>Total Capital Costs ($)</t>
  </si>
  <si>
    <t>Operations and Maintenance costs ($/yr)</t>
  </si>
  <si>
    <t>Annual Cost per acre-ft Recharged ($/yr)</t>
  </si>
  <si>
    <t>Energy Consumption (kw-hr/yr)</t>
  </si>
  <si>
    <t>Recreation Opportunities (linear feet of trail)</t>
  </si>
  <si>
    <t>Habitat Improvements (acres)</t>
  </si>
  <si>
    <t>Annual Recharge (acre-ft/yr)</t>
  </si>
  <si>
    <t>Operations</t>
  </si>
  <si>
    <t>Mobilization/Demobilization</t>
  </si>
  <si>
    <t>Bull Creek Area SG</t>
  </si>
  <si>
    <t>Browns Creek Area SG</t>
  </si>
  <si>
    <t>LA Forbay SG</t>
  </si>
  <si>
    <t>Ben Lomond</t>
  </si>
  <si>
    <t>Big Dalton</t>
  </si>
  <si>
    <t>Citrus</t>
  </si>
  <si>
    <t>Eaton Wash</t>
  </si>
  <si>
    <t>Hansen/Tujunga</t>
  </si>
  <si>
    <t>Little Dalton</t>
  </si>
  <si>
    <t>Live Oak</t>
  </si>
  <si>
    <t>Lopez</t>
  </si>
  <si>
    <t>Pacoima</t>
  </si>
  <si>
    <t>Rio Hondo</t>
  </si>
  <si>
    <t>San Dimas</t>
  </si>
  <si>
    <t>San Gabriel Coastal</t>
  </si>
  <si>
    <t>Santa Anita</t>
  </si>
  <si>
    <t>Santa Fe</t>
  </si>
  <si>
    <t>Sawpit</t>
  </si>
  <si>
    <t xml:space="preserve">Quantity </t>
  </si>
  <si>
    <t>Group</t>
  </si>
  <si>
    <t>Property acquisition includes habitat.</t>
  </si>
  <si>
    <t>Group 3</t>
  </si>
  <si>
    <t>Group 1</t>
  </si>
  <si>
    <t>Tujunga Spreading Grounds</t>
  </si>
  <si>
    <t>United Rock Pit No. 3</t>
  </si>
  <si>
    <t>LA Forbay Spreading Grounds</t>
  </si>
  <si>
    <t>Bull Creek Area Spreading Grounds</t>
  </si>
  <si>
    <t>Browns Creek Area Spreading Grounds</t>
  </si>
  <si>
    <t>Cost Estimate of Regional Stormwater Capture</t>
  </si>
  <si>
    <t>Regional Stormwater Capture</t>
  </si>
  <si>
    <t>Acquire channel property and 20 feet each side.</t>
  </si>
  <si>
    <t>Acquire gross area.</t>
  </si>
  <si>
    <t>Pipeline to Basin</t>
  </si>
  <si>
    <t>Acquire 20 ROW Width</t>
  </si>
  <si>
    <t>N.Summerville</t>
  </si>
  <si>
    <t>Pumping station</t>
  </si>
  <si>
    <t>Feasibility Studies, Surveys &amp; Design Data</t>
  </si>
  <si>
    <t>Replacement Items</t>
  </si>
  <si>
    <t>Pumps</t>
  </si>
  <si>
    <t>Replacement Costs at 25 Years</t>
  </si>
  <si>
    <t>Engineering Designs &amp; Specifications</t>
  </si>
  <si>
    <t>Engineering Design &amp; Specifications</t>
  </si>
  <si>
    <t>N. Summerville</t>
  </si>
  <si>
    <t>Land Acquisition Cost</t>
  </si>
  <si>
    <t>Unit cost includes management and acquisition costs and contingency</t>
  </si>
  <si>
    <t>Total Estimated Capital Cost</t>
  </si>
  <si>
    <t>Total Estimated Land Cost</t>
  </si>
  <si>
    <t>Annual Capital and Land Cost</t>
  </si>
  <si>
    <t>Based on 3.375% annual discount rate and 50 yr project life</t>
  </si>
  <si>
    <t>Cost of Recharge ($/acre-ft)</t>
  </si>
  <si>
    <t>$25/yd</t>
  </si>
  <si>
    <t xml:space="preserve">Existing Basin Improvements </t>
  </si>
  <si>
    <t>Existing Basin Improvements</t>
  </si>
  <si>
    <t>Lopez SG</t>
  </si>
  <si>
    <t>Pacoima SG</t>
  </si>
  <si>
    <t>Branford SG</t>
  </si>
  <si>
    <t>Tujunga SG</t>
  </si>
  <si>
    <t>Devil's Gate Pipeline SG</t>
  </si>
  <si>
    <t>Big Dalton SG</t>
  </si>
  <si>
    <t>Walnut SG</t>
  </si>
  <si>
    <t>Peck Road SG</t>
  </si>
  <si>
    <t>LS</t>
  </si>
  <si>
    <t>Total Land Costs ($)</t>
  </si>
  <si>
    <t>Bull Creek Channel Diversion to Pacoima SG</t>
  </si>
  <si>
    <t>Dominguez Gap SG</t>
  </si>
  <si>
    <t>Eaton Wash SG</t>
  </si>
  <si>
    <t>Basin</t>
  </si>
  <si>
    <t>O&amp;M Enhanced Maintenance</t>
  </si>
  <si>
    <t>10% of volume(Gravel Pit needs only minor excavation)</t>
  </si>
  <si>
    <t>Annual Cost per acre-ft Recharged ($/acre-ft)</t>
  </si>
  <si>
    <t>Cost per acre-ft Recharged ($/acre-ft)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</si>
</sst>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5" formatCode="&quot;$&quot;#,##0_);\(&quot;$&quot;#,##0\)"/>
    <numFmt numFmtId="6" formatCode="&quot;$&quot;#,##0_);[Red]\(&quot;$&quot;#,##0\)"/>
    <numFmt numFmtId="8" formatCode="&quot;$&quot;#,##0.00_);[Red]\(&quot;$&quot;#,##0.00\)"/>
    <numFmt numFmtId="164" formatCode="&quot;$&quot;#,##0"/>
    <numFmt numFmtId="165" formatCode="&quot;$&quot;#,##0.00"/>
    <numFmt numFmtId="166" formatCode="0.0"/>
  </numFmts>
  <fonts count="10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8"/>
      <color rgb="FFFFFFFF"/>
      <name val="Calibri"/>
      <family val="2"/>
    </font>
    <font>
      <sz val="8"/>
      <color rgb="FF000000"/>
      <name val="Calibri"/>
      <family val="2"/>
    </font>
    <font>
      <sz val="10"/>
      <color rgb="FF000000"/>
      <name val="Arial"/>
      <family val="2"/>
    </font>
    <font>
      <b/>
      <u/>
      <sz val="10"/>
      <color rgb="FF000000"/>
      <name val="Arial"/>
      <family val="2"/>
    </font>
    <font>
      <b/>
      <u/>
      <sz val="10"/>
      <name val="Arial"/>
      <family val="2"/>
    </font>
    <font>
      <b/>
      <sz val="14"/>
      <name val="Arial"/>
      <family val="2"/>
    </font>
    <font>
      <sz val="11"/>
      <color rgb="FF9C65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4F81BD"/>
        <bgColor indexed="64"/>
      </patternFill>
    </fill>
    <fill>
      <patternFill patternType="solid">
        <fgColor rgb="FFFFEB9C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rgb="FF4F81BD"/>
      </top>
      <bottom/>
      <diagonal/>
    </border>
    <border>
      <left/>
      <right/>
      <top/>
      <bottom style="medium">
        <color rgb="FF4F81BD"/>
      </bottom>
      <diagonal/>
    </border>
  </borders>
  <cellStyleXfs count="3">
    <xf numFmtId="0" fontId="0" fillId="0" borderId="0"/>
    <xf numFmtId="0" fontId="2" fillId="0" borderId="0"/>
    <xf numFmtId="0" fontId="9" fillId="3" borderId="0" applyNumberFormat="0" applyBorder="0" applyAlignment="0" applyProtection="0"/>
  </cellStyleXfs>
  <cellXfs count="139">
    <xf numFmtId="0" fontId="0" fillId="0" borderId="0" xfId="0"/>
    <xf numFmtId="0" fontId="1" fillId="0" borderId="0" xfId="0" applyFont="1"/>
    <xf numFmtId="164" fontId="0" fillId="0" borderId="0" xfId="0" applyNumberFormat="1"/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164" fontId="1" fillId="0" borderId="0" xfId="0" applyNumberFormat="1" applyFont="1"/>
    <xf numFmtId="0" fontId="1" fillId="0" borderId="1" xfId="0" applyFont="1" applyBorder="1"/>
    <xf numFmtId="0" fontId="0" fillId="0" borderId="1" xfId="0" applyBorder="1"/>
    <xf numFmtId="164" fontId="0" fillId="0" borderId="1" xfId="0" applyNumberFormat="1" applyBorder="1"/>
    <xf numFmtId="0" fontId="2" fillId="0" borderId="0" xfId="0" applyFont="1" applyBorder="1"/>
    <xf numFmtId="0" fontId="0" fillId="0" borderId="0" xfId="0" applyBorder="1" applyAlignment="1">
      <alignment horizontal="center"/>
    </xf>
    <xf numFmtId="164" fontId="0" fillId="0" borderId="0" xfId="0" applyNumberFormat="1" applyBorder="1"/>
    <xf numFmtId="0" fontId="2" fillId="0" borderId="0" xfId="0" applyFont="1" applyFill="1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Border="1"/>
    <xf numFmtId="14" fontId="1" fillId="0" borderId="0" xfId="0" applyNumberFormat="1" applyFont="1" applyAlignment="1">
      <alignment horizontal="left"/>
    </xf>
    <xf numFmtId="0" fontId="1" fillId="0" borderId="1" xfId="0" applyFont="1" applyBorder="1" applyAlignment="1">
      <alignment wrapText="1"/>
    </xf>
    <xf numFmtId="0" fontId="2" fillId="0" borderId="1" xfId="0" applyFont="1" applyFill="1" applyBorder="1"/>
    <xf numFmtId="0" fontId="1" fillId="0" borderId="2" xfId="0" applyFont="1" applyBorder="1" applyAlignment="1">
      <alignment horizontal="centerContinuous"/>
    </xf>
    <xf numFmtId="0" fontId="0" fillId="0" borderId="2" xfId="0" applyBorder="1" applyAlignment="1">
      <alignment horizontal="centerContinuous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164" fontId="1" fillId="0" borderId="0" xfId="0" applyNumberFormat="1" applyFont="1" applyBorder="1"/>
    <xf numFmtId="1" fontId="0" fillId="0" borderId="0" xfId="0" applyNumberForma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164" fontId="0" fillId="0" borderId="3" xfId="0" applyNumberFormat="1" applyBorder="1"/>
    <xf numFmtId="0" fontId="1" fillId="0" borderId="1" xfId="0" applyFont="1" applyFill="1" applyBorder="1"/>
    <xf numFmtId="0" fontId="2" fillId="0" borderId="0" xfId="0" applyFont="1"/>
    <xf numFmtId="0" fontId="2" fillId="0" borderId="3" xfId="0" applyFont="1" applyFill="1" applyBorder="1"/>
    <xf numFmtId="0" fontId="1" fillId="0" borderId="1" xfId="0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3" fontId="0" fillId="0" borderId="1" xfId="0" applyNumberFormat="1" applyBorder="1"/>
    <xf numFmtId="3" fontId="0" fillId="0" borderId="0" xfId="0" applyNumberFormat="1" applyBorder="1"/>
    <xf numFmtId="3" fontId="0" fillId="0" borderId="4" xfId="0" applyNumberFormat="1" applyBorder="1"/>
    <xf numFmtId="164" fontId="0" fillId="0" borderId="4" xfId="0" applyNumberFormat="1" applyBorder="1"/>
    <xf numFmtId="0" fontId="3" fillId="2" borderId="5" xfId="0" applyFont="1" applyFill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5" xfId="0" applyFont="1" applyBorder="1" applyAlignment="1">
      <alignment horizontal="center" vertical="center"/>
    </xf>
    <xf numFmtId="0" fontId="3" fillId="2" borderId="6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2" fillId="0" borderId="0" xfId="0" applyFont="1" applyAlignment="1">
      <alignment horizontal="center"/>
    </xf>
    <xf numFmtId="1" fontId="0" fillId="0" borderId="0" xfId="0" applyNumberFormat="1" applyAlignment="1">
      <alignment horizontal="center"/>
    </xf>
    <xf numFmtId="166" fontId="0" fillId="0" borderId="0" xfId="0" applyNumberFormat="1" applyAlignment="1">
      <alignment horizontal="center"/>
    </xf>
    <xf numFmtId="0" fontId="6" fillId="0" borderId="0" xfId="0" applyFont="1" applyFill="1" applyBorder="1" applyAlignment="1">
      <alignment vertical="center"/>
    </xf>
    <xf numFmtId="1" fontId="0" fillId="0" borderId="3" xfId="0" applyNumberFormat="1" applyBorder="1" applyAlignment="1">
      <alignment horizontal="center"/>
    </xf>
    <xf numFmtId="0" fontId="7" fillId="0" borderId="0" xfId="0" applyFont="1" applyAlignment="1">
      <alignment horizontal="left"/>
    </xf>
    <xf numFmtId="0" fontId="2" fillId="0" borderId="1" xfId="0" applyFont="1" applyBorder="1" applyAlignment="1">
      <alignment horizontal="centerContinuous"/>
    </xf>
    <xf numFmtId="0" fontId="0" fillId="0" borderId="1" xfId="0" applyBorder="1" applyAlignment="1">
      <alignment horizontal="centerContinuous"/>
    </xf>
    <xf numFmtId="165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9" fontId="0" fillId="0" borderId="0" xfId="0" applyNumberFormat="1" applyAlignment="1">
      <alignment horizontal="center"/>
    </xf>
    <xf numFmtId="3" fontId="0" fillId="0" borderId="0" xfId="0" applyNumberFormat="1"/>
    <xf numFmtId="3" fontId="0" fillId="0" borderId="0" xfId="0" applyNumberFormat="1" applyAlignment="1">
      <alignment horizontal="center"/>
    </xf>
    <xf numFmtId="0" fontId="0" fillId="0" borderId="0" xfId="0" applyAlignment="1">
      <alignment wrapText="1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vertical="center"/>
    </xf>
    <xf numFmtId="0" fontId="1" fillId="0" borderId="0" xfId="0" applyFont="1" applyBorder="1" applyAlignment="1">
      <alignment horizontal="center" wrapText="1"/>
    </xf>
    <xf numFmtId="0" fontId="3" fillId="2" borderId="0" xfId="0" applyFont="1" applyFill="1" applyBorder="1" applyAlignment="1">
      <alignment vertical="center"/>
    </xf>
    <xf numFmtId="0" fontId="0" fillId="0" borderId="0" xfId="0" applyNumberFormat="1" applyFont="1" applyFill="1" applyBorder="1" applyAlignment="1" applyProtection="1"/>
    <xf numFmtId="1" fontId="0" fillId="0" borderId="0" xfId="0" applyNumberFormat="1" applyFont="1"/>
    <xf numFmtId="165" fontId="0" fillId="0" borderId="0" xfId="0" applyNumberFormat="1"/>
    <xf numFmtId="0" fontId="2" fillId="0" borderId="0" xfId="1"/>
    <xf numFmtId="0" fontId="7" fillId="0" borderId="0" xfId="0" applyFont="1" applyBorder="1" applyAlignment="1">
      <alignment wrapText="1"/>
    </xf>
    <xf numFmtId="165" fontId="0" fillId="0" borderId="1" xfId="0" applyNumberFormat="1" applyBorder="1"/>
    <xf numFmtId="0" fontId="1" fillId="0" borderId="0" xfId="0" applyFont="1" applyAlignment="1">
      <alignment horizontal="center" wrapText="1"/>
    </xf>
    <xf numFmtId="0" fontId="8" fillId="0" borderId="0" xfId="0" applyFont="1"/>
    <xf numFmtId="0" fontId="0" fillId="0" borderId="0" xfId="0" applyFill="1"/>
    <xf numFmtId="0" fontId="2" fillId="0" borderId="0" xfId="0" applyNumberFormat="1" applyFont="1" applyFill="1" applyBorder="1" applyAlignment="1" applyProtection="1">
      <alignment horizontal="center"/>
    </xf>
    <xf numFmtId="0" fontId="0" fillId="0" borderId="0" xfId="2" applyNumberFormat="1" applyFont="1" applyFill="1" applyBorder="1" applyAlignment="1" applyProtection="1"/>
    <xf numFmtId="0" fontId="0" fillId="0" borderId="0" xfId="2" applyNumberFormat="1" applyFont="1" applyFill="1" applyBorder="1" applyAlignment="1" applyProtection="1">
      <alignment horizontal="center"/>
    </xf>
    <xf numFmtId="0" fontId="0" fillId="0" borderId="0" xfId="0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7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left"/>
    </xf>
    <xf numFmtId="0" fontId="2" fillId="0" borderId="0" xfId="0" applyFont="1" applyFill="1"/>
    <xf numFmtId="0" fontId="2" fillId="0" borderId="0" xfId="0" applyFont="1" applyFill="1" applyAlignment="1">
      <alignment horizontal="center" vertical="center"/>
    </xf>
    <xf numFmtId="0" fontId="2" fillId="0" borderId="0" xfId="0" applyNumberFormat="1" applyFont="1" applyFill="1" applyBorder="1" applyAlignment="1" applyProtection="1"/>
    <xf numFmtId="164" fontId="0" fillId="0" borderId="0" xfId="0" applyNumberFormat="1" applyFill="1" applyAlignment="1">
      <alignment horizontal="center"/>
    </xf>
    <xf numFmtId="6" fontId="0" fillId="0" borderId="0" xfId="0" applyNumberFormat="1" applyFill="1"/>
    <xf numFmtId="0" fontId="1" fillId="0" borderId="1" xfId="0" applyFont="1" applyFill="1" applyBorder="1" applyAlignment="1">
      <alignment wrapText="1"/>
    </xf>
    <xf numFmtId="0" fontId="0" fillId="0" borderId="1" xfId="0" applyFill="1" applyBorder="1"/>
    <xf numFmtId="164" fontId="0" fillId="0" borderId="1" xfId="0" applyNumberFormat="1" applyFill="1" applyBorder="1"/>
    <xf numFmtId="1" fontId="0" fillId="0" borderId="0" xfId="0" applyNumberFormat="1" applyFill="1" applyBorder="1" applyAlignment="1">
      <alignment horizontal="center"/>
    </xf>
    <xf numFmtId="164" fontId="0" fillId="0" borderId="0" xfId="0" applyNumberFormat="1" applyFill="1" applyBorder="1"/>
    <xf numFmtId="164" fontId="0" fillId="0" borderId="0" xfId="0" applyNumberFormat="1" applyFill="1"/>
    <xf numFmtId="0" fontId="0" fillId="0" borderId="1" xfId="0" applyFill="1" applyBorder="1" applyAlignment="1">
      <alignment horizontal="center"/>
    </xf>
    <xf numFmtId="0" fontId="0" fillId="0" borderId="0" xfId="0" applyFill="1" applyAlignment="1">
      <alignment horizontal="center"/>
    </xf>
    <xf numFmtId="6" fontId="0" fillId="0" borderId="0" xfId="0" applyNumberFormat="1" applyFill="1" applyAlignment="1">
      <alignment horizontal="center"/>
    </xf>
    <xf numFmtId="0" fontId="2" fillId="0" borderId="0" xfId="0" applyFont="1" applyFill="1" applyAlignment="1">
      <alignment horizontal="center"/>
    </xf>
    <xf numFmtId="3" fontId="0" fillId="0" borderId="4" xfId="0" applyNumberFormat="1" applyFill="1" applyBorder="1"/>
    <xf numFmtId="164" fontId="0" fillId="0" borderId="4" xfId="2" applyNumberFormat="1" applyFont="1" applyFill="1" applyBorder="1" applyAlignment="1" applyProtection="1">
      <alignment horizontal="right"/>
    </xf>
    <xf numFmtId="3" fontId="0" fillId="0" borderId="0" xfId="0" applyNumberFormat="1" applyFill="1" applyBorder="1"/>
    <xf numFmtId="0" fontId="0" fillId="0" borderId="0" xfId="0" applyNumberFormat="1" applyFont="1" applyFill="1" applyBorder="1" applyAlignment="1" applyProtection="1">
      <alignment horizontal="center"/>
    </xf>
    <xf numFmtId="0" fontId="1" fillId="0" borderId="1" xfId="0" applyFont="1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4" xfId="0" applyBorder="1"/>
    <xf numFmtId="0" fontId="0" fillId="0" borderId="4" xfId="0" applyBorder="1" applyAlignment="1">
      <alignment horizontal="center"/>
    </xf>
    <xf numFmtId="0" fontId="0" fillId="0" borderId="4" xfId="0" applyFill="1" applyBorder="1"/>
    <xf numFmtId="0" fontId="0" fillId="0" borderId="4" xfId="0" applyFill="1" applyBorder="1" applyAlignment="1">
      <alignment horizontal="center"/>
    </xf>
    <xf numFmtId="164" fontId="0" fillId="0" borderId="4" xfId="0" applyNumberFormat="1" applyFill="1" applyBorder="1"/>
    <xf numFmtId="3" fontId="0" fillId="0" borderId="0" xfId="0" applyNumberFormat="1" applyFill="1"/>
    <xf numFmtId="5" fontId="0" fillId="0" borderId="0" xfId="0" applyNumberFormat="1" applyFill="1"/>
    <xf numFmtId="1" fontId="0" fillId="0" borderId="0" xfId="0" applyNumberFormat="1" applyFill="1"/>
    <xf numFmtId="166" fontId="0" fillId="0" borderId="0" xfId="0" applyNumberFormat="1"/>
    <xf numFmtId="3" fontId="2" fillId="0" borderId="0" xfId="0" applyNumberFormat="1" applyFont="1"/>
    <xf numFmtId="3" fontId="0" fillId="0" borderId="0" xfId="0" applyNumberFormat="1" applyAlignment="1">
      <alignment horizontal="right"/>
    </xf>
    <xf numFmtId="0" fontId="1" fillId="0" borderId="0" xfId="0" applyFont="1" applyFill="1" applyAlignment="1">
      <alignment horizontal="center" wrapText="1"/>
    </xf>
    <xf numFmtId="0" fontId="1" fillId="0" borderId="0" xfId="0" applyFont="1" applyFill="1"/>
    <xf numFmtId="164" fontId="1" fillId="0" borderId="0" xfId="0" applyNumberFormat="1" applyFont="1" applyFill="1"/>
    <xf numFmtId="0" fontId="2" fillId="0" borderId="1" xfId="0" applyFont="1" applyFill="1" applyBorder="1" applyAlignment="1">
      <alignment horizontal="center"/>
    </xf>
    <xf numFmtId="3" fontId="0" fillId="0" borderId="1" xfId="0" applyNumberFormat="1" applyFill="1" applyBorder="1"/>
    <xf numFmtId="0" fontId="1" fillId="0" borderId="0" xfId="0" applyFont="1" applyFill="1" applyBorder="1"/>
    <xf numFmtId="164" fontId="1" fillId="0" borderId="0" xfId="0" applyNumberFormat="1" applyFont="1" applyFill="1" applyBorder="1"/>
    <xf numFmtId="164" fontId="1" fillId="0" borderId="1" xfId="0" applyNumberFormat="1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3" fontId="0" fillId="0" borderId="3" xfId="0" applyNumberFormat="1" applyFill="1" applyBorder="1"/>
    <xf numFmtId="164" fontId="0" fillId="0" borderId="3" xfId="0" applyNumberFormat="1" applyFill="1" applyBorder="1"/>
    <xf numFmtId="166" fontId="0" fillId="0" borderId="1" xfId="0" applyNumberFormat="1" applyFill="1" applyBorder="1" applyAlignment="1">
      <alignment horizontal="center"/>
    </xf>
    <xf numFmtId="164" fontId="2" fillId="0" borderId="1" xfId="0" applyNumberFormat="1" applyFont="1" applyFill="1" applyBorder="1"/>
    <xf numFmtId="164" fontId="2" fillId="0" borderId="0" xfId="0" applyNumberFormat="1" applyFont="1" applyFill="1"/>
    <xf numFmtId="5" fontId="2" fillId="0" borderId="0" xfId="0" applyNumberFormat="1" applyFont="1" applyFill="1" applyBorder="1"/>
    <xf numFmtId="164" fontId="0" fillId="0" borderId="0" xfId="0" applyNumberFormat="1" applyFill="1" applyBorder="1" applyAlignment="1">
      <alignment horizontal="right"/>
    </xf>
    <xf numFmtId="9" fontId="0" fillId="0" borderId="0" xfId="0" applyNumberFormat="1" applyFill="1" applyBorder="1" applyAlignment="1">
      <alignment horizontal="center"/>
    </xf>
    <xf numFmtId="0" fontId="0" fillId="0" borderId="0" xfId="0" applyFill="1" applyBorder="1"/>
    <xf numFmtId="164" fontId="2" fillId="0" borderId="0" xfId="0" applyNumberFormat="1" applyFont="1" applyFill="1" applyBorder="1"/>
    <xf numFmtId="1" fontId="0" fillId="0" borderId="3" xfId="0" applyNumberForma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164" fontId="1" fillId="0" borderId="0" xfId="0" applyNumberFormat="1" applyFont="1" applyFill="1" applyAlignment="1">
      <alignment horizontal="center"/>
    </xf>
    <xf numFmtId="165" fontId="2" fillId="0" borderId="0" xfId="0" applyNumberFormat="1" applyFont="1" applyFill="1" applyBorder="1"/>
    <xf numFmtId="1" fontId="0" fillId="0" borderId="1" xfId="0" applyNumberFormat="1" applyFill="1" applyBorder="1" applyAlignment="1">
      <alignment horizontal="center"/>
    </xf>
    <xf numFmtId="0" fontId="0" fillId="0" borderId="2" xfId="0" applyFill="1" applyBorder="1" applyAlignment="1">
      <alignment horizontal="centerContinuous"/>
    </xf>
    <xf numFmtId="0" fontId="2" fillId="0" borderId="1" xfId="0" applyFont="1" applyBorder="1"/>
    <xf numFmtId="0" fontId="2" fillId="0" borderId="0" xfId="0" applyFont="1" applyAlignment="1"/>
    <xf numFmtId="0" fontId="1" fillId="0" borderId="4" xfId="0" applyFont="1" applyBorder="1" applyAlignment="1">
      <alignment horizontal="left" vertical="center"/>
    </xf>
    <xf numFmtId="0" fontId="0" fillId="0" borderId="3" xfId="0" applyBorder="1"/>
    <xf numFmtId="8" fontId="0" fillId="0" borderId="0" xfId="0" applyNumberFormat="1"/>
  </cellXfs>
  <cellStyles count="3">
    <cellStyle name="Neutral" xfId="2" builtinId="2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3.bin"/><Relationship Id="rId1" Type="http://schemas.openxmlformats.org/officeDocument/2006/relationships/printerSettings" Target="../printerSettings/printerSettings1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2"/>
  <sheetViews>
    <sheetView tabSelected="1" view="pageLayout" zoomScale="90" zoomScaleNormal="100" zoomScalePageLayoutView="90" workbookViewId="0">
      <selection activeCell="B36" sqref="B36"/>
    </sheetView>
  </sheetViews>
  <sheetFormatPr defaultRowHeight="13.2" x14ac:dyDescent="0.25"/>
  <cols>
    <col min="1" max="1" width="47.33203125" customWidth="1"/>
    <col min="2" max="2" width="28" customWidth="1"/>
    <col min="3" max="3" width="34" bestFit="1" customWidth="1"/>
  </cols>
  <sheetData>
    <row r="1" spans="1:3" ht="17.399999999999999" x14ac:dyDescent="0.3">
      <c r="A1" s="68" t="s">
        <v>108</v>
      </c>
    </row>
    <row r="5" spans="1:3" x14ac:dyDescent="0.25">
      <c r="B5" s="1" t="s">
        <v>109</v>
      </c>
    </row>
    <row r="6" spans="1:3" x14ac:dyDescent="0.25">
      <c r="A6" s="56"/>
    </row>
    <row r="7" spans="1:3" x14ac:dyDescent="0.25">
      <c r="A7" s="57"/>
    </row>
    <row r="9" spans="1:3" x14ac:dyDescent="0.25">
      <c r="A9" s="57"/>
    </row>
    <row r="10" spans="1:3" x14ac:dyDescent="0.25">
      <c r="A10" s="58" t="s">
        <v>71</v>
      </c>
      <c r="B10" s="2">
        <f>(ROUND(SUM(Summary!E9:I9)/1000000,0)*1000000)+(ROUND(SUM(Summary!E26:H26)/1000000,0))*1000000</f>
        <v>652000000</v>
      </c>
      <c r="C10" s="138"/>
    </row>
    <row r="11" spans="1:3" x14ac:dyDescent="0.25">
      <c r="A11" s="57"/>
    </row>
    <row r="12" spans="1:3" x14ac:dyDescent="0.25">
      <c r="A12" s="1" t="s">
        <v>142</v>
      </c>
      <c r="B12" s="2">
        <f>(ROUND(SUM(Summary!E11:I11)/1000000,0)*1000000)+(ROUND(SUM(Summary!E28:H28)/1000000,0))*1000000</f>
        <v>341000000</v>
      </c>
      <c r="C12" s="138"/>
    </row>
    <row r="14" spans="1:3" x14ac:dyDescent="0.25">
      <c r="A14" s="58" t="s">
        <v>72</v>
      </c>
      <c r="B14" s="2">
        <f>ROUND(SUM(Summary!E13:I13)/1000000,0)*1000000+ROUND(SUM(Summary!E30:H30)/1000000,0)*1000000</f>
        <v>13000000</v>
      </c>
      <c r="C14" s="63"/>
    </row>
    <row r="15" spans="1:3" x14ac:dyDescent="0.25">
      <c r="A15" s="57"/>
    </row>
    <row r="16" spans="1:3" x14ac:dyDescent="0.25">
      <c r="A16" s="58" t="s">
        <v>76</v>
      </c>
      <c r="B16" s="106">
        <f>SUM(Summary!E15:I15)+SUM(Summary!E32:H32)</f>
        <v>42.26</v>
      </c>
      <c r="C16" s="63"/>
    </row>
    <row r="17" spans="1:2" x14ac:dyDescent="0.25">
      <c r="A17" s="57"/>
    </row>
    <row r="18" spans="1:2" x14ac:dyDescent="0.25">
      <c r="A18" s="58" t="s">
        <v>75</v>
      </c>
      <c r="B18" s="54">
        <f>ROUND(SUM(Summary!E17:I17)/1000,0)*1000+ROUND(SUM(Summary!E34:H34)/1000,0)*1000</f>
        <v>63000</v>
      </c>
    </row>
    <row r="19" spans="1:2" x14ac:dyDescent="0.25">
      <c r="A19" s="57"/>
    </row>
    <row r="20" spans="1:2" x14ac:dyDescent="0.25">
      <c r="A20" s="58" t="s">
        <v>74</v>
      </c>
      <c r="B20" s="107">
        <f>ROUND(SUM(Summary!E19:I19)/1000,0)*1000+ROUND(SUM(Summary!E36:H36)/1000,0)*1000</f>
        <v>980000</v>
      </c>
    </row>
    <row r="21" spans="1:2" x14ac:dyDescent="0.25">
      <c r="A21" s="57"/>
    </row>
    <row r="22" spans="1:2" x14ac:dyDescent="0.25">
      <c r="A22" s="136" t="s">
        <v>70</v>
      </c>
      <c r="B22" s="36">
        <f>26136</f>
        <v>26136</v>
      </c>
    </row>
    <row r="24" spans="1:2" x14ac:dyDescent="0.25">
      <c r="A24" s="1" t="s">
        <v>150</v>
      </c>
      <c r="B24" s="2">
        <f>ROUND(((-PMT(0.03375,50,$B$10+$B$12)+$B$14)/B22)/100,0)*100</f>
        <v>2100</v>
      </c>
    </row>
    <row r="25" spans="1:2" x14ac:dyDescent="0.25">
      <c r="A25" s="137"/>
      <c r="B25" s="137"/>
    </row>
    <row r="26" spans="1:2" x14ac:dyDescent="0.25">
      <c r="A26" s="136" t="s">
        <v>70</v>
      </c>
      <c r="B26" s="36">
        <f>Summary!E7+Summary!F7+Summary!G7+Summary!H7+Summary!I7+Summary!E24+Summary!F24+Summary!G24+Summary!H24</f>
        <v>43311</v>
      </c>
    </row>
    <row r="28" spans="1:2" x14ac:dyDescent="0.25">
      <c r="A28" s="1" t="s">
        <v>150</v>
      </c>
      <c r="B28" s="2">
        <f>ROUND(((-PMT(0.03375,50,B10+B12)+B14)/B26)/100,0)*100</f>
        <v>1300</v>
      </c>
    </row>
    <row r="29" spans="1:2" x14ac:dyDescent="0.25">
      <c r="A29" s="137"/>
      <c r="B29" s="137"/>
    </row>
    <row r="30" spans="1:2" x14ac:dyDescent="0.25">
      <c r="A30" s="136" t="s">
        <v>70</v>
      </c>
      <c r="B30" s="36">
        <v>59878</v>
      </c>
    </row>
    <row r="32" spans="1:2" x14ac:dyDescent="0.25">
      <c r="A32" s="6" t="s">
        <v>150</v>
      </c>
      <c r="B32" s="8">
        <f>ROUND(((-PMT(0.03375,50,$B$10+$B$12)+$B$14)/B30)/100,0)*100</f>
        <v>900</v>
      </c>
    </row>
  </sheetData>
  <customSheetViews>
    <customSheetView guid="{0938481C-6147-45AE-A91B-B3C254F54487}" showPageBreaks="1" view="pageLayout">
      <selection activeCell="B22" sqref="B22"/>
      <pageMargins left="0.7" right="0.7" top="0.75" bottom="0.75" header="0.3" footer="0.3"/>
      <pageSetup orientation="landscape" r:id="rId1"/>
      <headerFooter>
        <oddFooter>&amp;LLA Basin Stormwater Conservation Study_Project Costs&amp;R&amp;D</oddFooter>
      </headerFooter>
    </customSheetView>
  </customSheetViews>
  <pageMargins left="0.7" right="0.7" top="0.75" bottom="0.75" header="0.3" footer="0.3"/>
  <pageSetup orientation="landscape"/>
  <headerFooter>
    <oddFooter>&amp;LLA Basin Stormwater Conservation Study_Project Costs&amp;R&amp;D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65"/>
  <sheetViews>
    <sheetView zoomScaleNormal="100" zoomScalePageLayoutView="60" workbookViewId="0">
      <selection activeCell="A3" sqref="A3"/>
    </sheetView>
  </sheetViews>
  <sheetFormatPr defaultRowHeight="13.2" x14ac:dyDescent="0.25"/>
  <cols>
    <col min="1" max="1" width="54.6640625" customWidth="1"/>
    <col min="4" max="4" width="13.88671875" bestFit="1" customWidth="1"/>
    <col min="5" max="5" width="15.44140625" customWidth="1"/>
    <col min="10" max="11" width="8.88671875" hidden="1" customWidth="1"/>
    <col min="12" max="12" width="6.33203125" customWidth="1"/>
    <col min="13" max="13" width="17" customWidth="1"/>
    <col min="14" max="14" width="13.6640625" bestFit="1" customWidth="1"/>
    <col min="15" max="15" width="11.88671875" customWidth="1"/>
    <col min="16" max="16" width="11.5546875" customWidth="1"/>
    <col min="17" max="17" width="12.44140625" customWidth="1"/>
    <col min="18" max="18" width="11.6640625" customWidth="1"/>
    <col min="19" max="19" width="21.5546875" customWidth="1"/>
    <col min="20" max="20" width="26.33203125" customWidth="1"/>
    <col min="22" max="22" width="28.6640625" customWidth="1"/>
  </cols>
  <sheetData>
    <row r="1" spans="1:26" ht="13.8" thickBot="1" x14ac:dyDescent="0.3">
      <c r="A1" s="1" t="s">
        <v>10</v>
      </c>
    </row>
    <row r="2" spans="1:26" x14ac:dyDescent="0.25">
      <c r="A2" s="1" t="s">
        <v>114</v>
      </c>
      <c r="L2" s="61"/>
      <c r="S2" s="38" t="s">
        <v>31</v>
      </c>
      <c r="T2" s="38" t="s">
        <v>32</v>
      </c>
      <c r="U2" s="38" t="s">
        <v>33</v>
      </c>
      <c r="V2" s="38" t="s">
        <v>34</v>
      </c>
      <c r="W2" s="38" t="s">
        <v>35</v>
      </c>
      <c r="X2" s="38" t="s">
        <v>36</v>
      </c>
      <c r="Y2" s="38" t="s">
        <v>77</v>
      </c>
      <c r="Z2" s="38" t="s">
        <v>37</v>
      </c>
    </row>
    <row r="3" spans="1:26" ht="13.8" thickBot="1" x14ac:dyDescent="0.3">
      <c r="A3" s="16">
        <v>42275</v>
      </c>
      <c r="L3" s="61"/>
      <c r="S3" s="41"/>
      <c r="T3" s="41"/>
      <c r="U3" s="41"/>
      <c r="V3" s="41"/>
      <c r="W3" s="41"/>
      <c r="X3" s="41"/>
      <c r="Y3" s="60"/>
      <c r="Z3" s="41"/>
    </row>
    <row r="4" spans="1:26" x14ac:dyDescent="0.25">
      <c r="L4" s="61"/>
      <c r="S4" t="s">
        <v>81</v>
      </c>
      <c r="T4">
        <v>35.299999999999997</v>
      </c>
      <c r="U4">
        <v>13993</v>
      </c>
      <c r="V4">
        <v>22.3</v>
      </c>
      <c r="W4">
        <v>2.5</v>
      </c>
      <c r="X4">
        <v>10</v>
      </c>
      <c r="Y4">
        <v>1322</v>
      </c>
      <c r="Z4">
        <v>45</v>
      </c>
    </row>
    <row r="5" spans="1:26" ht="13.8" thickBot="1" x14ac:dyDescent="0.3">
      <c r="A5" s="19" t="s">
        <v>107</v>
      </c>
      <c r="B5" s="20"/>
      <c r="C5" s="20"/>
      <c r="D5" s="20"/>
      <c r="E5" s="20"/>
      <c r="L5" s="61"/>
      <c r="M5" s="75" t="s">
        <v>119</v>
      </c>
      <c r="N5" s="61"/>
      <c r="O5" s="69"/>
      <c r="P5" s="61"/>
      <c r="Q5" s="61"/>
      <c r="R5" s="61"/>
      <c r="S5" s="61"/>
      <c r="T5" s="61"/>
    </row>
    <row r="6" spans="1:26" x14ac:dyDescent="0.25">
      <c r="L6" s="61"/>
      <c r="M6" s="69"/>
      <c r="N6" s="69"/>
      <c r="O6" s="61"/>
      <c r="P6" s="61"/>
      <c r="Q6" s="61"/>
      <c r="R6" s="61"/>
      <c r="S6" s="61"/>
      <c r="T6" s="61"/>
    </row>
    <row r="7" spans="1:26" x14ac:dyDescent="0.25">
      <c r="A7" s="1" t="s">
        <v>0</v>
      </c>
      <c r="B7" s="3" t="s">
        <v>1</v>
      </c>
      <c r="C7" s="3" t="s">
        <v>2</v>
      </c>
      <c r="D7" s="4" t="s">
        <v>3</v>
      </c>
      <c r="E7" s="4" t="s">
        <v>4</v>
      </c>
      <c r="L7" s="61"/>
      <c r="M7" s="76" t="s">
        <v>117</v>
      </c>
      <c r="N7" s="70" t="s">
        <v>4</v>
      </c>
      <c r="O7" s="77" t="s">
        <v>63</v>
      </c>
      <c r="P7" s="61"/>
      <c r="Q7" s="61"/>
      <c r="R7" s="61"/>
      <c r="S7" s="61"/>
      <c r="T7" s="61"/>
    </row>
    <row r="8" spans="1:26" x14ac:dyDescent="0.25">
      <c r="A8" s="1"/>
      <c r="B8" s="1"/>
      <c r="C8" s="1"/>
      <c r="D8" s="5"/>
      <c r="E8" s="5"/>
      <c r="L8" s="61"/>
      <c r="M8" s="69"/>
      <c r="N8" s="78" t="s">
        <v>66</v>
      </c>
      <c r="O8" s="78" t="s">
        <v>66</v>
      </c>
    </row>
    <row r="9" spans="1:26" x14ac:dyDescent="0.25">
      <c r="A9" s="17" t="s">
        <v>11</v>
      </c>
      <c r="B9" s="7"/>
      <c r="C9" s="7"/>
      <c r="D9" s="8"/>
      <c r="E9" s="8"/>
      <c r="M9" s="69"/>
      <c r="N9" s="69"/>
      <c r="O9" s="69"/>
    </row>
    <row r="10" spans="1:26" ht="12.75" customHeight="1" x14ac:dyDescent="0.25">
      <c r="A10" s="9" t="s">
        <v>115</v>
      </c>
      <c r="B10" s="10">
        <v>50</v>
      </c>
      <c r="C10" s="25" t="s">
        <v>55</v>
      </c>
      <c r="D10" s="11">
        <v>2000</v>
      </c>
      <c r="E10" s="2">
        <f>+B10*D10</f>
        <v>100000</v>
      </c>
      <c r="M10" s="79" t="s">
        <v>118</v>
      </c>
      <c r="N10" s="80">
        <f>E10</f>
        <v>100000</v>
      </c>
      <c r="O10" s="81">
        <f>+PMT(0.02,50,-N10,0)</f>
        <v>3182.3209703696566</v>
      </c>
    </row>
    <row r="11" spans="1:26" x14ac:dyDescent="0.25">
      <c r="A11" s="9" t="s">
        <v>112</v>
      </c>
      <c r="B11" s="73">
        <v>1800</v>
      </c>
      <c r="C11" s="73" t="s">
        <v>6</v>
      </c>
      <c r="D11" s="86">
        <v>300</v>
      </c>
      <c r="E11" s="87">
        <f>+B11*D11</f>
        <v>540000</v>
      </c>
      <c r="F11" s="30"/>
      <c r="S11" s="30"/>
      <c r="T11" s="42"/>
    </row>
    <row r="12" spans="1:26" x14ac:dyDescent="0.25">
      <c r="A12" s="98" t="s">
        <v>7</v>
      </c>
      <c r="B12" s="101"/>
      <c r="C12" s="101"/>
      <c r="D12" s="102"/>
      <c r="E12" s="102">
        <f>SUM(E10:E11)</f>
        <v>640000</v>
      </c>
      <c r="M12" s="46" t="s">
        <v>54</v>
      </c>
    </row>
    <row r="13" spans="1:26" x14ac:dyDescent="0.25">
      <c r="B13" s="89"/>
      <c r="C13" s="89"/>
      <c r="D13" s="87"/>
      <c r="E13" s="87"/>
      <c r="Q13" s="43"/>
      <c r="S13" s="13"/>
      <c r="T13" s="52"/>
    </row>
    <row r="14" spans="1:26" x14ac:dyDescent="0.25">
      <c r="A14" s="17" t="s">
        <v>12</v>
      </c>
      <c r="B14" s="83"/>
      <c r="C14" s="83"/>
      <c r="D14" s="84"/>
      <c r="E14" s="84"/>
      <c r="M14" s="43" t="s">
        <v>44</v>
      </c>
      <c r="N14" s="43" t="s">
        <v>45</v>
      </c>
      <c r="O14" s="43" t="s">
        <v>43</v>
      </c>
      <c r="P14" s="43" t="s">
        <v>48</v>
      </c>
      <c r="Q14" s="43"/>
      <c r="S14" s="13"/>
      <c r="T14" s="52"/>
    </row>
    <row r="15" spans="1:26" x14ac:dyDescent="0.25">
      <c r="A15" s="9" t="s">
        <v>15</v>
      </c>
      <c r="B15" s="85">
        <f>+O24</f>
        <v>255019.99610029708</v>
      </c>
      <c r="C15" s="74" t="s">
        <v>29</v>
      </c>
      <c r="D15" s="86">
        <v>25</v>
      </c>
      <c r="E15" s="87">
        <f>+B15*D15</f>
        <v>6375499.9025074271</v>
      </c>
      <c r="M15" s="43" t="s">
        <v>46</v>
      </c>
      <c r="N15" s="43" t="s">
        <v>46</v>
      </c>
      <c r="O15" s="43" t="s">
        <v>47</v>
      </c>
      <c r="P15" s="43" t="s">
        <v>46</v>
      </c>
      <c r="S15" s="13"/>
      <c r="T15" s="52"/>
    </row>
    <row r="16" spans="1:26" x14ac:dyDescent="0.25">
      <c r="A16" s="12" t="s">
        <v>16</v>
      </c>
      <c r="B16" s="85">
        <f>+U4</f>
        <v>13993</v>
      </c>
      <c r="C16" s="74" t="s">
        <v>6</v>
      </c>
      <c r="D16" s="86">
        <v>100</v>
      </c>
      <c r="E16" s="87">
        <f>+B16*D16</f>
        <v>1399300</v>
      </c>
      <c r="F16" s="30"/>
      <c r="M16" s="13"/>
      <c r="N16" s="13"/>
      <c r="O16" s="13"/>
      <c r="Q16" s="45"/>
      <c r="S16" s="13"/>
      <c r="T16" s="52"/>
    </row>
    <row r="17" spans="1:20" x14ac:dyDescent="0.25">
      <c r="A17" s="12" t="s">
        <v>28</v>
      </c>
      <c r="B17" s="85">
        <f>+U4</f>
        <v>13993</v>
      </c>
      <c r="C17" s="74" t="s">
        <v>6</v>
      </c>
      <c r="D17" s="86">
        <v>25</v>
      </c>
      <c r="E17" s="87">
        <f>+B17*D17</f>
        <v>349825</v>
      </c>
      <c r="F17" s="30" t="s">
        <v>30</v>
      </c>
      <c r="M17" s="13">
        <v>5</v>
      </c>
      <c r="N17" s="13">
        <v>10</v>
      </c>
      <c r="O17" s="44">
        <f>+Z4/3</f>
        <v>15</v>
      </c>
      <c r="P17" s="45">
        <f>(-M17+SQRT(M17^2+4*3*O17))/2/3</f>
        <v>1.5529701772127256</v>
      </c>
      <c r="S17" s="13"/>
      <c r="T17" s="52"/>
    </row>
    <row r="18" spans="1:20" x14ac:dyDescent="0.25">
      <c r="A18" s="98" t="s">
        <v>7</v>
      </c>
      <c r="B18" s="101"/>
      <c r="C18" s="101"/>
      <c r="D18" s="102"/>
      <c r="E18" s="102">
        <f>SUM(E15:E17)</f>
        <v>8124624.9025074271</v>
      </c>
      <c r="F18" s="30" t="s">
        <v>111</v>
      </c>
      <c r="S18" s="13"/>
      <c r="T18" s="52"/>
    </row>
    <row r="19" spans="1:20" x14ac:dyDescent="0.25">
      <c r="B19" s="89"/>
      <c r="C19" s="89"/>
      <c r="D19" s="87"/>
      <c r="E19" s="87"/>
      <c r="M19" s="46" t="s">
        <v>51</v>
      </c>
      <c r="S19" s="13"/>
      <c r="T19" s="52"/>
    </row>
    <row r="20" spans="1:20" x14ac:dyDescent="0.25">
      <c r="A20" s="17" t="s">
        <v>19</v>
      </c>
      <c r="B20" s="88"/>
      <c r="C20" s="88"/>
      <c r="D20" s="84"/>
      <c r="E20" s="84"/>
      <c r="S20" s="13"/>
      <c r="T20" s="52"/>
    </row>
    <row r="21" spans="1:20" x14ac:dyDescent="0.25">
      <c r="A21" s="9" t="s">
        <v>17</v>
      </c>
      <c r="B21" s="89">
        <f>+W4</f>
        <v>2.5</v>
      </c>
      <c r="C21" s="74" t="s">
        <v>18</v>
      </c>
      <c r="D21" s="86">
        <v>35000</v>
      </c>
      <c r="E21" s="86">
        <f t="shared" ref="E21" si="0">+B21*D21</f>
        <v>87500</v>
      </c>
      <c r="M21" s="43" t="s">
        <v>49</v>
      </c>
      <c r="N21" s="43" t="s">
        <v>50</v>
      </c>
      <c r="O21" s="43" t="s">
        <v>52</v>
      </c>
      <c r="P21" s="13"/>
      <c r="S21" s="13"/>
      <c r="T21" s="52"/>
    </row>
    <row r="22" spans="1:20" x14ac:dyDescent="0.25">
      <c r="A22" s="98" t="s">
        <v>7</v>
      </c>
      <c r="B22" s="101"/>
      <c r="C22" s="101"/>
      <c r="D22" s="102"/>
      <c r="E22" s="102">
        <f>SUM(E21:E21)</f>
        <v>87500</v>
      </c>
      <c r="M22" s="43" t="s">
        <v>47</v>
      </c>
      <c r="N22" s="43" t="s">
        <v>46</v>
      </c>
      <c r="O22" s="43" t="s">
        <v>53</v>
      </c>
      <c r="P22" s="13"/>
      <c r="S22" s="13"/>
      <c r="T22" s="52"/>
    </row>
    <row r="23" spans="1:20" x14ac:dyDescent="0.25">
      <c r="A23" s="12"/>
      <c r="B23" s="73"/>
      <c r="C23" s="73"/>
      <c r="D23" s="86"/>
      <c r="E23" s="87"/>
      <c r="M23" s="13"/>
      <c r="N23" s="13"/>
      <c r="O23" s="13"/>
      <c r="P23" s="13"/>
      <c r="S23" s="13"/>
      <c r="T23" s="52"/>
    </row>
    <row r="24" spans="1:20" x14ac:dyDescent="0.25">
      <c r="A24" s="29" t="s">
        <v>20</v>
      </c>
      <c r="B24" s="88"/>
      <c r="C24" s="88"/>
      <c r="D24" s="84"/>
      <c r="E24" s="84"/>
      <c r="F24" s="30"/>
      <c r="M24" s="13">
        <f>+V4*66*660</f>
        <v>971388</v>
      </c>
      <c r="N24" s="44">
        <f>+SQRT(M24)</f>
        <v>985.59017852249315</v>
      </c>
      <c r="O24" s="24">
        <f>10/3*(N24^2+(N24+60)^2+SQRT(N24*(N24+60)))/27</f>
        <v>255019.99610029708</v>
      </c>
      <c r="P24" s="13"/>
      <c r="S24" s="13"/>
      <c r="T24" s="52"/>
    </row>
    <row r="25" spans="1:20" x14ac:dyDescent="0.25">
      <c r="A25" s="31" t="s">
        <v>21</v>
      </c>
      <c r="B25" s="128">
        <f>+U4</f>
        <v>13993</v>
      </c>
      <c r="C25" s="117" t="s">
        <v>6</v>
      </c>
      <c r="D25" s="119">
        <v>25</v>
      </c>
      <c r="E25" s="84">
        <f>+B25*D25</f>
        <v>349825</v>
      </c>
      <c r="M25" s="13"/>
      <c r="N25" s="13"/>
      <c r="O25" s="13"/>
      <c r="P25" s="13"/>
      <c r="S25" s="13"/>
      <c r="T25" s="52"/>
    </row>
    <row r="26" spans="1:20" x14ac:dyDescent="0.25">
      <c r="A26" t="s">
        <v>7</v>
      </c>
      <c r="B26" s="89"/>
      <c r="C26" s="89"/>
      <c r="D26" s="87"/>
      <c r="E26" s="87">
        <f>SUM(E25)</f>
        <v>349825</v>
      </c>
      <c r="M26" s="48" t="s">
        <v>78</v>
      </c>
      <c r="N26" s="13"/>
      <c r="O26" s="13"/>
      <c r="P26" s="13"/>
      <c r="S26" s="13"/>
      <c r="T26" s="52"/>
    </row>
    <row r="27" spans="1:20" x14ac:dyDescent="0.25">
      <c r="B27" s="89"/>
      <c r="C27" s="89"/>
      <c r="D27" s="87"/>
      <c r="E27" s="87"/>
      <c r="M27" s="13"/>
      <c r="N27" s="13"/>
      <c r="O27" s="13"/>
      <c r="P27" s="13"/>
      <c r="Q27" s="13"/>
      <c r="S27" s="13"/>
      <c r="T27" s="52"/>
    </row>
    <row r="28" spans="1:20" x14ac:dyDescent="0.25">
      <c r="A28" s="6" t="s">
        <v>79</v>
      </c>
      <c r="B28" s="88">
        <v>10</v>
      </c>
      <c r="C28" s="88" t="s">
        <v>8</v>
      </c>
      <c r="D28" s="113">
        <f>SUM(E10:E26)/2</f>
        <v>9201949.9025074281</v>
      </c>
      <c r="E28" s="84">
        <f>D28*B28/100</f>
        <v>920194.99025074276</v>
      </c>
      <c r="M28" s="49" t="s">
        <v>58</v>
      </c>
      <c r="N28" s="50"/>
      <c r="O28" s="43" t="s">
        <v>61</v>
      </c>
      <c r="P28" s="43" t="s">
        <v>63</v>
      </c>
      <c r="Q28" s="13"/>
      <c r="S28" s="13"/>
      <c r="T28" s="52"/>
    </row>
    <row r="29" spans="1:20" x14ac:dyDescent="0.25">
      <c r="A29" s="30" t="s">
        <v>79</v>
      </c>
      <c r="B29" s="89"/>
      <c r="C29" s="89"/>
      <c r="D29" s="87"/>
      <c r="E29" s="87">
        <f>SUM(E28)</f>
        <v>920194.99025074276</v>
      </c>
      <c r="F29" s="30"/>
      <c r="M29" s="43" t="s">
        <v>59</v>
      </c>
      <c r="N29" s="43" t="s">
        <v>60</v>
      </c>
      <c r="O29" s="43" t="s">
        <v>62</v>
      </c>
      <c r="P29" s="43" t="s">
        <v>66</v>
      </c>
      <c r="Q29" s="13"/>
      <c r="S29" s="13"/>
      <c r="T29" s="52"/>
    </row>
    <row r="30" spans="1:20" x14ac:dyDescent="0.25">
      <c r="B30" s="89"/>
      <c r="C30" s="89"/>
      <c r="D30" s="87"/>
      <c r="E30" s="87"/>
      <c r="M30" s="13"/>
      <c r="N30" s="13"/>
      <c r="O30" s="13"/>
      <c r="P30" s="13"/>
      <c r="Q30" s="13"/>
      <c r="S30" s="13"/>
      <c r="T30" s="52"/>
    </row>
    <row r="31" spans="1:20" x14ac:dyDescent="0.25">
      <c r="A31" s="6" t="s">
        <v>9</v>
      </c>
      <c r="B31" s="88">
        <v>10</v>
      </c>
      <c r="C31" s="88" t="s">
        <v>8</v>
      </c>
      <c r="D31" s="113">
        <f>SUM(E10:E30)/2</f>
        <v>10122144.892758172</v>
      </c>
      <c r="E31" s="84">
        <f>D31*B31/100</f>
        <v>1012214.4892758173</v>
      </c>
      <c r="M31" s="13">
        <f>B10</f>
        <v>50</v>
      </c>
      <c r="N31" s="44">
        <f>0.746*M31*3*30.4*24</f>
        <v>81642.239999999991</v>
      </c>
      <c r="O31" s="51">
        <v>0.15</v>
      </c>
      <c r="P31" s="52">
        <f>+N31*O31</f>
        <v>12246.335999999998</v>
      </c>
      <c r="Q31" s="13"/>
      <c r="S31" s="13"/>
      <c r="T31" s="52"/>
    </row>
    <row r="32" spans="1:20" x14ac:dyDescent="0.25">
      <c r="A32" t="s">
        <v>7</v>
      </c>
      <c r="B32" s="89"/>
      <c r="C32" s="89"/>
      <c r="D32" s="87"/>
      <c r="E32" s="87">
        <f>SUM(E31)</f>
        <v>1012214.4892758173</v>
      </c>
      <c r="M32" s="13"/>
      <c r="N32" s="13"/>
      <c r="O32" s="13"/>
      <c r="P32" s="13"/>
      <c r="Q32" s="43"/>
      <c r="S32" s="13"/>
      <c r="T32" s="52"/>
    </row>
    <row r="33" spans="1:20" x14ac:dyDescent="0.25">
      <c r="B33" s="89"/>
      <c r="C33" s="89"/>
      <c r="D33" s="87"/>
      <c r="E33" s="87"/>
      <c r="M33" s="43" t="s">
        <v>64</v>
      </c>
      <c r="N33" s="43" t="s">
        <v>63</v>
      </c>
      <c r="O33" s="43" t="s">
        <v>68</v>
      </c>
      <c r="Q33" s="43"/>
      <c r="S33" s="13"/>
      <c r="T33" s="52"/>
    </row>
    <row r="34" spans="1:20" x14ac:dyDescent="0.25">
      <c r="A34" s="6" t="s">
        <v>23</v>
      </c>
      <c r="B34" s="88"/>
      <c r="C34" s="88"/>
      <c r="D34" s="86"/>
      <c r="E34" s="86"/>
      <c r="M34" s="43" t="s">
        <v>65</v>
      </c>
      <c r="N34" s="43" t="s">
        <v>66</v>
      </c>
      <c r="O34" s="43" t="s">
        <v>69</v>
      </c>
      <c r="S34" s="13"/>
      <c r="T34" s="52"/>
    </row>
    <row r="35" spans="1:20" x14ac:dyDescent="0.25">
      <c r="A35" s="71" t="s">
        <v>116</v>
      </c>
      <c r="B35" s="72">
        <v>10</v>
      </c>
      <c r="C35" s="72" t="s">
        <v>8</v>
      </c>
      <c r="D35" s="92">
        <f>SUM(E10:E32)/2</f>
        <v>11134359.382033989</v>
      </c>
      <c r="E35" s="102">
        <f>D35*B35/100</f>
        <v>1113435.9382033988</v>
      </c>
      <c r="M35" s="13"/>
      <c r="N35" s="13"/>
      <c r="O35" s="13"/>
      <c r="Q35" s="2"/>
      <c r="S35" s="13"/>
      <c r="T35" s="52"/>
    </row>
    <row r="36" spans="1:20" x14ac:dyDescent="0.25">
      <c r="A36" s="12" t="s">
        <v>120</v>
      </c>
      <c r="B36" s="73">
        <v>15</v>
      </c>
      <c r="C36" s="74" t="s">
        <v>8</v>
      </c>
      <c r="D36" s="94">
        <f>SUM(E10:E32)/2</f>
        <v>11134359.382033989</v>
      </c>
      <c r="E36" s="86">
        <f>D36*B36/100</f>
        <v>1670153.9073050981</v>
      </c>
      <c r="M36" s="53">
        <v>0.05</v>
      </c>
      <c r="N36" s="51">
        <f>+M36*SUM(E10:E32)/2</f>
        <v>556717.96910169942</v>
      </c>
      <c r="O36" s="13">
        <v>50</v>
      </c>
      <c r="Q36" s="13"/>
      <c r="S36" s="13"/>
      <c r="T36" s="52"/>
    </row>
    <row r="37" spans="1:20" x14ac:dyDescent="0.25">
      <c r="A37" s="12" t="s">
        <v>57</v>
      </c>
      <c r="B37" s="73">
        <v>11</v>
      </c>
      <c r="C37" s="74" t="s">
        <v>8</v>
      </c>
      <c r="D37" s="94">
        <f>SUM(E10:E32)/2+SUM(D35:D36)+SUM(D38:D40)</f>
        <v>66806156.292203933</v>
      </c>
      <c r="E37" s="86">
        <f t="shared" ref="E37:E40" si="1">D37*B37/100</f>
        <v>7348677.1921424326</v>
      </c>
      <c r="M37" s="1"/>
      <c r="S37" s="13"/>
      <c r="T37" s="52"/>
    </row>
    <row r="38" spans="1:20" x14ac:dyDescent="0.25">
      <c r="A38" s="12" t="s">
        <v>24</v>
      </c>
      <c r="B38" s="73">
        <v>5</v>
      </c>
      <c r="C38" s="74" t="s">
        <v>8</v>
      </c>
      <c r="D38" s="94">
        <f>SUM(E10:E32)/2</f>
        <v>11134359.382033989</v>
      </c>
      <c r="E38" s="86">
        <f t="shared" si="1"/>
        <v>556717.96910169942</v>
      </c>
      <c r="S38" s="13"/>
      <c r="T38" s="52"/>
    </row>
    <row r="39" spans="1:20" x14ac:dyDescent="0.25">
      <c r="A39" s="9" t="s">
        <v>25</v>
      </c>
      <c r="B39" s="73">
        <v>10</v>
      </c>
      <c r="C39" s="74" t="s">
        <v>8</v>
      </c>
      <c r="D39" s="94">
        <f>SUM(E10:E32)/2</f>
        <v>11134359.382033989</v>
      </c>
      <c r="E39" s="86">
        <f t="shared" si="1"/>
        <v>1113435.9382033988</v>
      </c>
      <c r="S39" s="13"/>
      <c r="T39" s="52"/>
    </row>
    <row r="40" spans="1:20" x14ac:dyDescent="0.25">
      <c r="A40" s="18" t="s">
        <v>26</v>
      </c>
      <c r="B40" s="14">
        <v>10</v>
      </c>
      <c r="C40" s="26" t="s">
        <v>8</v>
      </c>
      <c r="D40" s="34">
        <f>SUM(E10:E32)/2</f>
        <v>11134359.382033989</v>
      </c>
      <c r="E40" s="8">
        <f t="shared" si="1"/>
        <v>1113435.9382033988</v>
      </c>
      <c r="S40" s="13"/>
      <c r="T40" s="52"/>
    </row>
    <row r="41" spans="1:20" x14ac:dyDescent="0.25">
      <c r="A41" t="s">
        <v>7</v>
      </c>
      <c r="B41" s="13"/>
      <c r="C41" s="13"/>
      <c r="D41" s="2"/>
      <c r="E41" s="2">
        <f>SUM(E35:E40)</f>
        <v>12915856.883159425</v>
      </c>
      <c r="S41" s="13"/>
      <c r="T41" s="52"/>
    </row>
    <row r="42" spans="1:20" x14ac:dyDescent="0.25">
      <c r="A42" s="114"/>
      <c r="B42" s="73"/>
      <c r="C42" s="73"/>
      <c r="D42" s="86"/>
      <c r="E42" s="115"/>
      <c r="F42" s="69"/>
      <c r="G42" s="69"/>
      <c r="H42" s="69"/>
      <c r="S42" s="13"/>
      <c r="T42" s="52"/>
    </row>
    <row r="43" spans="1:20" x14ac:dyDescent="0.25">
      <c r="A43" s="29" t="s">
        <v>27</v>
      </c>
      <c r="B43" s="96"/>
      <c r="C43" s="96"/>
      <c r="D43" s="116"/>
      <c r="E43" s="116"/>
      <c r="F43" s="69"/>
      <c r="G43" s="69"/>
      <c r="H43" s="69"/>
      <c r="S43" s="13"/>
      <c r="T43" s="52"/>
    </row>
    <row r="44" spans="1:20" x14ac:dyDescent="0.25">
      <c r="A44" s="31" t="s">
        <v>27</v>
      </c>
      <c r="B44" s="97">
        <v>30</v>
      </c>
      <c r="C44" s="117" t="s">
        <v>8</v>
      </c>
      <c r="D44" s="118">
        <f>SUM(E10:E41)/2</f>
        <v>24050216.265193418</v>
      </c>
      <c r="E44" s="119">
        <f>D44*B44/100</f>
        <v>7215064.8795580259</v>
      </c>
      <c r="F44" s="69"/>
      <c r="G44" s="69"/>
      <c r="H44" s="69"/>
      <c r="S44" s="13"/>
      <c r="T44" s="52"/>
    </row>
    <row r="45" spans="1:20" x14ac:dyDescent="0.25">
      <c r="A45" s="69" t="s">
        <v>7</v>
      </c>
      <c r="B45" s="89"/>
      <c r="C45" s="89"/>
      <c r="D45" s="87"/>
      <c r="E45" s="87">
        <f>SUM(E44)</f>
        <v>7215064.8795580259</v>
      </c>
      <c r="F45" s="69"/>
      <c r="G45" s="69"/>
      <c r="H45" s="69"/>
      <c r="S45" s="13"/>
      <c r="T45" s="52"/>
    </row>
    <row r="46" spans="1:20" x14ac:dyDescent="0.25">
      <c r="A46" s="69"/>
      <c r="B46" s="69"/>
      <c r="C46" s="69"/>
      <c r="D46" s="69"/>
      <c r="E46" s="69"/>
      <c r="F46" s="69"/>
      <c r="G46" s="69"/>
      <c r="H46" s="69"/>
      <c r="S46" s="13"/>
      <c r="T46" s="52"/>
    </row>
    <row r="47" spans="1:20" x14ac:dyDescent="0.25">
      <c r="A47" s="29" t="s">
        <v>123</v>
      </c>
      <c r="B47" s="96"/>
      <c r="C47" s="96"/>
      <c r="D47" s="116"/>
      <c r="E47" s="116"/>
      <c r="F47" s="69"/>
      <c r="G47" s="69"/>
      <c r="H47" s="69"/>
      <c r="S47" s="13"/>
      <c r="T47" s="52"/>
    </row>
    <row r="48" spans="1:20" x14ac:dyDescent="0.25">
      <c r="A48" s="18" t="s">
        <v>22</v>
      </c>
      <c r="B48" s="120">
        <f>20*B11/66/660 +T4</f>
        <v>36.126446280991736</v>
      </c>
      <c r="C48" s="112" t="s">
        <v>18</v>
      </c>
      <c r="D48" s="121">
        <v>500000</v>
      </c>
      <c r="E48" s="121">
        <f>B48*D48</f>
        <v>18063223.140495867</v>
      </c>
      <c r="F48" s="77" t="s">
        <v>124</v>
      </c>
      <c r="G48" s="69"/>
      <c r="H48" s="69"/>
      <c r="S48" s="13"/>
      <c r="T48" s="52"/>
    </row>
    <row r="49" spans="1:20" x14ac:dyDescent="0.25">
      <c r="A49" s="77" t="s">
        <v>7</v>
      </c>
      <c r="B49" s="91"/>
      <c r="C49" s="91"/>
      <c r="D49" s="122"/>
      <c r="E49" s="122">
        <f>SUM(E48)</f>
        <v>18063223.140495867</v>
      </c>
      <c r="F49" s="77" t="s">
        <v>113</v>
      </c>
      <c r="G49" s="69"/>
      <c r="H49" s="69"/>
      <c r="S49" s="13"/>
      <c r="T49" s="52"/>
    </row>
    <row r="50" spans="1:20" x14ac:dyDescent="0.25">
      <c r="A50" s="69"/>
      <c r="B50" s="69"/>
      <c r="C50" s="69"/>
      <c r="D50" s="69"/>
      <c r="E50" s="69"/>
      <c r="F50" s="69"/>
      <c r="G50" s="69"/>
      <c r="H50" s="69"/>
      <c r="S50" s="13"/>
      <c r="T50" s="52"/>
    </row>
    <row r="51" spans="1:20" x14ac:dyDescent="0.25">
      <c r="A51" s="69"/>
      <c r="B51" s="69"/>
      <c r="C51" s="69"/>
      <c r="D51" s="69"/>
      <c r="E51" s="69"/>
      <c r="F51" s="69"/>
      <c r="G51" s="69"/>
      <c r="H51" s="69"/>
      <c r="S51" s="13"/>
      <c r="T51" s="52"/>
    </row>
    <row r="52" spans="1:20" x14ac:dyDescent="0.25">
      <c r="A52" s="114" t="s">
        <v>125</v>
      </c>
      <c r="B52" s="73"/>
      <c r="C52" s="69"/>
      <c r="D52" s="89"/>
      <c r="E52" s="131">
        <f>SUM(E10:E45)/2</f>
        <v>31265281.144751444</v>
      </c>
      <c r="F52" s="87"/>
      <c r="G52" s="69"/>
      <c r="H52" s="69"/>
      <c r="S52" s="13"/>
      <c r="T52" s="52"/>
    </row>
    <row r="53" spans="1:20" x14ac:dyDescent="0.25">
      <c r="A53" s="69"/>
      <c r="B53" s="73"/>
      <c r="C53" s="73"/>
      <c r="D53" s="86"/>
      <c r="E53" s="124"/>
      <c r="F53" s="69"/>
      <c r="G53" s="69"/>
      <c r="H53" s="69"/>
      <c r="S53" s="13"/>
      <c r="T53" s="52"/>
    </row>
    <row r="54" spans="1:20" x14ac:dyDescent="0.25">
      <c r="A54" s="114" t="s">
        <v>126</v>
      </c>
      <c r="B54" s="125"/>
      <c r="C54" s="73"/>
      <c r="D54" s="86"/>
      <c r="E54" s="87">
        <f>E49</f>
        <v>18063223.140495867</v>
      </c>
      <c r="F54" s="69"/>
      <c r="G54" s="69"/>
      <c r="H54" s="69"/>
      <c r="S54" s="13"/>
      <c r="T54" s="52"/>
    </row>
    <row r="55" spans="1:20" x14ac:dyDescent="0.25">
      <c r="A55" s="69"/>
      <c r="B55" s="73"/>
      <c r="C55" s="73"/>
      <c r="D55" s="86"/>
      <c r="E55" s="86"/>
      <c r="F55" s="69"/>
      <c r="G55" s="69"/>
      <c r="H55" s="69"/>
      <c r="S55" s="13"/>
      <c r="T55" s="52"/>
    </row>
    <row r="56" spans="1:20" x14ac:dyDescent="0.25">
      <c r="A56" s="114" t="s">
        <v>127</v>
      </c>
      <c r="B56" s="69"/>
      <c r="C56" s="69"/>
      <c r="D56" s="69"/>
      <c r="E56" s="81">
        <f>+PMT(0.03375,50,-E52-E54,0)</f>
        <v>2055876.8192759745</v>
      </c>
      <c r="F56" s="77" t="s">
        <v>128</v>
      </c>
      <c r="G56" s="69"/>
      <c r="H56" s="69"/>
      <c r="S56" s="13"/>
      <c r="T56" s="52"/>
    </row>
    <row r="57" spans="1:20" x14ac:dyDescent="0.25">
      <c r="A57" s="69"/>
      <c r="B57" s="69"/>
      <c r="C57" s="69"/>
      <c r="D57" s="69"/>
      <c r="E57" s="69"/>
      <c r="F57" s="69"/>
      <c r="G57" s="69"/>
      <c r="H57" s="69"/>
      <c r="S57" s="13"/>
      <c r="T57" s="52"/>
    </row>
    <row r="58" spans="1:20" x14ac:dyDescent="0.25">
      <c r="A58" s="110" t="s">
        <v>67</v>
      </c>
      <c r="B58" s="126"/>
      <c r="C58" s="126"/>
      <c r="D58" s="86"/>
      <c r="E58" s="86">
        <f>N36+P31+O10</f>
        <v>572146.62607206905</v>
      </c>
      <c r="F58" s="69"/>
      <c r="G58" s="69"/>
      <c r="H58" s="69"/>
      <c r="S58" s="13"/>
      <c r="T58" s="52"/>
    </row>
    <row r="59" spans="1:20" x14ac:dyDescent="0.25">
      <c r="A59" s="114"/>
      <c r="B59" s="73"/>
      <c r="C59" s="73"/>
      <c r="D59" s="86"/>
      <c r="E59" s="86"/>
      <c r="F59" s="69"/>
      <c r="G59" s="69"/>
      <c r="H59" s="69"/>
      <c r="S59" s="13"/>
      <c r="T59" s="52"/>
    </row>
    <row r="60" spans="1:20" x14ac:dyDescent="0.25">
      <c r="A60" s="110" t="s">
        <v>77</v>
      </c>
      <c r="B60" s="69"/>
      <c r="C60" s="69"/>
      <c r="D60" s="69"/>
      <c r="E60" s="103">
        <f>+Y4</f>
        <v>1322</v>
      </c>
      <c r="F60" s="69"/>
      <c r="G60" s="69"/>
      <c r="H60" s="69"/>
      <c r="S60" s="13"/>
      <c r="T60" s="52"/>
    </row>
    <row r="61" spans="1:20" x14ac:dyDescent="0.25">
      <c r="A61" s="126"/>
      <c r="B61" s="73"/>
      <c r="C61" s="73"/>
      <c r="D61" s="86"/>
      <c r="E61" s="86"/>
      <c r="F61" s="69"/>
      <c r="G61" s="69"/>
      <c r="H61" s="69"/>
      <c r="S61" s="13"/>
      <c r="T61" s="52"/>
    </row>
    <row r="62" spans="1:20" x14ac:dyDescent="0.25">
      <c r="A62" s="114" t="s">
        <v>129</v>
      </c>
      <c r="B62" s="73"/>
      <c r="C62" s="73"/>
      <c r="D62" s="86"/>
      <c r="E62" s="86">
        <f>+(E56+E58)/E60</f>
        <v>1987.9148603237848</v>
      </c>
      <c r="F62" s="69"/>
      <c r="G62" s="69"/>
      <c r="H62" s="69"/>
      <c r="S62" s="13"/>
      <c r="T62" s="52"/>
    </row>
    <row r="63" spans="1:20" x14ac:dyDescent="0.25">
      <c r="A63" s="69"/>
      <c r="B63" s="69"/>
      <c r="C63" s="69"/>
      <c r="D63" s="69"/>
      <c r="E63" s="69"/>
      <c r="F63" s="69"/>
      <c r="G63" s="69"/>
      <c r="H63" s="69"/>
    </row>
    <row r="64" spans="1:20" x14ac:dyDescent="0.25">
      <c r="A64" s="69"/>
      <c r="B64" s="69"/>
      <c r="C64" s="69"/>
      <c r="D64" s="69"/>
      <c r="E64" s="69"/>
      <c r="F64" s="69"/>
      <c r="G64" s="69"/>
      <c r="H64" s="69"/>
    </row>
    <row r="65" spans="1:8" x14ac:dyDescent="0.25">
      <c r="A65" s="69"/>
      <c r="B65" s="69"/>
      <c r="C65" s="69"/>
      <c r="D65" s="69"/>
      <c r="E65" s="69"/>
      <c r="F65" s="69"/>
      <c r="G65" s="69"/>
      <c r="H65" s="69"/>
    </row>
  </sheetData>
  <customSheetViews>
    <customSheetView guid="{0938481C-6147-45AE-A91B-B3C254F54487}" scale="60" showPageBreaks="1" fitToPage="1" printArea="1" hiddenColumns="1" view="pageLayout" topLeftCell="A19">
      <selection activeCell="E53" sqref="E53"/>
      <pageMargins left="0.7" right="0.7" top="0.75" bottom="0.75" header="0.3" footer="0.3"/>
      <pageSetup scale="35" orientation="landscape" r:id="rId1"/>
      <headerFooter>
        <oddFooter>&amp;LLA Basin Stormwater Conservation Study_Project Costs&amp;R&amp;D</oddFooter>
      </headerFooter>
    </customSheetView>
    <customSheetView guid="{DE980C82-6B2E-45C1-AD5F-2B41EFFE9ED0}" topLeftCell="A25">
      <selection activeCell="H53" sqref="H53"/>
      <pageMargins left="0.7" right="0.7" top="0.75" bottom="0.75" header="0.3" footer="0.3"/>
    </customSheetView>
  </customSheetViews>
  <pageMargins left="0.7" right="0.7" top="0.75" bottom="0.75" header="0.3" footer="0.3"/>
  <pageSetup scale="54" orientation="landscape"/>
  <headerFooter>
    <oddFooter>&amp;LLA Basin Stormwater Conservation Study_Project Costs&amp;R&amp;D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8"/>
  <sheetViews>
    <sheetView topLeftCell="A5" workbookViewId="0">
      <selection activeCell="D66" sqref="D66"/>
    </sheetView>
  </sheetViews>
  <sheetFormatPr defaultRowHeight="13.2" x14ac:dyDescent="0.25"/>
  <cols>
    <col min="1" max="1" width="36.33203125" bestFit="1" customWidth="1"/>
    <col min="4" max="4" width="12.109375" bestFit="1" customWidth="1"/>
    <col min="5" max="5" width="12.6640625" bestFit="1" customWidth="1"/>
    <col min="13" max="13" width="13.5546875" bestFit="1" customWidth="1"/>
    <col min="14" max="14" width="10.6640625" bestFit="1" customWidth="1"/>
    <col min="15" max="15" width="10.33203125" bestFit="1" customWidth="1"/>
    <col min="16" max="16" width="10.6640625" bestFit="1" customWidth="1"/>
    <col min="18" max="18" width="12.6640625" customWidth="1"/>
    <col min="20" max="20" width="10.109375" bestFit="1" customWidth="1"/>
  </cols>
  <sheetData>
    <row r="1" spans="1:17" x14ac:dyDescent="0.25">
      <c r="A1" s="1" t="s">
        <v>10</v>
      </c>
    </row>
    <row r="2" spans="1:17" x14ac:dyDescent="0.25">
      <c r="A2" s="1" t="s">
        <v>114</v>
      </c>
      <c r="L2" s="61"/>
    </row>
    <row r="3" spans="1:17" x14ac:dyDescent="0.25">
      <c r="A3" s="16">
        <v>42275</v>
      </c>
      <c r="B3" s="69"/>
      <c r="C3" s="69"/>
      <c r="D3" s="69"/>
      <c r="L3" s="61"/>
    </row>
    <row r="4" spans="1:17" x14ac:dyDescent="0.25">
      <c r="B4" s="69"/>
      <c r="C4" s="69"/>
      <c r="D4" s="69"/>
      <c r="L4" s="61"/>
    </row>
    <row r="5" spans="1:17" ht="13.8" thickBot="1" x14ac:dyDescent="0.3">
      <c r="A5" s="19" t="s">
        <v>131</v>
      </c>
      <c r="B5" s="133"/>
      <c r="C5" s="133"/>
      <c r="D5" s="133"/>
      <c r="E5" s="20"/>
      <c r="L5" s="61"/>
      <c r="M5" s="61"/>
      <c r="N5" s="61"/>
      <c r="O5" s="61"/>
      <c r="P5" s="61"/>
      <c r="Q5" s="61"/>
    </row>
    <row r="6" spans="1:17" x14ac:dyDescent="0.25">
      <c r="B6" s="69"/>
      <c r="C6" s="69"/>
      <c r="D6" s="69"/>
      <c r="L6" s="61"/>
      <c r="M6" s="61"/>
      <c r="N6" s="61"/>
      <c r="O6" s="61"/>
      <c r="P6" s="61"/>
      <c r="Q6" s="61"/>
    </row>
    <row r="7" spans="1:17" x14ac:dyDescent="0.25">
      <c r="A7" s="1" t="s">
        <v>0</v>
      </c>
      <c r="B7" s="129" t="s">
        <v>1</v>
      </c>
      <c r="C7" s="129" t="s">
        <v>2</v>
      </c>
      <c r="D7" s="130" t="s">
        <v>3</v>
      </c>
      <c r="E7" s="4" t="s">
        <v>4</v>
      </c>
      <c r="L7" s="61"/>
      <c r="M7" s="61"/>
      <c r="N7" s="61"/>
      <c r="O7" s="61"/>
      <c r="P7" s="61"/>
      <c r="Q7" s="61"/>
    </row>
    <row r="8" spans="1:17" x14ac:dyDescent="0.25">
      <c r="A8" s="1"/>
      <c r="B8" s="110"/>
      <c r="C8" s="110"/>
      <c r="D8" s="111"/>
      <c r="E8" s="5"/>
      <c r="L8" s="61"/>
      <c r="M8" s="61"/>
      <c r="N8" s="61"/>
      <c r="O8" s="61"/>
      <c r="P8" s="61"/>
      <c r="Q8" s="61"/>
    </row>
    <row r="9" spans="1:17" x14ac:dyDescent="0.25">
      <c r="A9" s="17" t="s">
        <v>132</v>
      </c>
      <c r="B9" s="83"/>
      <c r="C9" s="83"/>
      <c r="D9" s="84"/>
      <c r="E9" s="8"/>
    </row>
    <row r="10" spans="1:17" x14ac:dyDescent="0.25">
      <c r="A10" s="12" t="s">
        <v>133</v>
      </c>
      <c r="B10" s="85">
        <v>1</v>
      </c>
      <c r="C10" s="74" t="s">
        <v>141</v>
      </c>
      <c r="D10" s="86">
        <v>4500000</v>
      </c>
      <c r="E10" s="87">
        <f>B10*D10</f>
        <v>4500000</v>
      </c>
    </row>
    <row r="11" spans="1:17" x14ac:dyDescent="0.25">
      <c r="A11" s="12" t="s">
        <v>134</v>
      </c>
      <c r="B11" s="85">
        <v>1</v>
      </c>
      <c r="C11" s="74" t="s">
        <v>141</v>
      </c>
      <c r="D11" s="86">
        <v>28000000</v>
      </c>
      <c r="E11" s="87">
        <f t="shared" ref="E11:E20" si="0">B11*D11</f>
        <v>28000000</v>
      </c>
      <c r="F11" s="77"/>
      <c r="M11" s="13"/>
      <c r="N11" s="13"/>
      <c r="O11" s="13"/>
      <c r="P11" s="13"/>
    </row>
    <row r="12" spans="1:17" x14ac:dyDescent="0.25">
      <c r="A12" s="12" t="s">
        <v>135</v>
      </c>
      <c r="B12" s="85">
        <v>1</v>
      </c>
      <c r="C12" s="74" t="s">
        <v>141</v>
      </c>
      <c r="D12" s="86">
        <v>1400000</v>
      </c>
      <c r="E12" s="87">
        <f t="shared" si="0"/>
        <v>1400000</v>
      </c>
      <c r="M12" s="48" t="s">
        <v>78</v>
      </c>
      <c r="N12" s="13"/>
      <c r="O12" s="13"/>
      <c r="P12" s="13"/>
    </row>
    <row r="13" spans="1:17" x14ac:dyDescent="0.25">
      <c r="A13" s="12" t="s">
        <v>136</v>
      </c>
      <c r="B13" s="85">
        <v>1</v>
      </c>
      <c r="C13" s="74" t="s">
        <v>141</v>
      </c>
      <c r="D13" s="86">
        <v>22000000</v>
      </c>
      <c r="E13" s="87">
        <f t="shared" si="0"/>
        <v>22000000</v>
      </c>
      <c r="M13" s="13"/>
      <c r="N13" s="13"/>
      <c r="O13" s="13"/>
      <c r="P13" s="13"/>
    </row>
    <row r="14" spans="1:17" x14ac:dyDescent="0.25">
      <c r="A14" s="12" t="s">
        <v>137</v>
      </c>
      <c r="B14" s="85">
        <v>1</v>
      </c>
      <c r="C14" s="74" t="s">
        <v>141</v>
      </c>
      <c r="D14" s="87">
        <v>13000000</v>
      </c>
      <c r="E14" s="87">
        <f t="shared" si="0"/>
        <v>13000000</v>
      </c>
      <c r="M14" s="49" t="s">
        <v>58</v>
      </c>
      <c r="N14" s="50"/>
      <c r="O14" s="43" t="s">
        <v>61</v>
      </c>
      <c r="P14" s="43" t="s">
        <v>63</v>
      </c>
    </row>
    <row r="15" spans="1:17" x14ac:dyDescent="0.25">
      <c r="A15" s="12" t="s">
        <v>143</v>
      </c>
      <c r="B15" s="85">
        <v>1</v>
      </c>
      <c r="C15" s="74" t="s">
        <v>141</v>
      </c>
      <c r="D15" s="87">
        <v>9000000</v>
      </c>
      <c r="E15" s="87">
        <f t="shared" si="0"/>
        <v>9000000</v>
      </c>
      <c r="M15" s="43" t="s">
        <v>59</v>
      </c>
      <c r="N15" s="43" t="s">
        <v>60</v>
      </c>
      <c r="O15" s="43" t="s">
        <v>62</v>
      </c>
      <c r="P15" s="43" t="s">
        <v>66</v>
      </c>
    </row>
    <row r="16" spans="1:17" x14ac:dyDescent="0.25">
      <c r="A16" s="12" t="s">
        <v>138</v>
      </c>
      <c r="B16" s="85">
        <v>1</v>
      </c>
      <c r="C16" s="74" t="s">
        <v>141</v>
      </c>
      <c r="D16" s="87">
        <v>3100000</v>
      </c>
      <c r="E16" s="87">
        <f t="shared" si="0"/>
        <v>3100000</v>
      </c>
      <c r="M16" s="13"/>
      <c r="N16" s="13"/>
      <c r="O16" s="13"/>
      <c r="P16" s="13"/>
    </row>
    <row r="17" spans="1:20" x14ac:dyDescent="0.25">
      <c r="A17" s="12" t="s">
        <v>139</v>
      </c>
      <c r="B17" s="85">
        <v>1</v>
      </c>
      <c r="C17" s="74" t="s">
        <v>141</v>
      </c>
      <c r="D17" s="87">
        <v>1000000</v>
      </c>
      <c r="E17" s="87">
        <f t="shared" si="0"/>
        <v>1000000</v>
      </c>
      <c r="M17" s="13">
        <v>0</v>
      </c>
      <c r="N17" s="44">
        <f>0.746*M17*3*30.4*24</f>
        <v>0</v>
      </c>
      <c r="O17" s="51">
        <v>0.15</v>
      </c>
      <c r="P17" s="52">
        <f>+N17*O17</f>
        <v>0</v>
      </c>
    </row>
    <row r="18" spans="1:20" x14ac:dyDescent="0.25">
      <c r="A18" s="12" t="s">
        <v>140</v>
      </c>
      <c r="B18" s="85">
        <v>1</v>
      </c>
      <c r="C18" s="74" t="s">
        <v>141</v>
      </c>
      <c r="D18" s="87">
        <v>6800000</v>
      </c>
      <c r="E18" s="87">
        <f t="shared" si="0"/>
        <v>6800000</v>
      </c>
      <c r="M18" s="13"/>
      <c r="N18" s="13"/>
      <c r="O18" s="13"/>
      <c r="P18" s="13"/>
    </row>
    <row r="19" spans="1:20" x14ac:dyDescent="0.25">
      <c r="A19" s="12" t="s">
        <v>144</v>
      </c>
      <c r="B19" s="85">
        <v>1</v>
      </c>
      <c r="C19" s="74" t="s">
        <v>141</v>
      </c>
      <c r="D19" s="87">
        <v>2000000</v>
      </c>
      <c r="E19" s="87">
        <f t="shared" si="0"/>
        <v>2000000</v>
      </c>
      <c r="M19" s="13"/>
      <c r="N19" s="13"/>
      <c r="O19" s="13"/>
      <c r="P19" s="13"/>
    </row>
    <row r="20" spans="1:20" x14ac:dyDescent="0.25">
      <c r="A20" s="12" t="s">
        <v>145</v>
      </c>
      <c r="B20" s="85">
        <v>1</v>
      </c>
      <c r="C20" s="74" t="s">
        <v>141</v>
      </c>
      <c r="D20" s="87">
        <v>100000</v>
      </c>
      <c r="E20" s="87">
        <f t="shared" si="0"/>
        <v>100000</v>
      </c>
      <c r="M20" s="13"/>
      <c r="N20" s="13"/>
      <c r="O20" s="13"/>
      <c r="P20" s="13"/>
    </row>
    <row r="21" spans="1:20" x14ac:dyDescent="0.25">
      <c r="A21" s="98" t="s">
        <v>7</v>
      </c>
      <c r="B21" s="101"/>
      <c r="C21" s="101"/>
      <c r="D21" s="102"/>
      <c r="E21" s="37">
        <f>SUM(E10:E20)</f>
        <v>90900000</v>
      </c>
      <c r="M21" s="43" t="s">
        <v>64</v>
      </c>
      <c r="N21" s="43" t="s">
        <v>63</v>
      </c>
      <c r="O21" s="43" t="s">
        <v>68</v>
      </c>
      <c r="Q21" s="43"/>
    </row>
    <row r="22" spans="1:20" x14ac:dyDescent="0.25">
      <c r="B22" s="69"/>
      <c r="C22" s="69"/>
      <c r="D22" s="69"/>
      <c r="M22" s="43" t="s">
        <v>65</v>
      </c>
      <c r="N22" s="43" t="s">
        <v>66</v>
      </c>
      <c r="O22" s="43" t="s">
        <v>69</v>
      </c>
      <c r="Q22" s="43"/>
    </row>
    <row r="23" spans="1:20" x14ac:dyDescent="0.25">
      <c r="A23" s="17" t="s">
        <v>19</v>
      </c>
      <c r="B23" s="88"/>
      <c r="C23" s="88"/>
      <c r="D23" s="84"/>
      <c r="E23" s="8"/>
      <c r="M23" s="13"/>
      <c r="N23" s="13"/>
      <c r="O23" s="13"/>
    </row>
    <row r="24" spans="1:20" x14ac:dyDescent="0.25">
      <c r="A24" s="9" t="s">
        <v>17</v>
      </c>
      <c r="B24" s="89">
        <f>+W4</f>
        <v>0</v>
      </c>
      <c r="C24" s="74" t="s">
        <v>18</v>
      </c>
      <c r="D24" s="86">
        <v>35000</v>
      </c>
      <c r="E24" s="11">
        <f t="shared" ref="E24" si="1">+B24*D24</f>
        <v>0</v>
      </c>
      <c r="F24" s="30" t="s">
        <v>30</v>
      </c>
      <c r="M24" s="53">
        <v>0.05</v>
      </c>
      <c r="N24" s="52">
        <f>+M24*SUM(E9:E35)/2</f>
        <v>4999500</v>
      </c>
      <c r="O24" s="13">
        <v>50</v>
      </c>
      <c r="Q24" s="2"/>
    </row>
    <row r="25" spans="1:20" x14ac:dyDescent="0.25">
      <c r="A25" s="98" t="s">
        <v>7</v>
      </c>
      <c r="B25" s="101"/>
      <c r="C25" s="101"/>
      <c r="D25" s="102"/>
      <c r="E25" s="37">
        <f>SUM(E24:E24)</f>
        <v>0</v>
      </c>
    </row>
    <row r="26" spans="1:20" ht="13.2" customHeight="1" x14ac:dyDescent="0.25">
      <c r="A26" s="12"/>
      <c r="B26" s="73"/>
      <c r="C26" s="73"/>
      <c r="D26" s="86"/>
      <c r="E26" s="2"/>
      <c r="M26" s="135" t="s">
        <v>147</v>
      </c>
      <c r="N26" s="43"/>
      <c r="O26" s="43"/>
      <c r="P26" s="1"/>
      <c r="Q26" s="5"/>
    </row>
    <row r="27" spans="1:20" x14ac:dyDescent="0.25">
      <c r="A27" s="29" t="s">
        <v>20</v>
      </c>
      <c r="B27" s="88"/>
      <c r="C27" s="88"/>
      <c r="D27" s="84"/>
      <c r="E27" s="8"/>
      <c r="F27" s="30"/>
      <c r="M27" s="134" t="s">
        <v>146</v>
      </c>
      <c r="N27" s="7" t="s">
        <v>99</v>
      </c>
      <c r="O27" s="7" t="s">
        <v>98</v>
      </c>
      <c r="P27" s="7" t="s">
        <v>2</v>
      </c>
      <c r="Q27" s="7" t="s">
        <v>3</v>
      </c>
      <c r="R27" s="7" t="s">
        <v>4</v>
      </c>
    </row>
    <row r="28" spans="1:20" x14ac:dyDescent="0.25">
      <c r="A28" s="31" t="s">
        <v>21</v>
      </c>
      <c r="B28" s="128">
        <f>+U4</f>
        <v>0</v>
      </c>
      <c r="C28" s="117" t="s">
        <v>6</v>
      </c>
      <c r="D28" s="119">
        <v>25</v>
      </c>
      <c r="E28" s="8">
        <f>+B28*D28</f>
        <v>0</v>
      </c>
      <c r="M28" t="s">
        <v>83</v>
      </c>
      <c r="N28" s="13" t="s">
        <v>101</v>
      </c>
      <c r="O28" s="13">
        <v>17</v>
      </c>
      <c r="P28" s="13" t="s">
        <v>18</v>
      </c>
      <c r="Q28" s="63">
        <v>4775.1400000000003</v>
      </c>
      <c r="R28" s="63">
        <v>81177.38</v>
      </c>
      <c r="T28" s="63"/>
    </row>
    <row r="29" spans="1:20" x14ac:dyDescent="0.25">
      <c r="A29" t="s">
        <v>7</v>
      </c>
      <c r="B29" s="89"/>
      <c r="C29" s="89"/>
      <c r="D29" s="87"/>
      <c r="E29" s="2">
        <f>SUM(E28)</f>
        <v>0</v>
      </c>
      <c r="M29" t="s">
        <v>84</v>
      </c>
      <c r="N29" s="13" t="s">
        <v>101</v>
      </c>
      <c r="O29" s="13">
        <v>8</v>
      </c>
      <c r="P29" s="13" t="s">
        <v>18</v>
      </c>
      <c r="Q29" s="63">
        <v>4775.1400000000003</v>
      </c>
      <c r="R29" s="63">
        <v>38201.120000000003</v>
      </c>
    </row>
    <row r="30" spans="1:20" x14ac:dyDescent="0.25">
      <c r="B30" s="89"/>
      <c r="C30" s="89"/>
      <c r="D30" s="87"/>
      <c r="E30" s="2"/>
      <c r="M30" t="s">
        <v>85</v>
      </c>
      <c r="N30" s="13" t="s">
        <v>101</v>
      </c>
      <c r="O30" s="13">
        <v>15</v>
      </c>
      <c r="P30" s="13" t="s">
        <v>18</v>
      </c>
      <c r="Q30" s="63">
        <v>4775.1400000000003</v>
      </c>
      <c r="R30" s="63">
        <v>71627.100000000006</v>
      </c>
    </row>
    <row r="31" spans="1:20" x14ac:dyDescent="0.25">
      <c r="A31" s="6" t="s">
        <v>79</v>
      </c>
      <c r="B31" s="88">
        <v>0</v>
      </c>
      <c r="C31" s="88" t="s">
        <v>8</v>
      </c>
      <c r="D31" s="113">
        <f>SUM(E9:E29)/2</f>
        <v>90900000</v>
      </c>
      <c r="E31" s="8">
        <f>D31*B31/100</f>
        <v>0</v>
      </c>
      <c r="M31" t="s">
        <v>86</v>
      </c>
      <c r="N31" s="13" t="s">
        <v>101</v>
      </c>
      <c r="O31" s="13">
        <v>25</v>
      </c>
      <c r="P31" s="13" t="s">
        <v>18</v>
      </c>
      <c r="Q31" s="63">
        <v>4775.1400000000003</v>
      </c>
      <c r="R31" s="63">
        <v>119378.50000000001</v>
      </c>
    </row>
    <row r="32" spans="1:20" x14ac:dyDescent="0.25">
      <c r="A32" s="30" t="s">
        <v>79</v>
      </c>
      <c r="B32" s="89"/>
      <c r="C32" s="89"/>
      <c r="D32" s="87"/>
      <c r="E32" s="2">
        <f>SUM(E31)</f>
        <v>0</v>
      </c>
      <c r="M32" t="s">
        <v>87</v>
      </c>
      <c r="N32" s="13" t="s">
        <v>102</v>
      </c>
      <c r="O32" s="13">
        <v>105</v>
      </c>
      <c r="P32" s="13" t="s">
        <v>18</v>
      </c>
      <c r="Q32" s="63">
        <v>893.66</v>
      </c>
      <c r="R32" s="63">
        <v>93834.3</v>
      </c>
    </row>
    <row r="33" spans="1:18" x14ac:dyDescent="0.25">
      <c r="B33" s="89"/>
      <c r="C33" s="89"/>
      <c r="D33" s="87"/>
      <c r="E33" s="2"/>
      <c r="M33" t="s">
        <v>88</v>
      </c>
      <c r="N33" s="13" t="s">
        <v>101</v>
      </c>
      <c r="O33" s="13">
        <v>5</v>
      </c>
      <c r="P33" s="13" t="s">
        <v>18</v>
      </c>
      <c r="Q33" s="63">
        <v>4775.1400000000003</v>
      </c>
      <c r="R33" s="63">
        <v>23875.7</v>
      </c>
    </row>
    <row r="34" spans="1:18" x14ac:dyDescent="0.25">
      <c r="A34" s="6" t="s">
        <v>9</v>
      </c>
      <c r="B34" s="88">
        <v>10</v>
      </c>
      <c r="C34" s="88" t="s">
        <v>8</v>
      </c>
      <c r="D34" s="113">
        <f>SUM(E9:E32)/2</f>
        <v>90900000</v>
      </c>
      <c r="E34" s="8">
        <f>D34*B34/100</f>
        <v>9090000</v>
      </c>
      <c r="M34" t="s">
        <v>89</v>
      </c>
      <c r="N34" s="13" t="s">
        <v>101</v>
      </c>
      <c r="O34" s="13">
        <v>3</v>
      </c>
      <c r="P34" s="13" t="s">
        <v>18</v>
      </c>
      <c r="Q34" s="63">
        <v>4775.1400000000003</v>
      </c>
      <c r="R34" s="63">
        <v>14325.420000000002</v>
      </c>
    </row>
    <row r="35" spans="1:18" x14ac:dyDescent="0.25">
      <c r="A35" t="s">
        <v>7</v>
      </c>
      <c r="B35" s="89"/>
      <c r="C35" s="89"/>
      <c r="D35" s="87"/>
      <c r="E35" s="2">
        <f>SUM(E34)</f>
        <v>9090000</v>
      </c>
      <c r="M35" t="s">
        <v>90</v>
      </c>
      <c r="N35" s="13" t="s">
        <v>101</v>
      </c>
      <c r="O35" s="13">
        <v>12</v>
      </c>
      <c r="P35" s="13" t="s">
        <v>18</v>
      </c>
      <c r="Q35" s="63">
        <v>4775.1400000000003</v>
      </c>
      <c r="R35" s="63">
        <v>57301.680000000008</v>
      </c>
    </row>
    <row r="36" spans="1:18" x14ac:dyDescent="0.25">
      <c r="B36" s="89"/>
      <c r="C36" s="89"/>
      <c r="D36" s="87"/>
      <c r="E36" s="2"/>
      <c r="M36" t="s">
        <v>91</v>
      </c>
      <c r="N36" s="13" t="s">
        <v>102</v>
      </c>
      <c r="O36" s="13">
        <v>107</v>
      </c>
      <c r="P36" s="13" t="s">
        <v>18</v>
      </c>
      <c r="Q36" s="63">
        <v>893.66</v>
      </c>
      <c r="R36" s="63">
        <v>95621.62</v>
      </c>
    </row>
    <row r="37" spans="1:18" x14ac:dyDescent="0.25">
      <c r="A37" s="6" t="s">
        <v>23</v>
      </c>
      <c r="B37" s="88"/>
      <c r="C37" s="88"/>
      <c r="D37" s="86"/>
      <c r="E37" s="11"/>
      <c r="F37" s="30"/>
      <c r="M37" t="s">
        <v>92</v>
      </c>
      <c r="N37" s="13" t="s">
        <v>102</v>
      </c>
      <c r="O37" s="13">
        <v>430</v>
      </c>
      <c r="P37" s="13" t="s">
        <v>18</v>
      </c>
      <c r="Q37" s="63">
        <v>893.66</v>
      </c>
      <c r="R37" s="63">
        <v>384273.8</v>
      </c>
    </row>
    <row r="38" spans="1:18" x14ac:dyDescent="0.25">
      <c r="A38" s="71" t="s">
        <v>116</v>
      </c>
      <c r="B38" s="72">
        <v>10</v>
      </c>
      <c r="C38" s="72" t="s">
        <v>8</v>
      </c>
      <c r="D38" s="92">
        <f>SUM(E9:E35)/2</f>
        <v>99990000</v>
      </c>
      <c r="E38" s="37">
        <f>D38*B38/100</f>
        <v>9999000</v>
      </c>
      <c r="M38" t="s">
        <v>93</v>
      </c>
      <c r="N38" s="13" t="s">
        <v>101</v>
      </c>
      <c r="O38" s="13">
        <v>11</v>
      </c>
      <c r="P38" s="13" t="s">
        <v>18</v>
      </c>
      <c r="Q38" s="63">
        <v>4775.1400000000003</v>
      </c>
      <c r="R38" s="63">
        <v>52526.54</v>
      </c>
    </row>
    <row r="39" spans="1:18" x14ac:dyDescent="0.25">
      <c r="A39" s="9" t="s">
        <v>120</v>
      </c>
      <c r="B39" s="73">
        <v>15</v>
      </c>
      <c r="C39" s="74" t="s">
        <v>8</v>
      </c>
      <c r="D39" s="94">
        <f>SUM(E9:E35)/2</f>
        <v>99990000</v>
      </c>
      <c r="E39" s="11">
        <f>D39*B39/100</f>
        <v>14998500</v>
      </c>
      <c r="M39" t="s">
        <v>94</v>
      </c>
      <c r="N39" s="13" t="s">
        <v>102</v>
      </c>
      <c r="O39" s="13">
        <v>96</v>
      </c>
      <c r="P39" s="13" t="s">
        <v>18</v>
      </c>
      <c r="Q39" s="63">
        <v>893.66</v>
      </c>
      <c r="R39" s="63">
        <v>85791.360000000001</v>
      </c>
    </row>
    <row r="40" spans="1:18" x14ac:dyDescent="0.25">
      <c r="A40" s="12" t="s">
        <v>57</v>
      </c>
      <c r="B40" s="73">
        <v>11</v>
      </c>
      <c r="C40" s="74" t="s">
        <v>8</v>
      </c>
      <c r="D40" s="86">
        <f>SUM(E9:E35)/2 + SUM(D38:D39) + SUM(D41:D43)</f>
        <v>599940000</v>
      </c>
      <c r="E40" s="11">
        <f t="shared" ref="E40:E43" si="2">D40*B40/100</f>
        <v>65993400</v>
      </c>
      <c r="M40" t="s">
        <v>95</v>
      </c>
      <c r="N40" s="13" t="s">
        <v>101</v>
      </c>
      <c r="O40" s="13">
        <v>8</v>
      </c>
      <c r="P40" s="13" t="s">
        <v>18</v>
      </c>
      <c r="Q40" s="63">
        <v>4775.1400000000003</v>
      </c>
      <c r="R40" s="63">
        <v>38201.120000000003</v>
      </c>
    </row>
    <row r="41" spans="1:18" x14ac:dyDescent="0.25">
      <c r="A41" s="12" t="s">
        <v>24</v>
      </c>
      <c r="B41" s="73">
        <v>5</v>
      </c>
      <c r="C41" s="74" t="s">
        <v>8</v>
      </c>
      <c r="D41" s="94">
        <f>SUM(E9:E35)/2</f>
        <v>99990000</v>
      </c>
      <c r="E41" s="11">
        <f t="shared" si="2"/>
        <v>4999500</v>
      </c>
      <c r="M41" t="s">
        <v>96</v>
      </c>
      <c r="N41" s="13" t="s">
        <v>102</v>
      </c>
      <c r="O41" s="13">
        <v>168</v>
      </c>
      <c r="P41" s="13" t="s">
        <v>18</v>
      </c>
      <c r="Q41" s="63">
        <v>893.66</v>
      </c>
      <c r="R41" s="63">
        <v>150134.88</v>
      </c>
    </row>
    <row r="42" spans="1:18" x14ac:dyDescent="0.25">
      <c r="A42" s="9" t="s">
        <v>25</v>
      </c>
      <c r="B42" s="73">
        <v>10</v>
      </c>
      <c r="C42" s="74" t="s">
        <v>8</v>
      </c>
      <c r="D42" s="94">
        <f>SUM(E9:E35)/2</f>
        <v>99990000</v>
      </c>
      <c r="E42" s="11">
        <f t="shared" si="2"/>
        <v>9999000</v>
      </c>
      <c r="M42" s="7" t="s">
        <v>97</v>
      </c>
      <c r="N42" s="14" t="s">
        <v>101</v>
      </c>
      <c r="O42" s="14">
        <v>4</v>
      </c>
      <c r="P42" s="14" t="s">
        <v>18</v>
      </c>
      <c r="Q42" s="66">
        <v>4775.1400000000003</v>
      </c>
      <c r="R42" s="66">
        <v>19100.560000000001</v>
      </c>
    </row>
    <row r="43" spans="1:18" x14ac:dyDescent="0.25">
      <c r="A43" s="18" t="s">
        <v>26</v>
      </c>
      <c r="B43" s="14">
        <v>10</v>
      </c>
      <c r="C43" s="26" t="s">
        <v>8</v>
      </c>
      <c r="D43" s="34">
        <f>SUM(E9:E35)/2</f>
        <v>99990000</v>
      </c>
      <c r="E43" s="8">
        <f t="shared" si="2"/>
        <v>9999000</v>
      </c>
      <c r="M43" t="s">
        <v>7</v>
      </c>
      <c r="R43" s="63">
        <v>1325371.0800000005</v>
      </c>
    </row>
    <row r="44" spans="1:18" x14ac:dyDescent="0.25">
      <c r="A44" t="s">
        <v>7</v>
      </c>
      <c r="B44" s="13"/>
      <c r="C44" s="13"/>
      <c r="D44" s="2"/>
      <c r="E44" s="2">
        <f>SUM(E38:E43)</f>
        <v>115988400</v>
      </c>
      <c r="M44" s="64"/>
      <c r="N44" s="64"/>
      <c r="O44" s="64"/>
      <c r="P44" s="64"/>
      <c r="Q44" s="64"/>
    </row>
    <row r="45" spans="1:18" x14ac:dyDescent="0.25">
      <c r="A45" s="21"/>
      <c r="B45" s="10"/>
      <c r="C45" s="10"/>
      <c r="D45" s="11"/>
      <c r="E45" s="23"/>
      <c r="M45" s="64"/>
      <c r="N45" s="64"/>
      <c r="O45" s="64"/>
      <c r="P45" s="64"/>
      <c r="Q45" s="64"/>
    </row>
    <row r="46" spans="1:18" x14ac:dyDescent="0.25">
      <c r="A46" s="6" t="s">
        <v>27</v>
      </c>
      <c r="B46" s="32"/>
      <c r="C46" s="32"/>
      <c r="D46" s="33"/>
      <c r="E46" s="33"/>
    </row>
    <row r="47" spans="1:18" x14ac:dyDescent="0.25">
      <c r="A47" s="31" t="s">
        <v>27</v>
      </c>
      <c r="B47" s="97">
        <v>30</v>
      </c>
      <c r="C47" s="117" t="s">
        <v>8</v>
      </c>
      <c r="D47" s="118">
        <f>SUM(E9:E44)/2</f>
        <v>215978400</v>
      </c>
      <c r="E47" s="119">
        <f>D47*B47/100</f>
        <v>64793520</v>
      </c>
      <c r="F47" s="69"/>
      <c r="G47" s="69"/>
    </row>
    <row r="48" spans="1:18" x14ac:dyDescent="0.25">
      <c r="A48" s="69" t="s">
        <v>7</v>
      </c>
      <c r="B48" s="89"/>
      <c r="C48" s="89"/>
      <c r="D48" s="87"/>
      <c r="E48" s="87">
        <f>SUM(E47)</f>
        <v>64793520</v>
      </c>
      <c r="F48" s="69"/>
      <c r="G48" s="69"/>
    </row>
    <row r="49" spans="1:7" x14ac:dyDescent="0.25">
      <c r="A49" s="69"/>
      <c r="B49" s="69"/>
      <c r="C49" s="69"/>
      <c r="D49" s="69"/>
      <c r="E49" s="69"/>
      <c r="F49" s="69"/>
      <c r="G49" s="69"/>
    </row>
    <row r="50" spans="1:7" x14ac:dyDescent="0.25">
      <c r="A50" s="29" t="s">
        <v>123</v>
      </c>
      <c r="B50" s="96"/>
      <c r="C50" s="96"/>
      <c r="D50" s="116"/>
      <c r="E50" s="116"/>
      <c r="F50" s="69"/>
      <c r="G50" s="69"/>
    </row>
    <row r="51" spans="1:7" x14ac:dyDescent="0.25">
      <c r="A51" s="18" t="s">
        <v>22</v>
      </c>
      <c r="B51" s="132">
        <v>0</v>
      </c>
      <c r="C51" s="112" t="s">
        <v>18</v>
      </c>
      <c r="D51" s="121">
        <v>500000</v>
      </c>
      <c r="E51" s="121">
        <f>B51*D51</f>
        <v>0</v>
      </c>
      <c r="F51" s="77" t="s">
        <v>124</v>
      </c>
      <c r="G51" s="69"/>
    </row>
    <row r="52" spans="1:7" x14ac:dyDescent="0.25">
      <c r="A52" s="77" t="s">
        <v>7</v>
      </c>
      <c r="B52" s="91"/>
      <c r="C52" s="91"/>
      <c r="D52" s="122"/>
      <c r="E52" s="122">
        <f>SUM(E51)</f>
        <v>0</v>
      </c>
      <c r="F52" s="69"/>
      <c r="G52" s="69"/>
    </row>
    <row r="53" spans="1:7" x14ac:dyDescent="0.25">
      <c r="A53" s="69"/>
      <c r="B53" s="69"/>
      <c r="C53" s="69"/>
      <c r="D53" s="69"/>
      <c r="E53" s="69"/>
      <c r="F53" s="69"/>
      <c r="G53" s="69"/>
    </row>
    <row r="54" spans="1:7" x14ac:dyDescent="0.25">
      <c r="A54" s="69"/>
      <c r="B54" s="69"/>
      <c r="C54" s="69"/>
      <c r="D54" s="69"/>
      <c r="E54" s="69"/>
      <c r="F54" s="69"/>
      <c r="G54" s="69"/>
    </row>
    <row r="55" spans="1:7" x14ac:dyDescent="0.25">
      <c r="A55" s="114" t="s">
        <v>125</v>
      </c>
      <c r="B55" s="73"/>
      <c r="C55" s="69"/>
      <c r="D55" s="89"/>
      <c r="E55" s="123">
        <f>SUM(E10:E48)/2</f>
        <v>280771920</v>
      </c>
      <c r="F55" s="69"/>
      <c r="G55" s="69"/>
    </row>
    <row r="56" spans="1:7" x14ac:dyDescent="0.25">
      <c r="A56" s="69"/>
      <c r="B56" s="73"/>
      <c r="C56" s="73"/>
      <c r="D56" s="86"/>
      <c r="E56" s="124"/>
      <c r="F56" s="69"/>
      <c r="G56" s="69"/>
    </row>
    <row r="57" spans="1:7" x14ac:dyDescent="0.25">
      <c r="A57" s="114" t="s">
        <v>126</v>
      </c>
      <c r="B57" s="125"/>
      <c r="C57" s="73"/>
      <c r="D57" s="86"/>
      <c r="E57" s="87">
        <f>E52</f>
        <v>0</v>
      </c>
      <c r="F57" s="69"/>
      <c r="G57" s="69"/>
    </row>
    <row r="58" spans="1:7" x14ac:dyDescent="0.25">
      <c r="A58" s="69"/>
      <c r="B58" s="73"/>
      <c r="C58" s="73"/>
      <c r="D58" s="86"/>
      <c r="E58" s="86"/>
      <c r="F58" s="69"/>
      <c r="G58" s="69"/>
    </row>
    <row r="59" spans="1:7" x14ac:dyDescent="0.25">
      <c r="A59" s="114" t="s">
        <v>127</v>
      </c>
      <c r="B59" s="69"/>
      <c r="C59" s="69"/>
      <c r="D59" s="69"/>
      <c r="E59" s="81">
        <f>+PMT(0.03375,50,-E55-E57,0)</f>
        <v>11701803.859563638</v>
      </c>
      <c r="F59" s="77" t="s">
        <v>128</v>
      </c>
      <c r="G59" s="69"/>
    </row>
    <row r="60" spans="1:7" x14ac:dyDescent="0.25">
      <c r="A60" s="69"/>
      <c r="B60" s="69"/>
      <c r="C60" s="69"/>
      <c r="D60" s="69"/>
      <c r="E60" s="69"/>
      <c r="F60" s="69"/>
      <c r="G60" s="69"/>
    </row>
    <row r="61" spans="1:7" x14ac:dyDescent="0.25">
      <c r="A61" s="110" t="s">
        <v>67</v>
      </c>
      <c r="B61" s="126"/>
      <c r="C61" s="15"/>
      <c r="D61" s="11"/>
      <c r="E61" s="11">
        <f>N24+P17+R43</f>
        <v>6324871.0800000001</v>
      </c>
    </row>
    <row r="62" spans="1:7" x14ac:dyDescent="0.25">
      <c r="A62" s="114"/>
      <c r="B62" s="73"/>
      <c r="C62" s="10"/>
      <c r="D62" s="11"/>
      <c r="E62" s="11"/>
    </row>
    <row r="63" spans="1:7" x14ac:dyDescent="0.25">
      <c r="A63" s="110" t="s">
        <v>77</v>
      </c>
      <c r="B63" s="69"/>
      <c r="E63" s="103">
        <v>13381</v>
      </c>
    </row>
    <row r="64" spans="1:7" x14ac:dyDescent="0.25">
      <c r="A64" s="126"/>
      <c r="B64" s="73"/>
      <c r="C64" s="10"/>
      <c r="D64" s="11"/>
      <c r="E64" s="11"/>
    </row>
    <row r="65" spans="1:5" x14ac:dyDescent="0.25">
      <c r="A65" s="114" t="s">
        <v>129</v>
      </c>
      <c r="B65" s="73"/>
      <c r="C65" s="10"/>
      <c r="D65" s="11"/>
      <c r="E65" s="86">
        <f>+(E59+E61)/E63</f>
        <v>1347.1844361081862</v>
      </c>
    </row>
    <row r="66" spans="1:5" x14ac:dyDescent="0.25">
      <c r="A66" s="69"/>
      <c r="B66" s="69"/>
    </row>
    <row r="67" spans="1:5" x14ac:dyDescent="0.25">
      <c r="A67" s="69"/>
      <c r="B67" s="69"/>
    </row>
    <row r="68" spans="1:5" x14ac:dyDescent="0.25">
      <c r="A68" s="69"/>
      <c r="B68" s="69"/>
    </row>
  </sheetData>
  <pageMargins left="0.7" right="0.7" top="0.75" bottom="0.75" header="0.3" footer="0.3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0"/>
  <sheetViews>
    <sheetView zoomScale="70" zoomScaleNormal="70" zoomScaleSheetLayoutView="100" zoomScalePageLayoutView="70" workbookViewId="0">
      <selection activeCell="A3" sqref="A3"/>
    </sheetView>
  </sheetViews>
  <sheetFormatPr defaultRowHeight="13.2" x14ac:dyDescent="0.25"/>
  <cols>
    <col min="1" max="1" width="11.88671875" customWidth="1"/>
    <col min="3" max="3" width="9.109375" customWidth="1"/>
    <col min="4" max="4" width="52.109375" customWidth="1"/>
    <col min="5" max="5" width="18.88671875" customWidth="1"/>
    <col min="6" max="7" width="17.88671875" customWidth="1"/>
    <col min="8" max="8" width="24.33203125" customWidth="1"/>
    <col min="9" max="9" width="20.6640625" customWidth="1"/>
    <col min="10" max="10" width="10.33203125" customWidth="1"/>
    <col min="11" max="11" width="23.6640625" customWidth="1"/>
    <col min="12" max="12" width="29.33203125" customWidth="1"/>
    <col min="13" max="13" width="20.6640625" customWidth="1"/>
    <col min="14" max="15" width="12.6640625" customWidth="1"/>
  </cols>
  <sheetData>
    <row r="1" spans="1:11" x14ac:dyDescent="0.25">
      <c r="A1" s="1" t="s">
        <v>10</v>
      </c>
      <c r="E1" s="15"/>
      <c r="F1" s="15"/>
      <c r="G1" s="15"/>
      <c r="H1" s="15"/>
    </row>
    <row r="2" spans="1:11" x14ac:dyDescent="0.25">
      <c r="A2" s="1" t="s">
        <v>122</v>
      </c>
      <c r="E2" s="22"/>
      <c r="F2" s="22"/>
      <c r="G2" s="22"/>
      <c r="H2" s="22"/>
    </row>
    <row r="3" spans="1:11" x14ac:dyDescent="0.25">
      <c r="A3" s="16">
        <v>42275</v>
      </c>
      <c r="E3" s="22"/>
      <c r="F3" s="22"/>
      <c r="G3" s="22"/>
      <c r="H3" s="22"/>
    </row>
    <row r="4" spans="1:11" x14ac:dyDescent="0.25">
      <c r="E4" s="10"/>
      <c r="F4" s="10"/>
      <c r="G4" s="10"/>
      <c r="H4" s="10"/>
    </row>
    <row r="5" spans="1:11" s="56" customFormat="1" ht="26.4" x14ac:dyDescent="0.25">
      <c r="E5" s="59" t="str">
        <f>'4 Sepulveda'!$A$5</f>
        <v>Sepulveda Dam</v>
      </c>
      <c r="F5" s="59" t="str">
        <f>'4 Miller Pit'!$A$5</f>
        <v>Miller Pit</v>
      </c>
      <c r="G5" s="59" t="str">
        <f>'4 Spadra Basin'!$A$5</f>
        <v>Spadra Basin</v>
      </c>
      <c r="H5" s="59" t="str">
        <f>'4 Tujunga'!$A$5</f>
        <v>Tujunga Spreading Grounds</v>
      </c>
      <c r="I5" s="59" t="str">
        <f>'4 United'!$A$5</f>
        <v>United Rock Pit No. 3</v>
      </c>
    </row>
    <row r="6" spans="1:11" x14ac:dyDescent="0.25">
      <c r="D6" s="57"/>
      <c r="E6" s="13"/>
      <c r="F6" s="13"/>
      <c r="G6" s="13"/>
      <c r="H6" s="13"/>
      <c r="I6" s="13"/>
    </row>
    <row r="7" spans="1:11" x14ac:dyDescent="0.25">
      <c r="D7" s="58" t="s">
        <v>70</v>
      </c>
      <c r="E7" s="55">
        <f>'4 Sepulveda'!E60</f>
        <v>4263</v>
      </c>
      <c r="F7" s="55">
        <f>'4 Miller Pit'!E60</f>
        <v>4384</v>
      </c>
      <c r="G7" s="55">
        <f>'4 Spadra Basin'!E60</f>
        <v>1668</v>
      </c>
      <c r="H7" s="55">
        <f>'4 Tujunga'!E60</f>
        <v>11559</v>
      </c>
      <c r="I7" s="55">
        <f>'4 United'!E60</f>
        <v>878</v>
      </c>
      <c r="K7" s="54"/>
    </row>
    <row r="8" spans="1:11" x14ac:dyDescent="0.25">
      <c r="D8" s="57"/>
      <c r="E8" s="13"/>
      <c r="F8" s="13"/>
      <c r="G8" s="13"/>
      <c r="H8" s="13"/>
      <c r="I8" s="13"/>
      <c r="K8" s="54"/>
    </row>
    <row r="9" spans="1:11" x14ac:dyDescent="0.25">
      <c r="D9" s="58" t="s">
        <v>71</v>
      </c>
      <c r="E9" s="52">
        <f>'4 Sepulveda'!$E$52</f>
        <v>43822063.021185838</v>
      </c>
      <c r="F9" s="52">
        <f>'4 Miller Pit'!E52</f>
        <v>7503180.2825206239</v>
      </c>
      <c r="G9" s="52">
        <f>'4 Spadra Basin'!E52</f>
        <v>14948742.84822965</v>
      </c>
      <c r="H9" s="52">
        <f>'4 Tujunga'!E52</f>
        <v>211800967.93727869</v>
      </c>
      <c r="I9" s="52">
        <f>'4 United'!E52</f>
        <v>9723318.7073423918</v>
      </c>
      <c r="K9" s="54"/>
    </row>
    <row r="10" spans="1:11" x14ac:dyDescent="0.25">
      <c r="D10" s="57"/>
      <c r="E10" s="13"/>
      <c r="F10" s="13"/>
      <c r="G10" s="13"/>
      <c r="H10" s="13"/>
      <c r="I10" s="13"/>
      <c r="K10" s="54"/>
    </row>
    <row r="11" spans="1:11" x14ac:dyDescent="0.25">
      <c r="D11" s="1" t="s">
        <v>142</v>
      </c>
      <c r="E11" s="52">
        <f>'4 Sepulveda'!E54</f>
        <v>29149219.467401285</v>
      </c>
      <c r="F11" s="52">
        <f>'4 Miller Pit'!E54</f>
        <v>28349219.467401285</v>
      </c>
      <c r="G11" s="52">
        <f>'4 Spadra Basin'!E54</f>
        <v>8899219.4674012866</v>
      </c>
      <c r="H11" s="52">
        <f>'4 Tujunga'!E54</f>
        <v>182849219.46740127</v>
      </c>
      <c r="I11" s="52">
        <f>'4 United'!E54</f>
        <v>44599219.467401288</v>
      </c>
      <c r="K11" s="54"/>
    </row>
    <row r="12" spans="1:11" x14ac:dyDescent="0.25">
      <c r="K12" s="54"/>
    </row>
    <row r="13" spans="1:11" x14ac:dyDescent="0.25">
      <c r="D13" s="58" t="s">
        <v>72</v>
      </c>
      <c r="E13" s="52">
        <f>'4 Sepulveda'!E58</f>
        <v>780307.38997838029</v>
      </c>
      <c r="F13" s="52">
        <f>'4 Miller Pit'!E58</f>
        <v>133603.6375092704</v>
      </c>
      <c r="G13" s="52">
        <f>'4 Spadra Basin'!E58</f>
        <v>266181.31852260773</v>
      </c>
      <c r="H13" s="52">
        <f>'4 Tujunga'!E58</f>
        <v>3771384.7567179259</v>
      </c>
      <c r="I13" s="52">
        <f>'4 United'!E58</f>
        <v>197854.89913439204</v>
      </c>
    </row>
    <row r="14" spans="1:11" x14ac:dyDescent="0.25">
      <c r="D14" s="57"/>
      <c r="E14" s="13"/>
      <c r="F14" s="13"/>
      <c r="G14" s="13"/>
      <c r="H14" s="13"/>
      <c r="I14" s="13"/>
    </row>
    <row r="15" spans="1:11" x14ac:dyDescent="0.25">
      <c r="D15" s="58" t="s">
        <v>76</v>
      </c>
      <c r="E15" s="13">
        <f>'4 Sepulveda'!$W$4</f>
        <v>4.0999999999999996</v>
      </c>
      <c r="F15" s="13">
        <f>'4 Miller Pit'!$W$4</f>
        <v>3.4</v>
      </c>
      <c r="G15" s="13">
        <f>'4 Spadra Basin'!$W$5</f>
        <v>1.2</v>
      </c>
      <c r="H15" s="13">
        <f>'4 Tujunga'!$W$4</f>
        <v>21.9</v>
      </c>
      <c r="I15" s="13">
        <f>'4 United'!$W$4</f>
        <v>5.3</v>
      </c>
    </row>
    <row r="16" spans="1:11" x14ac:dyDescent="0.25">
      <c r="D16" s="57"/>
      <c r="E16" s="13"/>
      <c r="F16" s="13"/>
      <c r="G16" s="13"/>
      <c r="H16" s="13"/>
      <c r="I16" s="13"/>
    </row>
    <row r="17" spans="4:9" x14ac:dyDescent="0.25">
      <c r="D17" s="58" t="s">
        <v>75</v>
      </c>
      <c r="E17" s="55">
        <f>'4 Sepulveda'!$B$25</f>
        <v>7430.6</v>
      </c>
      <c r="F17" s="55">
        <f>'4 Miller Pit'!$B$25</f>
        <v>6128.2</v>
      </c>
      <c r="G17" s="55">
        <f>'4 Spadra Basin'!$B$25</f>
        <v>3673.2</v>
      </c>
      <c r="H17" s="55">
        <f>'4 Tujunga'!$B$25</f>
        <v>11306.7</v>
      </c>
      <c r="I17" s="55">
        <f>'4 United'!$B$25</f>
        <v>7807</v>
      </c>
    </row>
    <row r="18" spans="4:9" x14ac:dyDescent="0.25">
      <c r="D18" s="57"/>
      <c r="E18" s="55"/>
      <c r="F18" s="55"/>
      <c r="G18" s="55"/>
      <c r="H18" s="55"/>
      <c r="I18" s="55"/>
    </row>
    <row r="19" spans="4:9" x14ac:dyDescent="0.25">
      <c r="D19" s="58" t="s">
        <v>74</v>
      </c>
      <c r="E19" s="55">
        <f>'4 Sepulveda'!$N$30</f>
        <v>0</v>
      </c>
      <c r="F19" s="55">
        <f>'4 Miller Pit'!$N$30</f>
        <v>0</v>
      </c>
      <c r="G19" s="55">
        <f>'4 Spadra Basin'!$N$30</f>
        <v>0</v>
      </c>
      <c r="H19" s="55">
        <f>'4 Tujunga'!$N$30</f>
        <v>0</v>
      </c>
      <c r="I19" s="55">
        <f>'4 United'!$N$31</f>
        <v>81642.239999999991</v>
      </c>
    </row>
    <row r="20" spans="4:9" x14ac:dyDescent="0.25">
      <c r="D20" s="57"/>
      <c r="E20" s="13"/>
      <c r="F20" s="13"/>
      <c r="G20" s="13"/>
      <c r="H20" s="13"/>
      <c r="I20" s="13"/>
    </row>
    <row r="21" spans="4:9" x14ac:dyDescent="0.25">
      <c r="D21" s="1" t="s">
        <v>73</v>
      </c>
      <c r="E21" s="52">
        <f>'4 Sepulveda'!E62</f>
        <v>896.44625512134076</v>
      </c>
      <c r="F21" s="52">
        <f>'4 Miller Pit'!E62</f>
        <v>371.31235536601594</v>
      </c>
      <c r="G21" s="52">
        <f>'4 Spadra Basin'!E62</f>
        <v>755.45503963836234</v>
      </c>
      <c r="H21" s="52">
        <f>'4 Tujunga'!E62</f>
        <v>1749.227666090906</v>
      </c>
      <c r="I21" s="52">
        <f>'4 United'!E62</f>
        <v>2803.9514342258612</v>
      </c>
    </row>
    <row r="22" spans="4:9" ht="42.6" customHeight="1" x14ac:dyDescent="0.25">
      <c r="E22" s="67" t="str">
        <f>'4 LA Forbay'!A5</f>
        <v>LA Forbay Spreading Grounds</v>
      </c>
      <c r="F22" s="67" t="str">
        <f>'4 Bull Creek'!A5</f>
        <v>Bull Creek Area Spreading Grounds</v>
      </c>
      <c r="G22" s="67" t="str">
        <f>'4 Browns Creek'!A5</f>
        <v>Browns Creek Area Spreading Grounds</v>
      </c>
      <c r="H22" s="109" t="str">
        <f>'Existing Basin Improvements'!A5</f>
        <v xml:space="preserve">Existing Basin Improvements </v>
      </c>
    </row>
    <row r="23" spans="4:9" x14ac:dyDescent="0.25">
      <c r="H23" s="69"/>
    </row>
    <row r="24" spans="4:9" x14ac:dyDescent="0.25">
      <c r="D24" s="58" t="s">
        <v>70</v>
      </c>
      <c r="E24" s="54">
        <f>'4 LA Forbay'!E60</f>
        <v>4474</v>
      </c>
      <c r="F24" s="54">
        <f>'4 Bull Creek'!E60</f>
        <v>1382</v>
      </c>
      <c r="G24" s="54">
        <f>'4 Browns Creek'!E60</f>
        <v>1322</v>
      </c>
      <c r="H24" s="103">
        <f>'Existing Basin Improvements'!E63</f>
        <v>13381</v>
      </c>
    </row>
    <row r="25" spans="4:9" x14ac:dyDescent="0.25">
      <c r="D25" s="57"/>
      <c r="H25" s="69"/>
    </row>
    <row r="26" spans="4:9" x14ac:dyDescent="0.25">
      <c r="D26" s="58" t="s">
        <v>71</v>
      </c>
      <c r="E26" s="2">
        <f>'4 LA Forbay'!E52</f>
        <v>34157209.83856336</v>
      </c>
      <c r="F26" s="2">
        <f>'4 Bull Creek'!E52</f>
        <v>17999919.740306828</v>
      </c>
      <c r="G26" s="2">
        <f>'4 Browns Creek'!E52</f>
        <v>31265281.144751444</v>
      </c>
      <c r="H26" s="104">
        <f>'Existing Basin Improvements'!E55</f>
        <v>280771920</v>
      </c>
      <c r="I26" s="2"/>
    </row>
    <row r="27" spans="4:9" x14ac:dyDescent="0.25">
      <c r="D27" s="57"/>
      <c r="E27" s="2"/>
      <c r="F27" s="2"/>
      <c r="G27" s="2"/>
      <c r="H27" s="69"/>
    </row>
    <row r="28" spans="4:9" x14ac:dyDescent="0.25">
      <c r="D28" s="1" t="s">
        <v>142</v>
      </c>
      <c r="E28" s="2">
        <f>'4 LA Forbay'!E54</f>
        <v>19987144.168962352</v>
      </c>
      <c r="F28" s="2">
        <f>'4 Bull Creek'!E54</f>
        <v>9076446.2809917349</v>
      </c>
      <c r="G28" s="2">
        <f>'4 Browns Creek'!E54</f>
        <v>18063223.140495867</v>
      </c>
      <c r="H28" s="87">
        <f>'Existing Basin Improvements'!E57</f>
        <v>0</v>
      </c>
      <c r="I28" s="2"/>
    </row>
    <row r="29" spans="4:9" x14ac:dyDescent="0.25">
      <c r="H29" s="69"/>
    </row>
    <row r="30" spans="4:9" x14ac:dyDescent="0.25">
      <c r="D30" s="58" t="s">
        <v>72</v>
      </c>
      <c r="E30" s="2">
        <f>'4 LA Forbay'!E58</f>
        <v>716213.02469293226</v>
      </c>
      <c r="F30" s="2">
        <f>'4 Browns Creek'!E58</f>
        <v>572146.62607206905</v>
      </c>
      <c r="G30" s="2">
        <f>'4 Browns Creek'!E58</f>
        <v>572146.62607206905</v>
      </c>
      <c r="H30" s="104">
        <f>'Existing Basin Improvements'!E61</f>
        <v>6324871.0800000001</v>
      </c>
    </row>
    <row r="31" spans="4:9" x14ac:dyDescent="0.25">
      <c r="D31" s="57"/>
      <c r="H31" s="69"/>
    </row>
    <row r="32" spans="4:9" x14ac:dyDescent="0.25">
      <c r="D32" s="58" t="s">
        <v>76</v>
      </c>
      <c r="E32">
        <f>'4 LA Forbay'!W4</f>
        <v>2.7</v>
      </c>
      <c r="F32">
        <f>'4 Bull Creek'!W4</f>
        <v>1.1599999999999999</v>
      </c>
      <c r="G32">
        <f>'4 Browns Creek'!W4</f>
        <v>2.5</v>
      </c>
      <c r="H32" s="69">
        <v>0</v>
      </c>
    </row>
    <row r="33" spans="4:8" x14ac:dyDescent="0.25">
      <c r="D33" s="57"/>
      <c r="H33" s="69"/>
    </row>
    <row r="34" spans="4:8" x14ac:dyDescent="0.25">
      <c r="D34" s="58" t="s">
        <v>75</v>
      </c>
      <c r="E34" s="108">
        <f>'4 LA Forbay'!B25</f>
        <v>7666</v>
      </c>
      <c r="F34" s="108">
        <f>'4 Bull Creek'!B25</f>
        <v>5454</v>
      </c>
      <c r="G34" s="108">
        <f>'4 Browns Creek'!B25</f>
        <v>13993</v>
      </c>
      <c r="H34" s="105">
        <f>'Existing Basin Improvements'!B28</f>
        <v>0</v>
      </c>
    </row>
    <row r="35" spans="4:8" x14ac:dyDescent="0.25">
      <c r="D35" s="57"/>
      <c r="H35" s="69"/>
    </row>
    <row r="36" spans="4:8" x14ac:dyDescent="0.25">
      <c r="D36" s="58" t="s">
        <v>74</v>
      </c>
      <c r="E36" s="108">
        <f>'4 LA Forbay'!N31</f>
        <v>571495.67999999993</v>
      </c>
      <c r="F36" s="108">
        <f>'4 Bull Creek'!N31</f>
        <v>244926.72000000003</v>
      </c>
      <c r="G36" s="108">
        <f>'4 Browns Creek'!N31</f>
        <v>81642.239999999991</v>
      </c>
      <c r="H36" s="105">
        <f>'Existing Basin Improvements'!N17</f>
        <v>0</v>
      </c>
    </row>
    <row r="37" spans="4:8" x14ac:dyDescent="0.25">
      <c r="D37" s="57"/>
      <c r="H37" s="69"/>
    </row>
    <row r="38" spans="4:8" x14ac:dyDescent="0.25">
      <c r="D38" s="1" t="s">
        <v>149</v>
      </c>
      <c r="E38" s="2">
        <f>'4 LA Forbay'!E62</f>
        <v>664.46161314931135</v>
      </c>
      <c r="F38" s="2">
        <f>'4 Bull Creek'!E62</f>
        <v>1081.9580791122532</v>
      </c>
      <c r="G38" s="2">
        <f>'4 Browns Creek'!E62</f>
        <v>1987.9148603237848</v>
      </c>
      <c r="H38" s="87">
        <f>'Existing Basin Improvements'!E65</f>
        <v>1347.1844361081862</v>
      </c>
    </row>
    <row r="39" spans="4:8" x14ac:dyDescent="0.25">
      <c r="E39" s="51"/>
      <c r="F39" s="51"/>
      <c r="G39" s="51"/>
      <c r="H39" s="51"/>
    </row>
    <row r="40" spans="4:8" x14ac:dyDescent="0.25">
      <c r="E40" s="52"/>
      <c r="F40" s="52"/>
      <c r="G40" s="52"/>
      <c r="H40" s="52"/>
    </row>
  </sheetData>
  <customSheetViews>
    <customSheetView guid="{0938481C-6147-45AE-A91B-B3C254F54487}" scale="70" showPageBreaks="1" fitToPage="1" printArea="1" view="pageLayout" topLeftCell="A7">
      <selection activeCell="I22" sqref="I22"/>
      <pageMargins left="0.7" right="0.7" top="0.75" bottom="0.75" header="0.3" footer="0.3"/>
      <pageSetup scale="69" orientation="landscape" r:id="rId1"/>
      <headerFooter>
        <oddFooter>&amp;LLA Basin Stormwater Conservation Study_Project Costs&amp;R&amp;D</oddFooter>
      </headerFooter>
    </customSheetView>
    <customSheetView guid="{DE980C82-6B2E-45C1-AD5F-2B41EFFE9ED0}" fitToPage="1" topLeftCell="E1">
      <selection activeCell="H6" sqref="H6"/>
      <pageMargins left="0.7" right="0.7" top="0.75" bottom="0.75" header="0.3" footer="0.3"/>
      <pageSetup scale="72" orientation="landscape" r:id="rId2"/>
    </customSheetView>
  </customSheetViews>
  <pageMargins left="0.7" right="0.7" top="0.75" bottom="0.75" header="0.3" footer="0.3"/>
  <pageSetup scale="64" orientation="landscape"/>
  <headerFooter>
    <oddFooter>&amp;LLA Basin Stormwater Conservation Study_Project Costs&amp;R&amp;D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64"/>
  <sheetViews>
    <sheetView zoomScaleNormal="100" zoomScalePageLayoutView="20" workbookViewId="0">
      <selection activeCell="A3" sqref="A3"/>
    </sheetView>
  </sheetViews>
  <sheetFormatPr defaultRowHeight="13.2" x14ac:dyDescent="0.25"/>
  <cols>
    <col min="1" max="1" width="54.6640625" customWidth="1"/>
    <col min="4" max="4" width="15.6640625" bestFit="1" customWidth="1"/>
    <col min="5" max="5" width="15.44140625" customWidth="1"/>
    <col min="10" max="11" width="8.88671875" hidden="1" customWidth="1"/>
    <col min="12" max="12" width="6.33203125" customWidth="1"/>
    <col min="13" max="13" width="17" customWidth="1"/>
    <col min="14" max="14" width="14" customWidth="1"/>
    <col min="15" max="15" width="11.88671875" customWidth="1"/>
    <col min="16" max="16" width="11.5546875" customWidth="1"/>
    <col min="17" max="17" width="13.33203125" customWidth="1"/>
    <col min="18" max="18" width="10.33203125" customWidth="1"/>
    <col min="19" max="19" width="15" customWidth="1"/>
    <col min="20" max="20" width="26.33203125" customWidth="1"/>
    <col min="21" max="21" width="16.33203125" customWidth="1"/>
    <col min="22" max="22" width="28.6640625" customWidth="1"/>
  </cols>
  <sheetData>
    <row r="1" spans="1:26" ht="13.8" thickBot="1" x14ac:dyDescent="0.3">
      <c r="A1" s="1" t="s">
        <v>10</v>
      </c>
    </row>
    <row r="2" spans="1:26" x14ac:dyDescent="0.25">
      <c r="A2" s="1" t="s">
        <v>114</v>
      </c>
      <c r="L2" s="61"/>
      <c r="S2" s="38" t="s">
        <v>31</v>
      </c>
      <c r="T2" s="38" t="s">
        <v>32</v>
      </c>
      <c r="U2" s="38" t="s">
        <v>33</v>
      </c>
      <c r="V2" s="38" t="s">
        <v>34</v>
      </c>
      <c r="W2" s="38" t="s">
        <v>35</v>
      </c>
      <c r="X2" s="38" t="s">
        <v>36</v>
      </c>
      <c r="Y2" s="38" t="s">
        <v>77</v>
      </c>
      <c r="Z2" s="38" t="s">
        <v>37</v>
      </c>
    </row>
    <row r="3" spans="1:26" ht="13.8" thickBot="1" x14ac:dyDescent="0.3">
      <c r="A3" s="16">
        <v>42275</v>
      </c>
      <c r="L3" s="61"/>
      <c r="S3" s="41"/>
      <c r="T3" s="41"/>
      <c r="U3" s="41"/>
      <c r="V3" s="41"/>
      <c r="W3" s="41"/>
      <c r="X3" s="41"/>
      <c r="Y3" s="60"/>
      <c r="Z3" s="41"/>
    </row>
    <row r="4" spans="1:26" x14ac:dyDescent="0.25">
      <c r="L4" s="61"/>
      <c r="S4" s="39" t="s">
        <v>38</v>
      </c>
      <c r="T4" s="40">
        <v>58</v>
      </c>
      <c r="U4" s="40">
        <v>7430.6</v>
      </c>
      <c r="V4" s="61">
        <v>40.6</v>
      </c>
      <c r="W4" s="61">
        <v>4.0999999999999996</v>
      </c>
      <c r="X4" s="61">
        <v>10</v>
      </c>
      <c r="Y4" s="40">
        <v>4263</v>
      </c>
      <c r="Z4" s="40">
        <v>200</v>
      </c>
    </row>
    <row r="5" spans="1:26" ht="13.8" thickBot="1" x14ac:dyDescent="0.3">
      <c r="A5" s="19" t="s">
        <v>38</v>
      </c>
      <c r="B5" s="20"/>
      <c r="C5" s="20"/>
      <c r="D5" s="20"/>
      <c r="E5" s="20"/>
      <c r="L5" s="61"/>
      <c r="M5" s="61"/>
      <c r="N5" s="61"/>
      <c r="O5" s="61"/>
      <c r="P5" s="61"/>
      <c r="Q5" s="61"/>
      <c r="R5" s="61"/>
      <c r="S5" s="61"/>
      <c r="T5" s="61"/>
      <c r="U5" s="61"/>
      <c r="V5" s="61"/>
      <c r="W5" s="61"/>
    </row>
    <row r="6" spans="1:26" x14ac:dyDescent="0.25"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</row>
    <row r="7" spans="1:26" x14ac:dyDescent="0.25">
      <c r="A7" s="1" t="s">
        <v>0</v>
      </c>
      <c r="B7" s="3" t="s">
        <v>1</v>
      </c>
      <c r="C7" s="3" t="s">
        <v>2</v>
      </c>
      <c r="D7" s="4" t="s">
        <v>3</v>
      </c>
      <c r="E7" s="4" t="s">
        <v>4</v>
      </c>
      <c r="L7" s="61"/>
      <c r="M7" s="61"/>
      <c r="N7" s="61"/>
      <c r="O7" s="61"/>
      <c r="P7" s="61"/>
      <c r="Q7" s="61"/>
      <c r="R7" s="61"/>
      <c r="S7" s="61"/>
      <c r="T7" s="61"/>
      <c r="U7" s="61"/>
      <c r="V7" s="61"/>
      <c r="W7" s="61"/>
    </row>
    <row r="8" spans="1:26" x14ac:dyDescent="0.25">
      <c r="A8" s="1"/>
      <c r="B8" s="1"/>
      <c r="C8" s="110"/>
      <c r="D8" s="111"/>
      <c r="E8" s="111"/>
      <c r="F8" s="69"/>
      <c r="G8" s="69"/>
      <c r="L8" s="61"/>
      <c r="M8" s="61"/>
      <c r="N8" s="61"/>
      <c r="O8" s="61"/>
      <c r="P8" s="61"/>
      <c r="Q8" s="61"/>
      <c r="R8" s="61"/>
      <c r="S8" s="61"/>
      <c r="T8" s="61"/>
      <c r="U8" s="61"/>
      <c r="V8" s="61"/>
      <c r="W8" s="61"/>
    </row>
    <row r="9" spans="1:26" x14ac:dyDescent="0.25">
      <c r="A9" s="17" t="s">
        <v>11</v>
      </c>
      <c r="B9" s="7"/>
      <c r="C9" s="83"/>
      <c r="D9" s="84"/>
      <c r="E9" s="84"/>
      <c r="F9" s="69"/>
      <c r="G9" s="69"/>
    </row>
    <row r="10" spans="1:26" ht="12.75" customHeight="1" x14ac:dyDescent="0.25">
      <c r="A10" s="9" t="s">
        <v>13</v>
      </c>
      <c r="B10" s="10">
        <v>1</v>
      </c>
      <c r="C10" s="73" t="s">
        <v>5</v>
      </c>
      <c r="D10" s="86">
        <v>150000</v>
      </c>
      <c r="E10" s="87">
        <f>+B10*D10</f>
        <v>150000</v>
      </c>
      <c r="F10" s="69"/>
      <c r="G10" s="69"/>
    </row>
    <row r="11" spans="1:26" x14ac:dyDescent="0.25">
      <c r="A11" s="9" t="s">
        <v>14</v>
      </c>
      <c r="B11" s="10">
        <v>200</v>
      </c>
      <c r="C11" s="73" t="s">
        <v>6</v>
      </c>
      <c r="D11" s="86">
        <f>25*(3*N16^2+M16*N16)/27</f>
        <v>324.07407407407408</v>
      </c>
      <c r="E11" s="87">
        <f>+B11*D11</f>
        <v>64814.814814814818</v>
      </c>
      <c r="F11" s="77" t="s">
        <v>130</v>
      </c>
      <c r="G11" s="69"/>
      <c r="M11" s="46" t="s">
        <v>54</v>
      </c>
      <c r="S11" s="30"/>
      <c r="T11" s="42"/>
    </row>
    <row r="12" spans="1:26" x14ac:dyDescent="0.25">
      <c r="A12" s="98" t="s">
        <v>7</v>
      </c>
      <c r="B12" s="99"/>
      <c r="C12" s="101"/>
      <c r="D12" s="102"/>
      <c r="E12" s="102">
        <f>SUM(E10:E11)</f>
        <v>214814.81481481483</v>
      </c>
      <c r="F12" s="69"/>
      <c r="G12" s="69"/>
    </row>
    <row r="13" spans="1:26" x14ac:dyDescent="0.25">
      <c r="B13" s="13"/>
      <c r="C13" s="89"/>
      <c r="D13" s="87"/>
      <c r="E13" s="87"/>
      <c r="F13" s="69"/>
      <c r="G13" s="69"/>
      <c r="M13" s="43" t="s">
        <v>44</v>
      </c>
      <c r="N13" s="43" t="s">
        <v>45</v>
      </c>
      <c r="O13" s="43" t="s">
        <v>43</v>
      </c>
      <c r="P13" s="43" t="s">
        <v>48</v>
      </c>
      <c r="Q13" s="43"/>
      <c r="S13" s="13"/>
      <c r="T13" s="52"/>
    </row>
    <row r="14" spans="1:26" x14ac:dyDescent="0.25">
      <c r="A14" s="17" t="s">
        <v>12</v>
      </c>
      <c r="B14" s="7"/>
      <c r="C14" s="83"/>
      <c r="D14" s="84"/>
      <c r="E14" s="84"/>
      <c r="F14" s="69"/>
      <c r="G14" s="69"/>
      <c r="M14" s="43" t="s">
        <v>46</v>
      </c>
      <c r="N14" s="43" t="s">
        <v>46</v>
      </c>
      <c r="O14" s="43" t="s">
        <v>47</v>
      </c>
      <c r="P14" s="43" t="s">
        <v>46</v>
      </c>
      <c r="Q14" s="43"/>
      <c r="S14" s="13"/>
      <c r="T14" s="52"/>
    </row>
    <row r="15" spans="1:26" x14ac:dyDescent="0.25">
      <c r="A15" s="9" t="s">
        <v>15</v>
      </c>
      <c r="B15" s="24">
        <f>+O23</f>
        <v>456989.5197898075</v>
      </c>
      <c r="C15" s="74" t="s">
        <v>29</v>
      </c>
      <c r="D15" s="86">
        <v>25</v>
      </c>
      <c r="E15" s="87">
        <f>+B15*D15</f>
        <v>11424737.994745187</v>
      </c>
      <c r="F15" s="69"/>
      <c r="G15" s="69"/>
      <c r="M15" s="13"/>
      <c r="N15" s="13"/>
      <c r="O15" s="13"/>
      <c r="S15" s="13"/>
      <c r="T15" s="52"/>
    </row>
    <row r="16" spans="1:26" x14ac:dyDescent="0.25">
      <c r="A16" s="12" t="s">
        <v>16</v>
      </c>
      <c r="B16" s="24">
        <f>+U4</f>
        <v>7430.6</v>
      </c>
      <c r="C16" s="74" t="s">
        <v>6</v>
      </c>
      <c r="D16" s="86">
        <v>100</v>
      </c>
      <c r="E16" s="87">
        <f>+B16*D16</f>
        <v>743060</v>
      </c>
      <c r="F16" s="77"/>
      <c r="G16" s="69"/>
      <c r="M16" s="13">
        <v>5</v>
      </c>
      <c r="N16" s="13">
        <v>10</v>
      </c>
      <c r="O16" s="44">
        <f>+Z4/3</f>
        <v>66.666666666666671</v>
      </c>
      <c r="P16" s="45">
        <f>(-M16+SQRT(M16^2+4*3*O16))/2/3</f>
        <v>3.953802205448357</v>
      </c>
      <c r="S16" s="13"/>
      <c r="T16" s="52"/>
    </row>
    <row r="17" spans="1:20" x14ac:dyDescent="0.25">
      <c r="A17" s="12" t="s">
        <v>28</v>
      </c>
      <c r="B17" s="24">
        <f>+U4</f>
        <v>7430.6</v>
      </c>
      <c r="C17" s="74" t="s">
        <v>6</v>
      </c>
      <c r="D17" s="86">
        <v>25</v>
      </c>
      <c r="E17" s="87">
        <f>+B17*D17</f>
        <v>185765</v>
      </c>
      <c r="F17" s="77" t="s">
        <v>30</v>
      </c>
      <c r="G17" s="69"/>
      <c r="S17" s="13"/>
      <c r="T17" s="52"/>
    </row>
    <row r="18" spans="1:20" x14ac:dyDescent="0.25">
      <c r="A18" s="98" t="s">
        <v>7</v>
      </c>
      <c r="B18" s="99"/>
      <c r="C18" s="99"/>
      <c r="D18" s="37"/>
      <c r="E18" s="37">
        <f>SUM(E15:E17)</f>
        <v>12353562.994745187</v>
      </c>
      <c r="M18" s="46" t="s">
        <v>51</v>
      </c>
      <c r="S18" s="13"/>
      <c r="T18" s="52"/>
    </row>
    <row r="19" spans="1:20" x14ac:dyDescent="0.25">
      <c r="B19" s="13"/>
      <c r="C19" s="13"/>
      <c r="D19" s="2"/>
      <c r="E19" s="2"/>
      <c r="F19" s="30"/>
      <c r="S19" s="13"/>
      <c r="T19" s="52"/>
    </row>
    <row r="20" spans="1:20" x14ac:dyDescent="0.25">
      <c r="A20" s="17" t="s">
        <v>19</v>
      </c>
      <c r="B20" s="14"/>
      <c r="C20" s="14"/>
      <c r="D20" s="8"/>
      <c r="E20" s="8"/>
      <c r="M20" s="43" t="s">
        <v>49</v>
      </c>
      <c r="N20" s="43" t="s">
        <v>50</v>
      </c>
      <c r="O20" s="43" t="s">
        <v>52</v>
      </c>
      <c r="P20" s="13"/>
      <c r="S20" s="13"/>
      <c r="T20" s="52"/>
    </row>
    <row r="21" spans="1:20" x14ac:dyDescent="0.25">
      <c r="A21" s="9" t="s">
        <v>17</v>
      </c>
      <c r="B21" s="13">
        <f>+W4</f>
        <v>4.0999999999999996</v>
      </c>
      <c r="C21" s="25" t="s">
        <v>18</v>
      </c>
      <c r="D21" s="11">
        <v>35000</v>
      </c>
      <c r="E21" s="11">
        <f t="shared" ref="E21" si="0">+B21*D21</f>
        <v>143500</v>
      </c>
      <c r="M21" s="43" t="s">
        <v>47</v>
      </c>
      <c r="N21" s="43" t="s">
        <v>46</v>
      </c>
      <c r="O21" s="43" t="s">
        <v>53</v>
      </c>
      <c r="P21" s="13"/>
      <c r="S21" s="13"/>
      <c r="T21" s="52"/>
    </row>
    <row r="22" spans="1:20" x14ac:dyDescent="0.25">
      <c r="A22" s="98" t="s">
        <v>7</v>
      </c>
      <c r="B22" s="99"/>
      <c r="C22" s="99"/>
      <c r="D22" s="37"/>
      <c r="E22" s="37">
        <f>SUM(E21:E21)</f>
        <v>143500</v>
      </c>
      <c r="M22" s="13"/>
      <c r="N22" s="13"/>
      <c r="O22" s="13"/>
      <c r="P22" s="13"/>
      <c r="S22" s="13"/>
      <c r="T22" s="52"/>
    </row>
    <row r="23" spans="1:20" x14ac:dyDescent="0.25">
      <c r="A23" s="12"/>
      <c r="B23" s="10"/>
      <c r="C23" s="10"/>
      <c r="D23" s="11"/>
      <c r="E23" s="2"/>
      <c r="M23" s="13">
        <f>+V4*66*660</f>
        <v>1768536</v>
      </c>
      <c r="N23" s="44">
        <f>+SQRT(M23)</f>
        <v>1329.8631508542524</v>
      </c>
      <c r="O23" s="24">
        <f>10/3*(N23^2+(N23+60)^2+SQRT(N23*(N23+60)))/27</f>
        <v>456989.5197898075</v>
      </c>
      <c r="P23" s="13"/>
      <c r="S23" s="13"/>
      <c r="T23" s="52"/>
    </row>
    <row r="24" spans="1:20" x14ac:dyDescent="0.25">
      <c r="A24" s="29" t="s">
        <v>20</v>
      </c>
      <c r="B24" s="14"/>
      <c r="C24" s="14"/>
      <c r="D24" s="8"/>
      <c r="E24" s="8"/>
      <c r="M24" s="13"/>
      <c r="N24" s="13"/>
      <c r="O24" s="13"/>
      <c r="P24" s="13"/>
      <c r="S24" s="13"/>
      <c r="T24" s="52"/>
    </row>
    <row r="25" spans="1:20" x14ac:dyDescent="0.25">
      <c r="A25" s="31" t="s">
        <v>21</v>
      </c>
      <c r="B25" s="47">
        <f>+U4</f>
        <v>7430.6</v>
      </c>
      <c r="C25" s="27" t="s">
        <v>6</v>
      </c>
      <c r="D25" s="28">
        <v>25</v>
      </c>
      <c r="E25" s="8">
        <f>+B25*D25</f>
        <v>185765</v>
      </c>
      <c r="M25" s="48" t="s">
        <v>78</v>
      </c>
      <c r="N25" s="13"/>
      <c r="O25" s="13"/>
      <c r="P25" s="13"/>
      <c r="S25" s="13"/>
      <c r="T25" s="52"/>
    </row>
    <row r="26" spans="1:20" x14ac:dyDescent="0.25">
      <c r="A26" t="s">
        <v>7</v>
      </c>
      <c r="B26" s="13"/>
      <c r="C26" s="13"/>
      <c r="D26" s="2"/>
      <c r="E26" s="2">
        <f>SUM(E25)</f>
        <v>185765</v>
      </c>
      <c r="M26" s="13"/>
      <c r="N26" s="13"/>
      <c r="O26" s="13"/>
      <c r="P26" s="13"/>
      <c r="S26" s="13"/>
      <c r="T26" s="52"/>
    </row>
    <row r="27" spans="1:20" x14ac:dyDescent="0.25">
      <c r="B27" s="13"/>
      <c r="C27" s="13"/>
      <c r="D27" s="2"/>
      <c r="E27" s="2"/>
      <c r="M27" s="49" t="s">
        <v>58</v>
      </c>
      <c r="N27" s="50"/>
      <c r="O27" s="43" t="s">
        <v>61</v>
      </c>
      <c r="P27" s="43" t="s">
        <v>63</v>
      </c>
      <c r="S27" s="13"/>
      <c r="T27" s="52"/>
    </row>
    <row r="28" spans="1:20" x14ac:dyDescent="0.25">
      <c r="A28" s="6" t="s">
        <v>79</v>
      </c>
      <c r="B28" s="14">
        <v>10</v>
      </c>
      <c r="C28" s="14" t="s">
        <v>8</v>
      </c>
      <c r="D28" s="34">
        <f>SUM(E10:E26)/2</f>
        <v>12897642.809560003</v>
      </c>
      <c r="E28" s="8">
        <f>D28*B28/100</f>
        <v>1289764.2809560003</v>
      </c>
      <c r="M28" s="43" t="s">
        <v>59</v>
      </c>
      <c r="N28" s="43" t="s">
        <v>60</v>
      </c>
      <c r="O28" s="43" t="s">
        <v>62</v>
      </c>
      <c r="P28" s="43" t="s">
        <v>66</v>
      </c>
      <c r="S28" s="13"/>
      <c r="T28" s="52"/>
    </row>
    <row r="29" spans="1:20" x14ac:dyDescent="0.25">
      <c r="A29" s="30" t="s">
        <v>79</v>
      </c>
      <c r="B29" s="13"/>
      <c r="C29" s="13"/>
      <c r="D29" s="2"/>
      <c r="E29" s="2">
        <f>SUM(E28)</f>
        <v>1289764.2809560003</v>
      </c>
      <c r="F29" s="30"/>
      <c r="M29" s="13"/>
      <c r="N29" s="13"/>
      <c r="O29" s="13"/>
      <c r="P29" s="13"/>
      <c r="S29" s="13"/>
      <c r="T29" s="52"/>
    </row>
    <row r="30" spans="1:20" x14ac:dyDescent="0.25">
      <c r="B30" s="13"/>
      <c r="C30" s="13"/>
      <c r="D30" s="2"/>
      <c r="E30" s="2"/>
      <c r="M30" s="13">
        <v>0</v>
      </c>
      <c r="N30" s="44">
        <f>0.746*M30*3*30.4*24</f>
        <v>0</v>
      </c>
      <c r="O30" s="51">
        <v>0.15</v>
      </c>
      <c r="P30" s="52">
        <f>+N30*O30</f>
        <v>0</v>
      </c>
      <c r="S30" s="13"/>
      <c r="T30" s="52"/>
    </row>
    <row r="31" spans="1:20" x14ac:dyDescent="0.25">
      <c r="A31" s="6" t="s">
        <v>9</v>
      </c>
      <c r="B31" s="14">
        <v>10</v>
      </c>
      <c r="C31" s="14" t="s">
        <v>8</v>
      </c>
      <c r="D31" s="34">
        <f>SUM(E10:E29)/2</f>
        <v>14187407.090516003</v>
      </c>
      <c r="E31" s="8">
        <f>D31*B31/100</f>
        <v>1418740.7090516004</v>
      </c>
      <c r="M31" s="13"/>
      <c r="N31" s="13"/>
      <c r="O31" s="13"/>
      <c r="P31" s="13"/>
      <c r="S31" s="13"/>
      <c r="T31" s="52"/>
    </row>
    <row r="32" spans="1:20" x14ac:dyDescent="0.25">
      <c r="A32" s="69" t="s">
        <v>7</v>
      </c>
      <c r="B32" s="89"/>
      <c r="C32" s="89"/>
      <c r="D32" s="87"/>
      <c r="E32" s="87">
        <f>SUM(E31)</f>
        <v>1418740.7090516004</v>
      </c>
      <c r="F32" s="69"/>
      <c r="G32" s="69"/>
      <c r="M32" s="43" t="s">
        <v>64</v>
      </c>
      <c r="N32" s="43" t="s">
        <v>63</v>
      </c>
      <c r="O32" s="43" t="s">
        <v>68</v>
      </c>
      <c r="Q32" s="43"/>
      <c r="S32" s="13"/>
      <c r="T32" s="52"/>
    </row>
    <row r="33" spans="1:20" x14ac:dyDescent="0.25">
      <c r="A33" s="69"/>
      <c r="B33" s="89"/>
      <c r="C33" s="89"/>
      <c r="D33" s="87"/>
      <c r="E33" s="87"/>
      <c r="F33" s="69"/>
      <c r="G33" s="69"/>
      <c r="M33" s="43" t="s">
        <v>65</v>
      </c>
      <c r="N33" s="43" t="s">
        <v>66</v>
      </c>
      <c r="O33" s="43" t="s">
        <v>69</v>
      </c>
      <c r="Q33" s="43"/>
      <c r="S33" s="13"/>
      <c r="T33" s="52"/>
    </row>
    <row r="34" spans="1:20" x14ac:dyDescent="0.25">
      <c r="A34" s="29" t="s">
        <v>23</v>
      </c>
      <c r="B34" s="88"/>
      <c r="C34" s="88"/>
      <c r="D34" s="86"/>
      <c r="E34" s="86"/>
      <c r="F34" s="69"/>
      <c r="G34" s="69"/>
      <c r="M34" s="13"/>
      <c r="N34" s="13"/>
      <c r="O34" s="13"/>
      <c r="S34" s="13"/>
      <c r="T34" s="52"/>
    </row>
    <row r="35" spans="1:20" x14ac:dyDescent="0.25">
      <c r="A35" s="71" t="s">
        <v>116</v>
      </c>
      <c r="B35" s="72">
        <v>10</v>
      </c>
      <c r="C35" s="72" t="s">
        <v>8</v>
      </c>
      <c r="D35" s="92">
        <f>SUM(E10:E32)/2</f>
        <v>15606147.799567604</v>
      </c>
      <c r="E35" s="102">
        <f>D35*B35/100</f>
        <v>1560614.7799567604</v>
      </c>
      <c r="F35" s="69"/>
      <c r="G35" s="69"/>
      <c r="M35" s="53">
        <v>0.05</v>
      </c>
      <c r="N35" s="52">
        <f>+M35*SUM(E10:E32)/2</f>
        <v>780307.38997838029</v>
      </c>
      <c r="O35" s="13">
        <v>50</v>
      </c>
      <c r="Q35" s="2"/>
      <c r="S35" s="13"/>
      <c r="T35" s="52"/>
    </row>
    <row r="36" spans="1:20" x14ac:dyDescent="0.25">
      <c r="A36" s="12" t="s">
        <v>120</v>
      </c>
      <c r="B36" s="73">
        <v>15</v>
      </c>
      <c r="C36" s="74" t="s">
        <v>8</v>
      </c>
      <c r="D36" s="94">
        <f>SUM(E10:E32)/2</f>
        <v>15606147.799567604</v>
      </c>
      <c r="E36" s="86">
        <f>D36*B36/100</f>
        <v>2340922.1699351408</v>
      </c>
      <c r="F36" s="69"/>
      <c r="G36" s="69"/>
      <c r="S36" s="13"/>
      <c r="T36" s="52"/>
    </row>
    <row r="37" spans="1:20" x14ac:dyDescent="0.25">
      <c r="A37" s="12" t="s">
        <v>57</v>
      </c>
      <c r="B37" s="73">
        <v>11</v>
      </c>
      <c r="C37" s="74" t="s">
        <v>8</v>
      </c>
      <c r="D37" s="86">
        <f>SUM(E10:E32)/2 + SUM(D35:D36) + SUM(D38:D40)</f>
        <v>93636886.79740563</v>
      </c>
      <c r="E37" s="86">
        <f t="shared" ref="E37:E40" si="1">D37*B37/100</f>
        <v>10300057.547714619</v>
      </c>
      <c r="F37" s="69"/>
      <c r="G37" s="69"/>
      <c r="M37" s="65"/>
      <c r="N37" s="1"/>
      <c r="O37" s="1"/>
      <c r="P37" s="1"/>
      <c r="Q37" s="5"/>
      <c r="R37" s="5"/>
      <c r="S37" s="13"/>
      <c r="T37" s="52"/>
    </row>
    <row r="38" spans="1:20" x14ac:dyDescent="0.25">
      <c r="A38" s="12" t="s">
        <v>24</v>
      </c>
      <c r="B38" s="73">
        <v>5</v>
      </c>
      <c r="C38" s="74" t="s">
        <v>8</v>
      </c>
      <c r="D38" s="94">
        <f>SUM(E10:E32)/2</f>
        <v>15606147.799567604</v>
      </c>
      <c r="E38" s="86">
        <f t="shared" si="1"/>
        <v>780307.38997838018</v>
      </c>
      <c r="F38" s="69"/>
      <c r="G38" s="69"/>
      <c r="M38" s="64"/>
      <c r="N38" s="64"/>
      <c r="O38" s="64"/>
      <c r="P38" s="64"/>
      <c r="Q38" s="64"/>
      <c r="R38" s="64"/>
      <c r="S38" s="13"/>
      <c r="T38" s="52"/>
    </row>
    <row r="39" spans="1:20" x14ac:dyDescent="0.25">
      <c r="A39" s="12" t="s">
        <v>25</v>
      </c>
      <c r="B39" s="73">
        <v>10</v>
      </c>
      <c r="C39" s="74" t="s">
        <v>8</v>
      </c>
      <c r="D39" s="94">
        <f>SUM(E10:E32)/2</f>
        <v>15606147.799567604</v>
      </c>
      <c r="E39" s="86">
        <f t="shared" si="1"/>
        <v>1560614.7799567604</v>
      </c>
      <c r="F39" s="69"/>
      <c r="G39" s="69"/>
      <c r="M39" s="64"/>
      <c r="N39" s="64"/>
      <c r="O39" s="64"/>
      <c r="P39" s="64"/>
      <c r="Q39" s="64"/>
      <c r="R39" s="64"/>
      <c r="S39" s="13"/>
      <c r="T39" s="52"/>
    </row>
    <row r="40" spans="1:20" x14ac:dyDescent="0.25">
      <c r="A40" s="18" t="s">
        <v>26</v>
      </c>
      <c r="B40" s="88">
        <v>10</v>
      </c>
      <c r="C40" s="112" t="s">
        <v>8</v>
      </c>
      <c r="D40" s="113">
        <f>SUM(E10:E32)/2</f>
        <v>15606147.799567604</v>
      </c>
      <c r="E40" s="84">
        <f t="shared" si="1"/>
        <v>1560614.7799567604</v>
      </c>
      <c r="F40" s="69"/>
      <c r="G40" s="69"/>
      <c r="M40" s="64"/>
      <c r="N40" s="64"/>
      <c r="O40" s="64"/>
      <c r="P40" s="64"/>
      <c r="Q40" s="64"/>
      <c r="R40" s="64"/>
      <c r="S40" s="13"/>
      <c r="T40" s="52"/>
    </row>
    <row r="41" spans="1:20" x14ac:dyDescent="0.25">
      <c r="A41" s="69" t="s">
        <v>7</v>
      </c>
      <c r="B41" s="89"/>
      <c r="C41" s="89"/>
      <c r="D41" s="87"/>
      <c r="E41" s="87">
        <f>SUM(E35:E40)</f>
        <v>18103131.447498422</v>
      </c>
      <c r="F41" s="69"/>
      <c r="G41" s="69"/>
      <c r="M41" s="64"/>
      <c r="N41" s="64"/>
      <c r="O41" s="64"/>
      <c r="P41" s="64"/>
      <c r="Q41" s="64"/>
      <c r="R41" s="64"/>
      <c r="S41" s="13"/>
      <c r="T41" s="52"/>
    </row>
    <row r="42" spans="1:20" x14ac:dyDescent="0.25">
      <c r="A42" s="114"/>
      <c r="B42" s="73"/>
      <c r="C42" s="73"/>
      <c r="D42" s="86"/>
      <c r="E42" s="115"/>
      <c r="F42" s="69"/>
      <c r="G42" s="69"/>
      <c r="M42" s="64"/>
      <c r="N42" s="64"/>
      <c r="O42" s="64"/>
      <c r="P42" s="64"/>
      <c r="Q42" s="64"/>
      <c r="R42" s="64"/>
      <c r="S42" s="13"/>
      <c r="T42" s="52"/>
    </row>
    <row r="43" spans="1:20" x14ac:dyDescent="0.25">
      <c r="A43" s="29" t="s">
        <v>27</v>
      </c>
      <c r="B43" s="96"/>
      <c r="C43" s="96"/>
      <c r="D43" s="116"/>
      <c r="E43" s="116"/>
      <c r="F43" s="69"/>
      <c r="G43" s="69"/>
      <c r="M43" s="64"/>
      <c r="N43" s="64"/>
      <c r="O43" s="64"/>
      <c r="P43" s="64"/>
      <c r="Q43" s="64"/>
      <c r="R43" s="64"/>
      <c r="S43" s="13"/>
      <c r="T43" s="52"/>
    </row>
    <row r="44" spans="1:20" x14ac:dyDescent="0.25">
      <c r="A44" s="31" t="s">
        <v>27</v>
      </c>
      <c r="B44" s="97">
        <v>30</v>
      </c>
      <c r="C44" s="117" t="s">
        <v>8</v>
      </c>
      <c r="D44" s="118">
        <f>SUM(E10:E41)/2</f>
        <v>33709279.247066028</v>
      </c>
      <c r="E44" s="119">
        <f>D44*B44/100</f>
        <v>10112783.774119809</v>
      </c>
      <c r="F44" s="69"/>
      <c r="G44" s="69"/>
      <c r="M44" s="64"/>
      <c r="N44" s="64"/>
      <c r="O44" s="64"/>
      <c r="P44" s="64"/>
      <c r="Q44" s="64"/>
      <c r="R44" s="64"/>
      <c r="S44" s="13"/>
      <c r="T44" s="52"/>
    </row>
    <row r="45" spans="1:20" x14ac:dyDescent="0.25">
      <c r="A45" s="69" t="s">
        <v>7</v>
      </c>
      <c r="B45" s="89"/>
      <c r="C45" s="89"/>
      <c r="D45" s="87"/>
      <c r="E45" s="87">
        <f>SUM(E44)</f>
        <v>10112783.774119809</v>
      </c>
      <c r="F45" s="69"/>
      <c r="G45" s="69"/>
      <c r="M45" s="64"/>
      <c r="N45" s="64"/>
      <c r="O45" s="64"/>
      <c r="P45" s="64"/>
      <c r="Q45" s="64"/>
      <c r="R45" s="64"/>
      <c r="S45" s="13"/>
      <c r="T45" s="52"/>
    </row>
    <row r="46" spans="1:20" x14ac:dyDescent="0.25">
      <c r="A46" s="69"/>
      <c r="B46" s="69"/>
      <c r="C46" s="69"/>
      <c r="D46" s="69"/>
      <c r="E46" s="69"/>
      <c r="F46" s="69"/>
      <c r="G46" s="69"/>
      <c r="M46" s="64"/>
      <c r="N46" s="64"/>
      <c r="O46" s="64"/>
      <c r="P46" s="64"/>
      <c r="Q46" s="64"/>
      <c r="R46" s="64"/>
      <c r="S46" s="13"/>
      <c r="T46" s="52"/>
    </row>
    <row r="47" spans="1:20" x14ac:dyDescent="0.25">
      <c r="A47" s="29" t="s">
        <v>123</v>
      </c>
      <c r="B47" s="96"/>
      <c r="C47" s="96"/>
      <c r="D47" s="116"/>
      <c r="E47" s="116"/>
      <c r="F47" s="77" t="s">
        <v>124</v>
      </c>
      <c r="G47" s="69"/>
      <c r="M47" s="64"/>
      <c r="N47" s="64"/>
      <c r="O47" s="64"/>
      <c r="P47" s="64"/>
      <c r="Q47" s="64"/>
      <c r="R47" s="64"/>
      <c r="S47" s="13"/>
      <c r="T47" s="52"/>
    </row>
    <row r="48" spans="1:20" x14ac:dyDescent="0.25">
      <c r="A48" s="18" t="s">
        <v>22</v>
      </c>
      <c r="B48" s="120">
        <f>65*B11/66/660 +T4</f>
        <v>58.298438934802569</v>
      </c>
      <c r="C48" s="112" t="s">
        <v>18</v>
      </c>
      <c r="D48" s="121">
        <v>500000</v>
      </c>
      <c r="E48" s="121">
        <f>B48*D48</f>
        <v>29149219.467401285</v>
      </c>
      <c r="F48" s="77" t="s">
        <v>110</v>
      </c>
      <c r="G48" s="69"/>
      <c r="M48" s="64"/>
      <c r="N48" s="64"/>
      <c r="O48" s="64"/>
      <c r="P48" s="64"/>
      <c r="Q48" s="64"/>
      <c r="R48" s="64"/>
      <c r="S48" s="13"/>
      <c r="T48" s="52"/>
    </row>
    <row r="49" spans="1:20" x14ac:dyDescent="0.25">
      <c r="A49" s="77" t="s">
        <v>7</v>
      </c>
      <c r="B49" s="91"/>
      <c r="C49" s="91"/>
      <c r="D49" s="122"/>
      <c r="E49" s="122">
        <f>SUM(E48)</f>
        <v>29149219.467401285</v>
      </c>
      <c r="F49" s="69" t="s">
        <v>100</v>
      </c>
      <c r="G49" s="69"/>
      <c r="M49" s="64"/>
      <c r="N49" s="64"/>
      <c r="O49" s="64"/>
      <c r="P49" s="64"/>
      <c r="Q49" s="64"/>
      <c r="R49" s="64"/>
      <c r="S49" s="13"/>
      <c r="T49" s="52"/>
    </row>
    <row r="50" spans="1:20" x14ac:dyDescent="0.25">
      <c r="A50" s="69"/>
      <c r="B50" s="69"/>
      <c r="C50" s="69"/>
      <c r="D50" s="69"/>
      <c r="E50" s="69"/>
      <c r="F50" s="69"/>
      <c r="G50" s="69"/>
      <c r="M50" s="64"/>
      <c r="N50" s="64"/>
      <c r="O50" s="64"/>
      <c r="P50" s="64"/>
      <c r="Q50" s="64"/>
      <c r="R50" s="64"/>
      <c r="S50" s="13"/>
      <c r="T50" s="52"/>
    </row>
    <row r="51" spans="1:20" x14ac:dyDescent="0.25">
      <c r="A51" s="69"/>
      <c r="B51" s="69"/>
      <c r="C51" s="69"/>
      <c r="D51" s="69"/>
      <c r="E51" s="69"/>
      <c r="F51" s="87"/>
      <c r="G51" s="69"/>
      <c r="M51" s="64"/>
      <c r="N51" s="64"/>
      <c r="O51" s="64"/>
      <c r="P51" s="64"/>
      <c r="Q51" s="64"/>
      <c r="R51" s="64"/>
      <c r="S51" s="13"/>
      <c r="T51" s="52"/>
    </row>
    <row r="52" spans="1:20" x14ac:dyDescent="0.25">
      <c r="A52" s="114" t="s">
        <v>125</v>
      </c>
      <c r="B52" s="73"/>
      <c r="C52" s="69"/>
      <c r="D52" s="89"/>
      <c r="E52" s="123">
        <f>SUM(E10:E45)/2</f>
        <v>43822063.021185838</v>
      </c>
      <c r="F52" s="69"/>
      <c r="G52" s="69"/>
      <c r="M52" s="64"/>
      <c r="N52" s="64"/>
      <c r="O52" s="64"/>
      <c r="P52" s="64"/>
      <c r="Q52" s="64"/>
      <c r="R52" s="64"/>
      <c r="S52" s="13"/>
      <c r="T52" s="52"/>
    </row>
    <row r="53" spans="1:20" x14ac:dyDescent="0.25">
      <c r="A53" s="69"/>
      <c r="B53" s="73"/>
      <c r="C53" s="73"/>
      <c r="D53" s="86"/>
      <c r="E53" s="124"/>
      <c r="F53" s="69"/>
      <c r="G53" s="69"/>
      <c r="M53" s="64"/>
      <c r="N53" s="64"/>
      <c r="O53" s="64"/>
      <c r="P53" s="64"/>
      <c r="Q53" s="64"/>
      <c r="R53" s="64"/>
      <c r="S53" s="13"/>
      <c r="T53" s="52"/>
    </row>
    <row r="54" spans="1:20" x14ac:dyDescent="0.25">
      <c r="A54" s="114" t="s">
        <v>126</v>
      </c>
      <c r="B54" s="125"/>
      <c r="C54" s="73"/>
      <c r="D54" s="86"/>
      <c r="E54" s="87">
        <f>E49</f>
        <v>29149219.467401285</v>
      </c>
      <c r="F54" s="77" t="s">
        <v>128</v>
      </c>
      <c r="G54" s="69"/>
      <c r="M54" s="64"/>
      <c r="N54" s="64"/>
      <c r="O54" s="64"/>
      <c r="P54" s="64"/>
      <c r="Q54" s="64"/>
      <c r="R54" s="64"/>
      <c r="S54" s="13"/>
      <c r="T54" s="52"/>
    </row>
    <row r="55" spans="1:20" x14ac:dyDescent="0.25">
      <c r="A55" s="69"/>
      <c r="B55" s="73"/>
      <c r="C55" s="73"/>
      <c r="D55" s="86"/>
      <c r="E55" s="86"/>
      <c r="F55" s="69"/>
      <c r="G55" s="69"/>
      <c r="M55" s="64"/>
      <c r="N55" s="64"/>
      <c r="O55" s="64"/>
      <c r="P55" s="64"/>
      <c r="Q55" s="64"/>
      <c r="R55" s="64"/>
      <c r="S55" s="13"/>
      <c r="T55" s="52"/>
    </row>
    <row r="56" spans="1:20" x14ac:dyDescent="0.25">
      <c r="A56" s="114" t="s">
        <v>127</v>
      </c>
      <c r="B56" s="69"/>
      <c r="C56" s="69"/>
      <c r="D56" s="69"/>
      <c r="E56" s="81">
        <f>+PMT(0.03375,50,-E52-E54,0)</f>
        <v>3041242.9956038953</v>
      </c>
      <c r="F56" s="69"/>
      <c r="G56" s="69"/>
      <c r="M56" s="64"/>
      <c r="N56" s="64"/>
      <c r="O56" s="64"/>
      <c r="P56" s="64"/>
      <c r="Q56" s="64"/>
      <c r="R56" s="64"/>
      <c r="S56" s="13"/>
      <c r="T56" s="52"/>
    </row>
    <row r="57" spans="1:20" x14ac:dyDescent="0.25">
      <c r="A57" s="69"/>
      <c r="B57" s="69"/>
      <c r="C57" s="69"/>
      <c r="D57" s="69"/>
      <c r="E57" s="69"/>
      <c r="F57" s="69"/>
      <c r="G57" s="69"/>
      <c r="S57" s="13"/>
      <c r="T57" s="52"/>
    </row>
    <row r="58" spans="1:20" x14ac:dyDescent="0.25">
      <c r="A58" s="110" t="s">
        <v>67</v>
      </c>
      <c r="B58" s="126"/>
      <c r="C58" s="126"/>
      <c r="D58" s="86"/>
      <c r="E58" s="86">
        <f>N35+P30</f>
        <v>780307.38997838029</v>
      </c>
      <c r="F58" s="69"/>
      <c r="G58" s="69"/>
      <c r="S58" s="13"/>
      <c r="T58" s="52"/>
    </row>
    <row r="59" spans="1:20" x14ac:dyDescent="0.25">
      <c r="A59" s="114"/>
      <c r="B59" s="73"/>
      <c r="C59" s="73"/>
      <c r="D59" s="86"/>
      <c r="E59" s="86"/>
      <c r="F59" s="69"/>
      <c r="G59" s="69"/>
      <c r="S59" s="13"/>
      <c r="T59" s="52"/>
    </row>
    <row r="60" spans="1:20" x14ac:dyDescent="0.25">
      <c r="A60" s="110" t="s">
        <v>77</v>
      </c>
      <c r="B60" s="69"/>
      <c r="C60" s="69"/>
      <c r="D60" s="69"/>
      <c r="E60" s="103">
        <f>+Y4</f>
        <v>4263</v>
      </c>
      <c r="F60" s="69"/>
      <c r="G60" s="69"/>
      <c r="S60" s="13"/>
      <c r="T60" s="52"/>
    </row>
    <row r="61" spans="1:20" x14ac:dyDescent="0.25">
      <c r="A61" s="126"/>
      <c r="B61" s="73"/>
      <c r="C61" s="73"/>
      <c r="D61" s="86"/>
      <c r="E61" s="86"/>
      <c r="F61" s="69"/>
      <c r="G61" s="69"/>
      <c r="S61" s="13"/>
      <c r="T61" s="52"/>
    </row>
    <row r="62" spans="1:20" x14ac:dyDescent="0.25">
      <c r="A62" s="114" t="s">
        <v>129</v>
      </c>
      <c r="B62" s="73"/>
      <c r="C62" s="73"/>
      <c r="D62" s="86"/>
      <c r="E62" s="86">
        <f>(E56+E58)/E60</f>
        <v>896.44625512134076</v>
      </c>
      <c r="F62" s="69"/>
      <c r="G62" s="69"/>
      <c r="S62" s="13"/>
      <c r="T62" s="52"/>
    </row>
    <row r="63" spans="1:20" x14ac:dyDescent="0.25">
      <c r="A63" s="69"/>
      <c r="B63" s="69"/>
      <c r="C63" s="69"/>
      <c r="D63" s="69"/>
      <c r="E63" s="69"/>
      <c r="F63" s="69"/>
      <c r="G63" s="69"/>
    </row>
    <row r="64" spans="1:20" x14ac:dyDescent="0.25">
      <c r="A64" s="69"/>
      <c r="B64" s="69"/>
      <c r="C64" s="69"/>
      <c r="D64" s="69"/>
      <c r="E64" s="69"/>
      <c r="F64" s="69"/>
      <c r="G64" s="69"/>
    </row>
  </sheetData>
  <customSheetViews>
    <customSheetView guid="{0938481C-6147-45AE-A91B-B3C254F54487}" scale="60" showPageBreaks="1" fitToPage="1" printArea="1" hiddenColumns="1" view="pageBreakPreview" topLeftCell="A10">
      <selection activeCell="E53" sqref="E53"/>
      <rowBreaks count="1" manualBreakCount="1">
        <brk id="15" max="16383" man="1"/>
      </rowBreaks>
      <colBreaks count="1" manualBreakCount="1">
        <brk id="1" max="1048575" man="1"/>
      </colBreaks>
      <pageMargins left="0.75" right="0.75" top="1" bottom="1" header="0.5" footer="0.5"/>
      <pageSetup scale="55" orientation="landscape" r:id="rId1"/>
      <headerFooter alignWithMargins="0">
        <oddFooter>&amp;LLA Basin Stormwater Conservation Study_Project Costs&amp;R&amp;D</oddFooter>
      </headerFooter>
    </customSheetView>
    <customSheetView guid="{DE980C82-6B2E-45C1-AD5F-2B41EFFE9ED0}" fitToPage="1">
      <selection activeCell="N39" sqref="N39"/>
      <pageMargins left="0.75" right="0.75" top="1" bottom="1" header="0.5" footer="0.5"/>
      <pageSetup scale="27" fitToHeight="2" orientation="portrait" r:id="rId2"/>
      <headerFooter alignWithMargins="0"/>
    </customSheetView>
  </customSheetViews>
  <phoneticPr fontId="0" type="noConversion"/>
  <pageMargins left="0.75" right="0.75" top="1" bottom="1" header="0.5" footer="0.5"/>
  <pageSetup scale="54" orientation="landscape"/>
  <headerFooter alignWithMargins="0">
    <oddFooter>&amp;LLA Basin Stormwater Conservation Study_Project Costs&amp;R&amp;D</oddFooter>
  </headerFooter>
  <rowBreaks count="1" manualBreakCount="1">
    <brk id="15" max="16383" man="1"/>
  </rowBreaks>
  <colBreaks count="1" manualBreakCount="1">
    <brk id="1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5"/>
  <sheetViews>
    <sheetView zoomScaleNormal="100" zoomScalePageLayoutView="70" workbookViewId="0">
      <selection activeCell="A3" sqref="A3"/>
    </sheetView>
  </sheetViews>
  <sheetFormatPr defaultRowHeight="13.2" x14ac:dyDescent="0.25"/>
  <cols>
    <col min="1" max="1" width="54.6640625" customWidth="1"/>
    <col min="4" max="4" width="13.88671875" bestFit="1" customWidth="1"/>
    <col min="5" max="5" width="15.44140625" customWidth="1"/>
    <col min="10" max="11" width="8.88671875" hidden="1" customWidth="1"/>
    <col min="12" max="12" width="6.33203125" customWidth="1"/>
    <col min="13" max="13" width="17" customWidth="1"/>
    <col min="14" max="14" width="11.5546875" customWidth="1"/>
    <col min="15" max="15" width="11.88671875" customWidth="1"/>
    <col min="16" max="16" width="11.5546875" customWidth="1"/>
    <col min="17" max="17" width="12.88671875" customWidth="1"/>
    <col min="18" max="18" width="11.33203125" customWidth="1"/>
    <col min="19" max="19" width="15.33203125" customWidth="1"/>
    <col min="20" max="20" width="26.33203125" customWidth="1"/>
    <col min="21" max="21" width="15.109375" customWidth="1"/>
    <col min="22" max="22" width="28.6640625" customWidth="1"/>
  </cols>
  <sheetData>
    <row r="1" spans="1:26" ht="13.8" thickBot="1" x14ac:dyDescent="0.3">
      <c r="A1" s="1" t="s">
        <v>10</v>
      </c>
    </row>
    <row r="2" spans="1:26" x14ac:dyDescent="0.25">
      <c r="A2" s="1" t="s">
        <v>114</v>
      </c>
      <c r="L2" s="61"/>
      <c r="S2" s="38" t="s">
        <v>31</v>
      </c>
      <c r="T2" s="38" t="s">
        <v>32</v>
      </c>
      <c r="U2" s="38" t="s">
        <v>33</v>
      </c>
      <c r="V2" s="38" t="s">
        <v>34</v>
      </c>
      <c r="W2" s="38" t="s">
        <v>35</v>
      </c>
      <c r="X2" s="38" t="s">
        <v>36</v>
      </c>
      <c r="Y2" s="38" t="s">
        <v>77</v>
      </c>
      <c r="Z2" s="38" t="s">
        <v>37</v>
      </c>
    </row>
    <row r="3" spans="1:26" ht="13.8" thickBot="1" x14ac:dyDescent="0.3">
      <c r="A3" s="16">
        <v>42275</v>
      </c>
      <c r="L3" s="61"/>
      <c r="S3" s="41"/>
      <c r="T3" s="41"/>
      <c r="U3" s="41"/>
      <c r="V3" s="41"/>
      <c r="W3" s="41"/>
      <c r="X3" s="41"/>
      <c r="Y3" s="60"/>
      <c r="Z3" s="41"/>
    </row>
    <row r="4" spans="1:26" x14ac:dyDescent="0.25">
      <c r="L4" s="61"/>
      <c r="S4" s="39" t="s">
        <v>39</v>
      </c>
      <c r="T4" s="40">
        <v>56.4</v>
      </c>
      <c r="U4" s="40">
        <v>6128.2</v>
      </c>
      <c r="V4" s="61">
        <v>33.799999999999997</v>
      </c>
      <c r="W4" s="61">
        <v>3.4</v>
      </c>
      <c r="X4" s="61">
        <v>20</v>
      </c>
      <c r="Y4" s="62">
        <v>4384</v>
      </c>
      <c r="Z4" s="40">
        <v>200</v>
      </c>
    </row>
    <row r="5" spans="1:26" ht="13.8" thickBot="1" x14ac:dyDescent="0.3">
      <c r="A5" s="19" t="s">
        <v>39</v>
      </c>
      <c r="B5" s="20"/>
      <c r="C5" s="20"/>
      <c r="D5" s="20"/>
      <c r="E5" s="20"/>
      <c r="L5" s="61"/>
      <c r="W5" s="61"/>
    </row>
    <row r="6" spans="1:26" x14ac:dyDescent="0.25"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</row>
    <row r="7" spans="1:26" x14ac:dyDescent="0.25">
      <c r="A7" s="1" t="s">
        <v>0</v>
      </c>
      <c r="B7" s="3" t="s">
        <v>1</v>
      </c>
      <c r="C7" s="3" t="s">
        <v>2</v>
      </c>
      <c r="D7" s="4" t="s">
        <v>3</v>
      </c>
      <c r="E7" s="4" t="s">
        <v>4</v>
      </c>
      <c r="L7" s="61"/>
      <c r="M7" s="61"/>
      <c r="N7" s="61"/>
      <c r="O7" s="61"/>
      <c r="P7" s="61"/>
      <c r="Q7" s="61"/>
      <c r="R7" s="61"/>
      <c r="S7" s="61"/>
      <c r="T7" s="61"/>
      <c r="U7" s="61"/>
      <c r="V7" s="61"/>
      <c r="W7" s="61"/>
    </row>
    <row r="8" spans="1:26" x14ac:dyDescent="0.25">
      <c r="A8" s="110"/>
      <c r="B8" s="110"/>
      <c r="C8" s="110"/>
      <c r="D8" s="111"/>
      <c r="E8" s="111"/>
      <c r="F8" s="69"/>
      <c r="G8" s="69"/>
      <c r="L8" s="61"/>
      <c r="M8" s="61"/>
      <c r="N8" s="61"/>
      <c r="O8" s="61"/>
      <c r="P8" s="61"/>
      <c r="Q8" s="61"/>
      <c r="R8" s="61"/>
      <c r="S8" s="61"/>
      <c r="T8" s="61"/>
      <c r="U8" s="61"/>
      <c r="V8" s="61"/>
      <c r="W8" s="61"/>
    </row>
    <row r="9" spans="1:26" x14ac:dyDescent="0.25">
      <c r="A9" s="82" t="s">
        <v>11</v>
      </c>
      <c r="B9" s="83"/>
      <c r="C9" s="83"/>
      <c r="D9" s="84"/>
      <c r="E9" s="84"/>
      <c r="F9" s="69"/>
      <c r="G9" s="69"/>
    </row>
    <row r="10" spans="1:26" ht="12.75" customHeight="1" x14ac:dyDescent="0.25">
      <c r="A10" s="12" t="s">
        <v>13</v>
      </c>
      <c r="B10" s="73">
        <v>1</v>
      </c>
      <c r="C10" s="73" t="s">
        <v>5</v>
      </c>
      <c r="D10" s="86">
        <v>150000</v>
      </c>
      <c r="E10" s="87">
        <f>+B10*D10</f>
        <v>150000</v>
      </c>
      <c r="F10" s="69"/>
      <c r="G10" s="69"/>
    </row>
    <row r="11" spans="1:26" x14ac:dyDescent="0.25">
      <c r="A11" s="12" t="s">
        <v>14</v>
      </c>
      <c r="B11" s="73">
        <v>200</v>
      </c>
      <c r="C11" s="73" t="s">
        <v>6</v>
      </c>
      <c r="D11" s="86">
        <f>25*(3*N16^2+M16*N16)/27</f>
        <v>324.07407407407408</v>
      </c>
      <c r="E11" s="87">
        <f>+B11*D11</f>
        <v>64814.814814814818</v>
      </c>
      <c r="F11" s="77" t="s">
        <v>130</v>
      </c>
      <c r="G11" s="69"/>
      <c r="M11" s="46" t="s">
        <v>54</v>
      </c>
      <c r="S11" s="30"/>
      <c r="T11" s="42"/>
    </row>
    <row r="12" spans="1:26" x14ac:dyDescent="0.25">
      <c r="A12" s="100" t="s">
        <v>7</v>
      </c>
      <c r="B12" s="101"/>
      <c r="C12" s="101"/>
      <c r="D12" s="102"/>
      <c r="E12" s="102">
        <f>SUM(E10:E11)</f>
        <v>214814.81481481483</v>
      </c>
      <c r="F12" s="69"/>
      <c r="G12" s="69"/>
    </row>
    <row r="13" spans="1:26" x14ac:dyDescent="0.25">
      <c r="A13" s="69"/>
      <c r="B13" s="89"/>
      <c r="C13" s="89"/>
      <c r="D13" s="87"/>
      <c r="E13" s="87"/>
      <c r="F13" s="69"/>
      <c r="G13" s="69"/>
      <c r="M13" s="43" t="s">
        <v>44</v>
      </c>
      <c r="N13" s="43" t="s">
        <v>45</v>
      </c>
      <c r="O13" s="43" t="s">
        <v>43</v>
      </c>
      <c r="P13" s="43" t="s">
        <v>48</v>
      </c>
      <c r="Q13" s="43"/>
      <c r="S13" s="13"/>
      <c r="T13" s="52"/>
    </row>
    <row r="14" spans="1:26" x14ac:dyDescent="0.25">
      <c r="A14" s="82" t="s">
        <v>12</v>
      </c>
      <c r="B14" s="83"/>
      <c r="C14" s="83"/>
      <c r="D14" s="84"/>
      <c r="E14" s="84"/>
      <c r="F14" s="69"/>
      <c r="G14" s="69"/>
      <c r="M14" s="43" t="s">
        <v>46</v>
      </c>
      <c r="N14" s="43" t="s">
        <v>46</v>
      </c>
      <c r="O14" s="43" t="s">
        <v>47</v>
      </c>
      <c r="P14" s="43" t="s">
        <v>46</v>
      </c>
      <c r="Q14" s="43"/>
      <c r="S14" s="13"/>
      <c r="T14" s="52"/>
    </row>
    <row r="15" spans="1:26" x14ac:dyDescent="0.25">
      <c r="A15" s="12" t="s">
        <v>15</v>
      </c>
      <c r="B15" s="85">
        <f>O23*0.1</f>
        <v>38211.190884610958</v>
      </c>
      <c r="C15" s="74" t="s">
        <v>29</v>
      </c>
      <c r="D15" s="86">
        <v>25</v>
      </c>
      <c r="E15" s="87">
        <f>+B15*D15</f>
        <v>955279.77211527398</v>
      </c>
      <c r="F15" s="77" t="s">
        <v>148</v>
      </c>
      <c r="G15" s="69"/>
      <c r="M15" s="13"/>
      <c r="N15" s="13"/>
      <c r="O15" s="13"/>
      <c r="S15" s="13"/>
      <c r="T15" s="52"/>
    </row>
    <row r="16" spans="1:26" x14ac:dyDescent="0.25">
      <c r="A16" s="12" t="s">
        <v>16</v>
      </c>
      <c r="B16" s="85">
        <f>+U4</f>
        <v>6128.2</v>
      </c>
      <c r="C16" s="74" t="s">
        <v>6</v>
      </c>
      <c r="D16" s="86">
        <v>100</v>
      </c>
      <c r="E16" s="87">
        <f>+B16*D16</f>
        <v>612820</v>
      </c>
      <c r="G16" s="69"/>
      <c r="M16" s="13">
        <v>5</v>
      </c>
      <c r="N16" s="13">
        <v>10</v>
      </c>
      <c r="O16" s="44">
        <f>+Z4/3</f>
        <v>66.666666666666671</v>
      </c>
      <c r="P16" s="45">
        <f>(-M16+SQRT(M16^2+4*3*O16))/2/3</f>
        <v>3.953802205448357</v>
      </c>
      <c r="S16" s="13"/>
      <c r="T16" s="52"/>
    </row>
    <row r="17" spans="1:20" x14ac:dyDescent="0.25">
      <c r="A17" s="12" t="s">
        <v>28</v>
      </c>
      <c r="B17" s="85">
        <f>+U4</f>
        <v>6128.2</v>
      </c>
      <c r="C17" s="74" t="s">
        <v>6</v>
      </c>
      <c r="D17" s="86">
        <v>25</v>
      </c>
      <c r="E17" s="87">
        <f>+B17*D17</f>
        <v>153205</v>
      </c>
      <c r="F17" s="77" t="s">
        <v>30</v>
      </c>
      <c r="G17" s="69"/>
      <c r="S17" s="13"/>
      <c r="T17" s="52"/>
    </row>
    <row r="18" spans="1:20" x14ac:dyDescent="0.25">
      <c r="A18" s="100" t="s">
        <v>7</v>
      </c>
      <c r="B18" s="101"/>
      <c r="C18" s="101"/>
      <c r="D18" s="102"/>
      <c r="E18" s="102">
        <f>SUM(E15:E17)</f>
        <v>1721304.7721152739</v>
      </c>
      <c r="F18" s="69"/>
      <c r="G18" s="69"/>
      <c r="M18" s="46" t="s">
        <v>51</v>
      </c>
      <c r="S18" s="13"/>
      <c r="T18" s="52"/>
    </row>
    <row r="19" spans="1:20" x14ac:dyDescent="0.25">
      <c r="A19" s="69"/>
      <c r="B19" s="89"/>
      <c r="C19" s="89"/>
      <c r="D19" s="87"/>
      <c r="E19" s="87"/>
      <c r="F19" s="69"/>
      <c r="G19" s="69"/>
      <c r="S19" s="13"/>
      <c r="T19" s="52"/>
    </row>
    <row r="20" spans="1:20" x14ac:dyDescent="0.25">
      <c r="A20" s="82" t="s">
        <v>19</v>
      </c>
      <c r="B20" s="88"/>
      <c r="C20" s="88"/>
      <c r="D20" s="84"/>
      <c r="E20" s="84"/>
      <c r="F20" s="69"/>
      <c r="G20" s="69"/>
      <c r="M20" s="43" t="s">
        <v>49</v>
      </c>
      <c r="N20" s="43" t="s">
        <v>50</v>
      </c>
      <c r="O20" s="43" t="s">
        <v>52</v>
      </c>
      <c r="P20" s="13"/>
      <c r="S20" s="13"/>
      <c r="T20" s="52"/>
    </row>
    <row r="21" spans="1:20" x14ac:dyDescent="0.25">
      <c r="A21" s="12" t="s">
        <v>17</v>
      </c>
      <c r="B21" s="89">
        <f>+W4</f>
        <v>3.4</v>
      </c>
      <c r="C21" s="74" t="s">
        <v>18</v>
      </c>
      <c r="D21" s="86">
        <v>35000</v>
      </c>
      <c r="E21" s="86">
        <f t="shared" ref="E21" si="0">+B21*D21</f>
        <v>119000</v>
      </c>
      <c r="F21" s="69"/>
      <c r="G21" s="69"/>
      <c r="M21" s="43" t="s">
        <v>47</v>
      </c>
      <c r="N21" s="43" t="s">
        <v>46</v>
      </c>
      <c r="O21" s="43" t="s">
        <v>53</v>
      </c>
      <c r="P21" s="13"/>
      <c r="S21" s="13"/>
      <c r="T21" s="52"/>
    </row>
    <row r="22" spans="1:20" x14ac:dyDescent="0.25">
      <c r="A22" s="100" t="s">
        <v>7</v>
      </c>
      <c r="B22" s="101"/>
      <c r="C22" s="101"/>
      <c r="D22" s="102"/>
      <c r="E22" s="102">
        <f>SUM(E21:E21)</f>
        <v>119000</v>
      </c>
      <c r="F22" s="69"/>
      <c r="G22" s="69"/>
      <c r="M22" s="13"/>
      <c r="N22" s="13"/>
      <c r="O22" s="13"/>
      <c r="P22" s="13"/>
      <c r="S22" s="13"/>
      <c r="T22" s="52"/>
    </row>
    <row r="23" spans="1:20" x14ac:dyDescent="0.25">
      <c r="A23" s="12"/>
      <c r="B23" s="73"/>
      <c r="C23" s="73"/>
      <c r="D23" s="86"/>
      <c r="E23" s="87"/>
      <c r="F23" s="69"/>
      <c r="G23" s="69"/>
      <c r="M23" s="13">
        <f>+V4*66*660</f>
        <v>1472327.9999999998</v>
      </c>
      <c r="N23" s="44">
        <f>+SQRT(M23)</f>
        <v>1213.3952365161153</v>
      </c>
      <c r="O23" s="24">
        <f>10/3*(N23^2+(N23+60)^2+SQRT(N23*(N23+60)))/27</f>
        <v>382111.90884610958</v>
      </c>
      <c r="P23" s="13"/>
      <c r="S23" s="13"/>
      <c r="T23" s="52"/>
    </row>
    <row r="24" spans="1:20" x14ac:dyDescent="0.25">
      <c r="A24" s="29" t="s">
        <v>20</v>
      </c>
      <c r="B24" s="88"/>
      <c r="C24" s="88"/>
      <c r="D24" s="84"/>
      <c r="E24" s="84"/>
      <c r="F24" s="69"/>
      <c r="G24" s="69"/>
      <c r="M24" s="13"/>
      <c r="N24" s="13"/>
      <c r="O24" s="13"/>
      <c r="P24" s="13"/>
      <c r="S24" s="13"/>
      <c r="T24" s="52"/>
    </row>
    <row r="25" spans="1:20" x14ac:dyDescent="0.25">
      <c r="A25" s="31" t="s">
        <v>21</v>
      </c>
      <c r="B25" s="128">
        <f>+U4</f>
        <v>6128.2</v>
      </c>
      <c r="C25" s="117" t="s">
        <v>6</v>
      </c>
      <c r="D25" s="119">
        <v>25</v>
      </c>
      <c r="E25" s="84">
        <f>+B25*D25</f>
        <v>153205</v>
      </c>
      <c r="F25" s="69"/>
      <c r="G25" s="69"/>
      <c r="M25" s="48" t="s">
        <v>78</v>
      </c>
      <c r="N25" s="13"/>
      <c r="O25" s="13"/>
      <c r="P25" s="13"/>
      <c r="S25" s="13"/>
      <c r="T25" s="52"/>
    </row>
    <row r="26" spans="1:20" x14ac:dyDescent="0.25">
      <c r="A26" s="69" t="s">
        <v>7</v>
      </c>
      <c r="B26" s="89"/>
      <c r="C26" s="89"/>
      <c r="D26" s="87"/>
      <c r="E26" s="87">
        <f>SUM(E25)</f>
        <v>153205</v>
      </c>
      <c r="F26" s="69"/>
      <c r="G26" s="69"/>
      <c r="M26" s="13"/>
      <c r="N26" s="13"/>
      <c r="O26" s="13"/>
      <c r="P26" s="13"/>
      <c r="S26" s="13"/>
      <c r="T26" s="52"/>
    </row>
    <row r="27" spans="1:20" x14ac:dyDescent="0.25">
      <c r="A27" s="69"/>
      <c r="B27" s="89"/>
      <c r="C27" s="89"/>
      <c r="D27" s="87"/>
      <c r="E27" s="87"/>
      <c r="F27" s="69"/>
      <c r="G27" s="69"/>
      <c r="M27" s="49" t="s">
        <v>58</v>
      </c>
      <c r="N27" s="50"/>
      <c r="O27" s="43" t="s">
        <v>61</v>
      </c>
      <c r="P27" s="43" t="s">
        <v>63</v>
      </c>
      <c r="S27" s="13"/>
      <c r="T27" s="52"/>
    </row>
    <row r="28" spans="1:20" x14ac:dyDescent="0.25">
      <c r="A28" s="29" t="s">
        <v>79</v>
      </c>
      <c r="B28" s="88">
        <v>10</v>
      </c>
      <c r="C28" s="88" t="s">
        <v>8</v>
      </c>
      <c r="D28" s="113">
        <f>SUM(E10:E26)/2</f>
        <v>2208324.5869300887</v>
      </c>
      <c r="E28" s="84">
        <f>D28*B28/100</f>
        <v>220832.45869300887</v>
      </c>
      <c r="F28" s="77"/>
      <c r="G28" s="69"/>
      <c r="M28" s="43" t="s">
        <v>59</v>
      </c>
      <c r="N28" s="43" t="s">
        <v>60</v>
      </c>
      <c r="O28" s="43" t="s">
        <v>62</v>
      </c>
      <c r="P28" s="43" t="s">
        <v>66</v>
      </c>
      <c r="S28" s="13"/>
      <c r="T28" s="52"/>
    </row>
    <row r="29" spans="1:20" x14ac:dyDescent="0.25">
      <c r="A29" s="77" t="s">
        <v>79</v>
      </c>
      <c r="B29" s="89"/>
      <c r="C29" s="89"/>
      <c r="D29" s="87"/>
      <c r="E29" s="87">
        <f>SUM(E28)</f>
        <v>220832.45869300887</v>
      </c>
      <c r="F29" s="69"/>
      <c r="G29" s="69"/>
      <c r="M29" s="13"/>
      <c r="N29" s="13"/>
      <c r="O29" s="13"/>
      <c r="P29" s="13"/>
      <c r="S29" s="13"/>
      <c r="T29" s="52"/>
    </row>
    <row r="30" spans="1:20" x14ac:dyDescent="0.25">
      <c r="A30" s="69"/>
      <c r="B30" s="89"/>
      <c r="C30" s="89"/>
      <c r="D30" s="87"/>
      <c r="E30" s="87"/>
      <c r="F30" s="69"/>
      <c r="G30" s="69"/>
      <c r="M30" s="13">
        <v>0</v>
      </c>
      <c r="N30" s="44">
        <f>0.746*M30*3*30.4*24</f>
        <v>0</v>
      </c>
      <c r="O30" s="51">
        <v>0.15</v>
      </c>
      <c r="P30" s="52">
        <f>+N30*O30</f>
        <v>0</v>
      </c>
      <c r="S30" s="13"/>
      <c r="T30" s="52"/>
    </row>
    <row r="31" spans="1:20" x14ac:dyDescent="0.25">
      <c r="A31" s="29" t="s">
        <v>9</v>
      </c>
      <c r="B31" s="88">
        <v>10</v>
      </c>
      <c r="C31" s="88" t="s">
        <v>8</v>
      </c>
      <c r="D31" s="113">
        <f>SUM(E10:E30)/2</f>
        <v>2429157.0456230976</v>
      </c>
      <c r="E31" s="84">
        <f>D31*B31/100</f>
        <v>242915.70456230975</v>
      </c>
      <c r="F31" s="69"/>
      <c r="G31" s="69"/>
      <c r="M31" s="13"/>
      <c r="N31" s="13"/>
      <c r="O31" s="13"/>
      <c r="P31" s="13"/>
      <c r="S31" s="13"/>
      <c r="T31" s="52"/>
    </row>
    <row r="32" spans="1:20" x14ac:dyDescent="0.25">
      <c r="A32" s="69" t="s">
        <v>7</v>
      </c>
      <c r="B32" s="89"/>
      <c r="C32" s="89"/>
      <c r="D32" s="87"/>
      <c r="E32" s="87">
        <f>SUM(E31)</f>
        <v>242915.70456230975</v>
      </c>
      <c r="F32" s="69"/>
      <c r="G32" s="69"/>
      <c r="M32" s="43" t="s">
        <v>64</v>
      </c>
      <c r="N32" s="43" t="s">
        <v>63</v>
      </c>
      <c r="O32" s="43" t="s">
        <v>68</v>
      </c>
      <c r="Q32" s="43"/>
      <c r="S32" s="13"/>
      <c r="T32" s="52"/>
    </row>
    <row r="33" spans="1:20" x14ac:dyDescent="0.25">
      <c r="A33" s="69"/>
      <c r="B33" s="89"/>
      <c r="C33" s="89"/>
      <c r="D33" s="87"/>
      <c r="E33" s="87"/>
      <c r="F33" s="69"/>
      <c r="G33" s="69"/>
      <c r="M33" s="43" t="s">
        <v>65</v>
      </c>
      <c r="N33" s="43" t="s">
        <v>66</v>
      </c>
      <c r="O33" s="43" t="s">
        <v>69</v>
      </c>
      <c r="Q33" s="43"/>
      <c r="S33" s="13"/>
      <c r="T33" s="52"/>
    </row>
    <row r="34" spans="1:20" x14ac:dyDescent="0.25">
      <c r="A34" s="29" t="s">
        <v>23</v>
      </c>
      <c r="B34" s="88"/>
      <c r="C34" s="88"/>
      <c r="D34" s="86"/>
      <c r="E34" s="86"/>
      <c r="F34" s="69"/>
      <c r="G34" s="69"/>
      <c r="M34" s="13"/>
      <c r="N34" s="13"/>
      <c r="O34" s="13"/>
      <c r="S34" s="13"/>
      <c r="T34" s="52"/>
    </row>
    <row r="35" spans="1:20" x14ac:dyDescent="0.25">
      <c r="A35" s="71" t="s">
        <v>116</v>
      </c>
      <c r="B35" s="72">
        <v>10</v>
      </c>
      <c r="C35" s="72" t="s">
        <v>8</v>
      </c>
      <c r="D35" s="92">
        <f>SUM(E10:E32)/2</f>
        <v>2672072.7501854077</v>
      </c>
      <c r="E35" s="102">
        <f>D35*B35/100</f>
        <v>267207.27501854079</v>
      </c>
      <c r="F35" s="69"/>
      <c r="G35" s="69"/>
      <c r="M35" s="53">
        <v>0.05</v>
      </c>
      <c r="N35" s="52">
        <f>+M35*SUM(E10:E32)/2</f>
        <v>133603.6375092704</v>
      </c>
      <c r="O35" s="13">
        <v>50</v>
      </c>
      <c r="Q35" s="2"/>
      <c r="S35" s="13"/>
      <c r="T35" s="52"/>
    </row>
    <row r="36" spans="1:20" x14ac:dyDescent="0.25">
      <c r="A36" s="12" t="s">
        <v>121</v>
      </c>
      <c r="B36" s="73">
        <v>15</v>
      </c>
      <c r="C36" s="74" t="s">
        <v>8</v>
      </c>
      <c r="D36" s="94">
        <f>SUM(E10:E32)/2</f>
        <v>2672072.7501854077</v>
      </c>
      <c r="E36" s="86">
        <f>D36*B36/100</f>
        <v>400810.91252781113</v>
      </c>
      <c r="F36" s="69"/>
      <c r="G36" s="69"/>
      <c r="S36" s="13"/>
      <c r="T36" s="52"/>
    </row>
    <row r="37" spans="1:20" x14ac:dyDescent="0.25">
      <c r="A37" s="12" t="s">
        <v>57</v>
      </c>
      <c r="B37" s="73">
        <v>11</v>
      </c>
      <c r="C37" s="74" t="s">
        <v>8</v>
      </c>
      <c r="D37" s="94">
        <f>SUM(E10:E32)/2 + SUM(D35:D36) + SUM(D38:D40)</f>
        <v>16032436.501112446</v>
      </c>
      <c r="E37" s="86">
        <f t="shared" ref="E37" si="1">D37*B37/100</f>
        <v>1763568.0151223689</v>
      </c>
      <c r="F37" s="69"/>
      <c r="G37" s="69"/>
      <c r="S37" s="13"/>
      <c r="T37" s="52"/>
    </row>
    <row r="38" spans="1:20" x14ac:dyDescent="0.25">
      <c r="A38" s="12" t="s">
        <v>24</v>
      </c>
      <c r="B38" s="73">
        <v>5</v>
      </c>
      <c r="C38" s="74" t="s">
        <v>8</v>
      </c>
      <c r="D38" s="94">
        <f>SUM(E10:E32)/2</f>
        <v>2672072.7501854077</v>
      </c>
      <c r="E38" s="86">
        <f t="shared" ref="E38:E40" si="2">D38*B38/100</f>
        <v>133603.6375092704</v>
      </c>
      <c r="F38" s="69"/>
      <c r="G38" s="69"/>
      <c r="S38" s="13"/>
      <c r="T38" s="52"/>
    </row>
    <row r="39" spans="1:20" x14ac:dyDescent="0.25">
      <c r="A39" s="12" t="s">
        <v>25</v>
      </c>
      <c r="B39" s="73">
        <v>10</v>
      </c>
      <c r="C39" s="74" t="s">
        <v>8</v>
      </c>
      <c r="D39" s="94">
        <f>SUM(E10:E32)/2</f>
        <v>2672072.7501854077</v>
      </c>
      <c r="E39" s="86">
        <f t="shared" si="2"/>
        <v>267207.27501854079</v>
      </c>
      <c r="F39" s="69"/>
      <c r="G39" s="69"/>
      <c r="S39" s="13"/>
      <c r="T39" s="52"/>
    </row>
    <row r="40" spans="1:20" x14ac:dyDescent="0.25">
      <c r="A40" s="18" t="s">
        <v>26</v>
      </c>
      <c r="B40" s="14">
        <v>10</v>
      </c>
      <c r="C40" s="26" t="s">
        <v>8</v>
      </c>
      <c r="D40" s="34">
        <f>SUM(E10:E32)/2</f>
        <v>2672072.7501854077</v>
      </c>
      <c r="E40" s="8">
        <f t="shared" si="2"/>
        <v>267207.27501854079</v>
      </c>
      <c r="S40" s="13"/>
      <c r="T40" s="52"/>
    </row>
    <row r="41" spans="1:20" x14ac:dyDescent="0.25">
      <c r="A41" t="s">
        <v>7</v>
      </c>
      <c r="B41" s="13"/>
      <c r="C41" s="13"/>
      <c r="D41" s="2"/>
      <c r="E41" s="2">
        <f>SUM(E35:E40)</f>
        <v>3099604.3902150728</v>
      </c>
      <c r="S41" s="13"/>
      <c r="T41" s="52"/>
    </row>
    <row r="42" spans="1:20" x14ac:dyDescent="0.25">
      <c r="B42" s="13"/>
      <c r="C42" s="13"/>
      <c r="D42" s="2"/>
      <c r="E42" s="2"/>
      <c r="S42" s="13"/>
      <c r="T42" s="52"/>
    </row>
    <row r="43" spans="1:20" x14ac:dyDescent="0.25">
      <c r="A43" s="6" t="s">
        <v>27</v>
      </c>
      <c r="B43" s="32"/>
      <c r="C43" s="32"/>
      <c r="D43" s="33"/>
      <c r="E43" s="33"/>
      <c r="S43" s="13"/>
      <c r="T43" s="52"/>
    </row>
    <row r="44" spans="1:20" x14ac:dyDescent="0.25">
      <c r="A44" s="31" t="s">
        <v>27</v>
      </c>
      <c r="B44" s="97">
        <v>30</v>
      </c>
      <c r="C44" s="117" t="s">
        <v>8</v>
      </c>
      <c r="D44" s="118">
        <f>SUM(E10:E41)/2</f>
        <v>5771677.1404004805</v>
      </c>
      <c r="E44" s="119">
        <f>D44*B44/100</f>
        <v>1731503.1421201441</v>
      </c>
      <c r="F44" s="69"/>
      <c r="S44" s="13"/>
      <c r="T44" s="52"/>
    </row>
    <row r="45" spans="1:20" x14ac:dyDescent="0.25">
      <c r="A45" s="69" t="s">
        <v>7</v>
      </c>
      <c r="B45" s="89"/>
      <c r="C45" s="89"/>
      <c r="D45" s="87"/>
      <c r="E45" s="87">
        <f>SUM(E44)</f>
        <v>1731503.1421201441</v>
      </c>
      <c r="F45" s="69"/>
      <c r="S45" s="13"/>
      <c r="T45" s="52"/>
    </row>
    <row r="46" spans="1:20" x14ac:dyDescent="0.25">
      <c r="A46" s="69"/>
      <c r="B46" s="69"/>
      <c r="C46" s="69"/>
      <c r="D46" s="69"/>
      <c r="E46" s="69"/>
      <c r="F46" s="69"/>
      <c r="S46" s="13"/>
      <c r="T46" s="52"/>
    </row>
    <row r="47" spans="1:20" x14ac:dyDescent="0.25">
      <c r="A47" s="29" t="s">
        <v>123</v>
      </c>
      <c r="B47" s="96"/>
      <c r="C47" s="96"/>
      <c r="D47" s="116"/>
      <c r="E47" s="116"/>
      <c r="F47" s="77" t="s">
        <v>124</v>
      </c>
      <c r="S47" s="13"/>
      <c r="T47" s="52"/>
    </row>
    <row r="48" spans="1:20" x14ac:dyDescent="0.25">
      <c r="A48" s="18" t="s">
        <v>22</v>
      </c>
      <c r="B48" s="120">
        <f>65*B11/66/660 + T4</f>
        <v>56.698438934802567</v>
      </c>
      <c r="C48" s="112" t="s">
        <v>18</v>
      </c>
      <c r="D48" s="121">
        <v>500000</v>
      </c>
      <c r="E48" s="121">
        <f>B48*D48</f>
        <v>28349219.467401285</v>
      </c>
      <c r="F48" s="77" t="s">
        <v>110</v>
      </c>
      <c r="S48" s="13"/>
      <c r="T48" s="52"/>
    </row>
    <row r="49" spans="1:20" x14ac:dyDescent="0.25">
      <c r="A49" s="77" t="s">
        <v>7</v>
      </c>
      <c r="B49" s="91"/>
      <c r="C49" s="91"/>
      <c r="D49" s="122"/>
      <c r="E49" s="122">
        <f>SUM(E48)</f>
        <v>28349219.467401285</v>
      </c>
      <c r="F49" s="69" t="s">
        <v>100</v>
      </c>
      <c r="S49" s="13"/>
      <c r="T49" s="52"/>
    </row>
    <row r="50" spans="1:20" x14ac:dyDescent="0.25">
      <c r="A50" s="69"/>
      <c r="B50" s="69"/>
      <c r="C50" s="69"/>
      <c r="D50" s="69"/>
      <c r="E50" s="69"/>
      <c r="F50" s="69"/>
      <c r="S50" s="13"/>
      <c r="T50" s="52"/>
    </row>
    <row r="51" spans="1:20" x14ac:dyDescent="0.25">
      <c r="A51" s="69"/>
      <c r="B51" s="69"/>
      <c r="C51" s="69"/>
      <c r="D51" s="69"/>
      <c r="E51" s="69"/>
      <c r="F51" s="87"/>
      <c r="S51" s="13"/>
      <c r="T51" s="52"/>
    </row>
    <row r="52" spans="1:20" x14ac:dyDescent="0.25">
      <c r="A52" s="114" t="s">
        <v>125</v>
      </c>
      <c r="B52" s="73"/>
      <c r="C52" s="69"/>
      <c r="D52" s="89"/>
      <c r="E52" s="127">
        <f>SUM(E10:E45)/2</f>
        <v>7503180.2825206239</v>
      </c>
      <c r="F52" s="69"/>
      <c r="S52" s="13"/>
      <c r="T52" s="52"/>
    </row>
    <row r="53" spans="1:20" x14ac:dyDescent="0.25">
      <c r="A53" s="69"/>
      <c r="B53" s="73"/>
      <c r="C53" s="73"/>
      <c r="D53" s="86"/>
      <c r="E53" s="124"/>
      <c r="F53" s="69"/>
      <c r="S53" s="13"/>
      <c r="T53" s="52"/>
    </row>
    <row r="54" spans="1:20" x14ac:dyDescent="0.25">
      <c r="A54" s="114" t="s">
        <v>126</v>
      </c>
      <c r="B54" s="125"/>
      <c r="C54" s="73"/>
      <c r="D54" s="86"/>
      <c r="E54" s="87">
        <f>E49</f>
        <v>28349219.467401285</v>
      </c>
      <c r="F54" s="77" t="s">
        <v>128</v>
      </c>
      <c r="S54" s="13"/>
      <c r="T54" s="52"/>
    </row>
    <row r="55" spans="1:20" x14ac:dyDescent="0.25">
      <c r="A55" s="69"/>
      <c r="B55" s="73"/>
      <c r="C55" s="73"/>
      <c r="D55" s="86"/>
      <c r="E55" s="86"/>
      <c r="F55" s="69"/>
      <c r="S55" s="13"/>
      <c r="T55" s="52"/>
    </row>
    <row r="56" spans="1:20" x14ac:dyDescent="0.25">
      <c r="A56" s="114" t="s">
        <v>127</v>
      </c>
      <c r="B56" s="69"/>
      <c r="C56" s="69"/>
      <c r="D56" s="69"/>
      <c r="E56" s="81">
        <f>+PMT(0.03375,50,-E52-E54,0)</f>
        <v>1494229.7284153434</v>
      </c>
      <c r="F56" s="69"/>
      <c r="S56" s="13"/>
      <c r="T56" s="52"/>
    </row>
    <row r="57" spans="1:20" x14ac:dyDescent="0.25">
      <c r="A57" s="69"/>
      <c r="B57" s="69"/>
      <c r="C57" s="69"/>
      <c r="D57" s="69"/>
      <c r="E57" s="69"/>
      <c r="F57" s="69"/>
      <c r="S57" s="13"/>
      <c r="T57" s="52"/>
    </row>
    <row r="58" spans="1:20" x14ac:dyDescent="0.25">
      <c r="A58" s="110" t="s">
        <v>67</v>
      </c>
      <c r="B58" s="126"/>
      <c r="C58" s="126"/>
      <c r="D58" s="86"/>
      <c r="E58" s="86">
        <f>N35+P30</f>
        <v>133603.6375092704</v>
      </c>
      <c r="F58" s="69"/>
      <c r="S58" s="13"/>
      <c r="T58" s="52"/>
    </row>
    <row r="59" spans="1:20" x14ac:dyDescent="0.25">
      <c r="A59" s="114"/>
      <c r="B59" s="73"/>
      <c r="C59" s="73"/>
      <c r="D59" s="86"/>
      <c r="E59" s="86"/>
      <c r="F59" s="69"/>
      <c r="S59" s="13"/>
      <c r="T59" s="52"/>
    </row>
    <row r="60" spans="1:20" x14ac:dyDescent="0.25">
      <c r="A60" s="110" t="s">
        <v>77</v>
      </c>
      <c r="B60" s="69"/>
      <c r="C60" s="69"/>
      <c r="D60" s="69"/>
      <c r="E60" s="103">
        <f>Y4</f>
        <v>4384</v>
      </c>
      <c r="F60" s="69"/>
      <c r="S60" s="13"/>
      <c r="T60" s="52"/>
    </row>
    <row r="61" spans="1:20" x14ac:dyDescent="0.25">
      <c r="A61" s="126"/>
      <c r="B61" s="73"/>
      <c r="C61" s="73"/>
      <c r="D61" s="86"/>
      <c r="E61" s="86"/>
      <c r="F61" s="69"/>
      <c r="S61" s="13"/>
      <c r="T61" s="52"/>
    </row>
    <row r="62" spans="1:20" x14ac:dyDescent="0.25">
      <c r="A62" s="114" t="s">
        <v>129</v>
      </c>
      <c r="B62" s="73"/>
      <c r="C62" s="73"/>
      <c r="D62" s="86"/>
      <c r="E62" s="86">
        <f>+(E56+E58)/E60</f>
        <v>371.31235536601594</v>
      </c>
      <c r="F62" s="69"/>
      <c r="S62" s="13"/>
      <c r="T62" s="52"/>
    </row>
    <row r="63" spans="1:20" x14ac:dyDescent="0.25">
      <c r="A63" s="69"/>
      <c r="B63" s="69"/>
      <c r="C63" s="69"/>
      <c r="D63" s="69"/>
      <c r="E63" s="69"/>
      <c r="F63" s="69"/>
    </row>
    <row r="64" spans="1:20" x14ac:dyDescent="0.25">
      <c r="A64" s="69"/>
      <c r="B64" s="69"/>
      <c r="C64" s="69"/>
      <c r="D64" s="69"/>
      <c r="E64" s="69"/>
      <c r="F64" s="69"/>
    </row>
    <row r="65" spans="1:6" x14ac:dyDescent="0.25">
      <c r="A65" s="69"/>
      <c r="B65" s="69"/>
      <c r="C65" s="69"/>
      <c r="D65" s="69"/>
      <c r="E65" s="69"/>
      <c r="F65" s="69"/>
    </row>
  </sheetData>
  <customSheetViews>
    <customSheetView guid="{0938481C-6147-45AE-A91B-B3C254F54487}" scale="70" showPageBreaks="1" printArea="1" hiddenColumns="1" view="pageLayout" topLeftCell="A20">
      <selection activeCell="E53" sqref="E53"/>
      <pageMargins left="0.7" right="0.7" top="0.75" bottom="0.75" header="0.3" footer="0.3"/>
      <pageSetup scale="58" orientation="landscape" r:id="rId1"/>
      <headerFooter>
        <oddFooter>&amp;LLA Basin Stormwater Conservation Study_Project Costs&amp;R&amp;D</oddFooter>
      </headerFooter>
    </customSheetView>
    <customSheetView guid="{DE980C82-6B2E-45C1-AD5F-2B41EFFE9ED0}" fitToPage="1">
      <selection activeCell="B23" sqref="B23:B24"/>
      <pageMargins left="0.75" right="0.75" top="0.5" bottom="0.5" header="0" footer="0"/>
      <pageSetup scale="27" fitToHeight="2" orientation="portrait" r:id="rId2"/>
      <headerFooter alignWithMargins="0"/>
    </customSheetView>
  </customSheetViews>
  <phoneticPr fontId="0" type="noConversion"/>
  <pageMargins left="0.7" right="0.7" top="0.75" bottom="0.75" header="0.3" footer="0.3"/>
  <pageSetup scale="58" orientation="landscape"/>
  <headerFooter>
    <oddFooter>&amp;LLA Basin Stormwater Conservation Study_Project Costs&amp;R&amp;D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7"/>
  <sheetViews>
    <sheetView zoomScaleNormal="100" zoomScalePageLayoutView="70" workbookViewId="0">
      <selection activeCell="A3" sqref="A3"/>
    </sheetView>
  </sheetViews>
  <sheetFormatPr defaultRowHeight="13.2" x14ac:dyDescent="0.25"/>
  <cols>
    <col min="1" max="1" width="54.6640625" customWidth="1"/>
    <col min="4" max="4" width="13.88671875" bestFit="1" customWidth="1"/>
    <col min="5" max="5" width="15.44140625" customWidth="1"/>
    <col min="10" max="11" width="8.88671875" hidden="1" customWidth="1"/>
    <col min="12" max="12" width="6.33203125" customWidth="1"/>
    <col min="13" max="13" width="17" customWidth="1"/>
    <col min="14" max="14" width="11.5546875" customWidth="1"/>
    <col min="15" max="15" width="11.88671875" customWidth="1"/>
    <col min="16" max="16" width="11.5546875" customWidth="1"/>
    <col min="17" max="17" width="13.33203125" customWidth="1"/>
    <col min="18" max="18" width="10.6640625" customWidth="1"/>
    <col min="19" max="19" width="15.44140625" customWidth="1"/>
    <col min="20" max="20" width="26.33203125" customWidth="1"/>
    <col min="22" max="22" width="28.6640625" customWidth="1"/>
  </cols>
  <sheetData>
    <row r="1" spans="1:26" x14ac:dyDescent="0.25">
      <c r="A1" s="1" t="s">
        <v>10</v>
      </c>
    </row>
    <row r="2" spans="1:26" ht="13.8" thickBot="1" x14ac:dyDescent="0.3">
      <c r="A2" s="1" t="s">
        <v>114</v>
      </c>
      <c r="L2" s="61"/>
      <c r="W2" s="61"/>
    </row>
    <row r="3" spans="1:26" x14ac:dyDescent="0.25">
      <c r="A3" s="16">
        <v>42275</v>
      </c>
      <c r="L3" s="61"/>
      <c r="S3" s="38" t="s">
        <v>31</v>
      </c>
      <c r="T3" s="38" t="s">
        <v>32</v>
      </c>
      <c r="U3" s="38" t="s">
        <v>33</v>
      </c>
      <c r="V3" s="38" t="s">
        <v>34</v>
      </c>
      <c r="W3" s="38" t="s">
        <v>35</v>
      </c>
      <c r="X3" s="38" t="s">
        <v>36</v>
      </c>
      <c r="Y3" s="38" t="s">
        <v>77</v>
      </c>
      <c r="Z3" s="38" t="s">
        <v>37</v>
      </c>
    </row>
    <row r="4" spans="1:26" ht="13.8" thickBot="1" x14ac:dyDescent="0.3">
      <c r="L4" s="61"/>
      <c r="S4" s="41"/>
      <c r="T4" s="41"/>
      <c r="U4" s="41"/>
      <c r="V4" s="41"/>
      <c r="W4" s="41"/>
      <c r="X4" s="41"/>
      <c r="Y4" s="60"/>
      <c r="Z4" s="41"/>
    </row>
    <row r="5" spans="1:26" ht="13.8" thickBot="1" x14ac:dyDescent="0.3">
      <c r="A5" s="19" t="s">
        <v>41</v>
      </c>
      <c r="B5" s="20"/>
      <c r="C5" s="20"/>
      <c r="D5" s="20"/>
      <c r="E5" s="20"/>
      <c r="L5" s="61"/>
      <c r="M5" s="61"/>
      <c r="N5" s="61"/>
      <c r="O5" s="61"/>
      <c r="P5" s="61"/>
      <c r="Q5" s="61"/>
      <c r="R5" s="61"/>
      <c r="S5" t="s">
        <v>41</v>
      </c>
      <c r="T5">
        <v>17.5</v>
      </c>
      <c r="U5">
        <v>3673.2</v>
      </c>
      <c r="V5">
        <v>12.3</v>
      </c>
      <c r="W5">
        <v>1.2</v>
      </c>
      <c r="X5">
        <v>10</v>
      </c>
      <c r="Y5">
        <v>1668</v>
      </c>
      <c r="Z5">
        <v>45</v>
      </c>
    </row>
    <row r="6" spans="1:26" x14ac:dyDescent="0.25">
      <c r="L6" s="61"/>
      <c r="W6" s="61"/>
    </row>
    <row r="7" spans="1:26" x14ac:dyDescent="0.25">
      <c r="A7" s="1" t="s">
        <v>0</v>
      </c>
      <c r="B7" s="3" t="s">
        <v>1</v>
      </c>
      <c r="C7" s="3" t="s">
        <v>2</v>
      </c>
      <c r="D7" s="4" t="s">
        <v>3</v>
      </c>
      <c r="E7" s="4" t="s">
        <v>4</v>
      </c>
      <c r="L7" s="61"/>
      <c r="M7" s="61"/>
      <c r="N7" s="61"/>
      <c r="O7" s="61"/>
      <c r="P7" s="61"/>
      <c r="Q7" s="61"/>
      <c r="R7" s="61"/>
      <c r="S7" s="61"/>
      <c r="T7" s="61"/>
      <c r="U7" s="61"/>
      <c r="V7" s="61"/>
      <c r="W7" s="61"/>
      <c r="X7" s="61"/>
    </row>
    <row r="8" spans="1:26" x14ac:dyDescent="0.25">
      <c r="A8" s="1"/>
      <c r="B8" s="1"/>
      <c r="C8" s="1"/>
      <c r="D8" s="5"/>
      <c r="E8" s="5"/>
      <c r="L8" s="61"/>
      <c r="M8" s="61"/>
      <c r="N8" s="61"/>
      <c r="O8" s="61"/>
      <c r="P8" s="61"/>
      <c r="Q8" s="61"/>
      <c r="R8" s="61"/>
      <c r="S8" s="61"/>
      <c r="T8" s="61"/>
      <c r="U8" s="61"/>
      <c r="V8" s="61"/>
      <c r="W8" s="61"/>
      <c r="X8" s="61"/>
    </row>
    <row r="9" spans="1:26" x14ac:dyDescent="0.25">
      <c r="A9" s="17" t="s">
        <v>11</v>
      </c>
      <c r="B9" s="7"/>
      <c r="C9" s="7"/>
      <c r="D9" s="8"/>
      <c r="E9" s="8"/>
    </row>
    <row r="10" spans="1:26" ht="12.75" customHeight="1" x14ac:dyDescent="0.25">
      <c r="A10" s="12" t="s">
        <v>13</v>
      </c>
      <c r="B10" s="73">
        <v>1</v>
      </c>
      <c r="C10" s="73" t="s">
        <v>5</v>
      </c>
      <c r="D10" s="86">
        <v>150000</v>
      </c>
      <c r="E10" s="87">
        <f>+B10*D10</f>
        <v>150000</v>
      </c>
      <c r="F10" s="69"/>
      <c r="G10" s="69"/>
      <c r="H10" s="69"/>
    </row>
    <row r="11" spans="1:26" x14ac:dyDescent="0.25">
      <c r="A11" s="12" t="s">
        <v>14</v>
      </c>
      <c r="B11" s="73">
        <v>200</v>
      </c>
      <c r="C11" s="73" t="s">
        <v>6</v>
      </c>
      <c r="D11" s="86">
        <f>25*(3*N16^2+M16*N16)/27</f>
        <v>324.07407407407408</v>
      </c>
      <c r="E11" s="87">
        <f>+B11*D11</f>
        <v>64814.814814814818</v>
      </c>
      <c r="F11" s="77" t="s">
        <v>130</v>
      </c>
      <c r="G11" s="69"/>
      <c r="H11" s="69"/>
      <c r="M11" s="46" t="s">
        <v>54</v>
      </c>
      <c r="S11" s="30"/>
      <c r="T11" s="42"/>
    </row>
    <row r="12" spans="1:26" x14ac:dyDescent="0.25">
      <c r="A12" s="100" t="s">
        <v>7</v>
      </c>
      <c r="B12" s="101"/>
      <c r="C12" s="101"/>
      <c r="D12" s="102"/>
      <c r="E12" s="102">
        <f>SUM(E10:E11)</f>
        <v>214814.81481481483</v>
      </c>
      <c r="F12" s="69"/>
      <c r="G12" s="69"/>
      <c r="H12" s="69"/>
    </row>
    <row r="13" spans="1:26" x14ac:dyDescent="0.25">
      <c r="A13" s="69"/>
      <c r="B13" s="89"/>
      <c r="C13" s="89"/>
      <c r="D13" s="87"/>
      <c r="E13" s="87"/>
      <c r="F13" s="69"/>
      <c r="G13" s="69"/>
      <c r="H13" s="69"/>
      <c r="M13" s="43" t="s">
        <v>44</v>
      </c>
      <c r="N13" s="43" t="s">
        <v>45</v>
      </c>
      <c r="O13" s="43" t="s">
        <v>43</v>
      </c>
      <c r="P13" s="43" t="s">
        <v>48</v>
      </c>
      <c r="Q13" s="43"/>
      <c r="S13" s="13"/>
      <c r="T13" s="52"/>
    </row>
    <row r="14" spans="1:26" x14ac:dyDescent="0.25">
      <c r="A14" s="82" t="s">
        <v>12</v>
      </c>
      <c r="B14" s="83"/>
      <c r="C14" s="83"/>
      <c r="D14" s="84"/>
      <c r="E14" s="84"/>
      <c r="F14" s="69"/>
      <c r="G14" s="69"/>
      <c r="H14" s="69"/>
      <c r="M14" s="43" t="s">
        <v>46</v>
      </c>
      <c r="N14" s="43" t="s">
        <v>46</v>
      </c>
      <c r="O14" s="43" t="s">
        <v>47</v>
      </c>
      <c r="P14" s="43" t="s">
        <v>46</v>
      </c>
      <c r="Q14" s="43"/>
      <c r="S14" s="13"/>
      <c r="T14" s="52"/>
    </row>
    <row r="15" spans="1:26" x14ac:dyDescent="0.25">
      <c r="A15" s="12" t="s">
        <v>15</v>
      </c>
      <c r="B15" s="85">
        <f>+O23</f>
        <v>143675.85601739603</v>
      </c>
      <c r="C15" s="74" t="s">
        <v>29</v>
      </c>
      <c r="D15" s="86">
        <v>25</v>
      </c>
      <c r="E15" s="87">
        <f>+B15*D15</f>
        <v>3591896.4004349005</v>
      </c>
      <c r="F15" s="69"/>
      <c r="G15" s="69"/>
      <c r="H15" s="69"/>
      <c r="M15" s="13"/>
      <c r="N15" s="13"/>
      <c r="O15" s="13"/>
      <c r="S15" s="13"/>
      <c r="T15" s="52"/>
    </row>
    <row r="16" spans="1:26" x14ac:dyDescent="0.25">
      <c r="A16" s="12" t="s">
        <v>16</v>
      </c>
      <c r="B16" s="85">
        <f>+U5</f>
        <v>3673.2</v>
      </c>
      <c r="C16" s="74" t="s">
        <v>6</v>
      </c>
      <c r="D16" s="86">
        <v>100</v>
      </c>
      <c r="E16" s="87">
        <f>+B16*D16</f>
        <v>367320</v>
      </c>
      <c r="F16" s="77"/>
      <c r="G16" s="69"/>
      <c r="H16" s="69"/>
      <c r="M16" s="13">
        <v>5</v>
      </c>
      <c r="N16" s="13">
        <v>10</v>
      </c>
      <c r="O16" s="44">
        <f>+Z5/3</f>
        <v>15</v>
      </c>
      <c r="P16" s="45">
        <f>(-M16+SQRT(M16^2+4*3*O16))/2/3</f>
        <v>1.5529701772127256</v>
      </c>
      <c r="S16" s="13"/>
      <c r="T16" s="52"/>
    </row>
    <row r="17" spans="1:20" x14ac:dyDescent="0.25">
      <c r="A17" s="12" t="s">
        <v>28</v>
      </c>
      <c r="B17" s="85">
        <f>+U5</f>
        <v>3673.2</v>
      </c>
      <c r="C17" s="74" t="s">
        <v>6</v>
      </c>
      <c r="D17" s="86">
        <v>25</v>
      </c>
      <c r="E17" s="87">
        <f>+B17*D17</f>
        <v>91830</v>
      </c>
      <c r="F17" s="77" t="s">
        <v>30</v>
      </c>
      <c r="G17" s="69"/>
      <c r="H17" s="69"/>
      <c r="S17" s="13"/>
      <c r="T17" s="52"/>
    </row>
    <row r="18" spans="1:20" x14ac:dyDescent="0.25">
      <c r="A18" s="100" t="s">
        <v>7</v>
      </c>
      <c r="B18" s="101"/>
      <c r="C18" s="101"/>
      <c r="D18" s="102"/>
      <c r="E18" s="102">
        <f>SUM(E15:E17)</f>
        <v>4051046.4004349005</v>
      </c>
      <c r="F18" s="69"/>
      <c r="G18" s="69"/>
      <c r="H18" s="69"/>
      <c r="M18" s="46" t="s">
        <v>51</v>
      </c>
      <c r="S18" s="13"/>
      <c r="T18" s="52"/>
    </row>
    <row r="19" spans="1:20" x14ac:dyDescent="0.25">
      <c r="A19" s="69"/>
      <c r="B19" s="89"/>
      <c r="C19" s="89"/>
      <c r="D19" s="87"/>
      <c r="E19" s="87"/>
      <c r="F19" s="69"/>
      <c r="G19" s="69"/>
      <c r="H19" s="69"/>
      <c r="S19" s="13"/>
      <c r="T19" s="52"/>
    </row>
    <row r="20" spans="1:20" x14ac:dyDescent="0.25">
      <c r="A20" s="82" t="s">
        <v>19</v>
      </c>
      <c r="B20" s="88"/>
      <c r="C20" s="88"/>
      <c r="D20" s="84"/>
      <c r="E20" s="84"/>
      <c r="F20" s="69"/>
      <c r="G20" s="69"/>
      <c r="H20" s="69"/>
      <c r="M20" s="43" t="s">
        <v>49</v>
      </c>
      <c r="N20" s="43" t="s">
        <v>50</v>
      </c>
      <c r="O20" s="43" t="s">
        <v>52</v>
      </c>
      <c r="P20" s="13"/>
      <c r="S20" s="13"/>
      <c r="T20" s="52"/>
    </row>
    <row r="21" spans="1:20" x14ac:dyDescent="0.25">
      <c r="A21" s="12" t="s">
        <v>17</v>
      </c>
      <c r="B21" s="89">
        <f>+W5</f>
        <v>1.2</v>
      </c>
      <c r="C21" s="74" t="s">
        <v>18</v>
      </c>
      <c r="D21" s="86">
        <v>35000</v>
      </c>
      <c r="E21" s="86">
        <f t="shared" ref="E21" si="0">+B21*D21</f>
        <v>42000</v>
      </c>
      <c r="F21" s="69"/>
      <c r="G21" s="69"/>
      <c r="H21" s="69"/>
      <c r="M21" s="43" t="s">
        <v>47</v>
      </c>
      <c r="N21" s="43" t="s">
        <v>46</v>
      </c>
      <c r="O21" s="43" t="s">
        <v>53</v>
      </c>
      <c r="P21" s="13"/>
      <c r="S21" s="13"/>
      <c r="T21" s="52"/>
    </row>
    <row r="22" spans="1:20" x14ac:dyDescent="0.25">
      <c r="A22" s="100" t="s">
        <v>7</v>
      </c>
      <c r="B22" s="101"/>
      <c r="C22" s="101"/>
      <c r="D22" s="102"/>
      <c r="E22" s="102">
        <f>SUM(E21:E21)</f>
        <v>42000</v>
      </c>
      <c r="F22" s="69"/>
      <c r="G22" s="69"/>
      <c r="H22" s="69"/>
      <c r="M22" s="13"/>
      <c r="N22" s="13"/>
      <c r="O22" s="13"/>
      <c r="P22" s="13"/>
      <c r="S22" s="13"/>
      <c r="T22" s="52"/>
    </row>
    <row r="23" spans="1:20" x14ac:dyDescent="0.25">
      <c r="A23" s="12"/>
      <c r="B23" s="73"/>
      <c r="C23" s="73"/>
      <c r="D23" s="86"/>
      <c r="E23" s="87"/>
      <c r="F23" s="69"/>
      <c r="G23" s="69"/>
      <c r="H23" s="69"/>
      <c r="M23" s="13">
        <f>+V5*66*660</f>
        <v>535788</v>
      </c>
      <c r="N23" s="44">
        <f>+SQRT(M23)</f>
        <v>731.97540942302157</v>
      </c>
      <c r="O23" s="24">
        <f>10/3*(N23^2+(N23+60)^2+SQRT(N23*(N23+60)))/27</f>
        <v>143675.85601739603</v>
      </c>
      <c r="P23" s="13"/>
      <c r="S23" s="13"/>
      <c r="T23" s="52"/>
    </row>
    <row r="24" spans="1:20" x14ac:dyDescent="0.25">
      <c r="A24" s="29" t="s">
        <v>20</v>
      </c>
      <c r="B24" s="88"/>
      <c r="C24" s="88"/>
      <c r="D24" s="84"/>
      <c r="E24" s="84"/>
      <c r="F24" s="69"/>
      <c r="G24" s="69"/>
      <c r="H24" s="69"/>
      <c r="M24" s="13"/>
      <c r="N24" s="13"/>
      <c r="O24" s="13"/>
      <c r="P24" s="13"/>
      <c r="S24" s="13"/>
      <c r="T24" s="52"/>
    </row>
    <row r="25" spans="1:20" x14ac:dyDescent="0.25">
      <c r="A25" s="31" t="s">
        <v>21</v>
      </c>
      <c r="B25" s="128">
        <f>+U5</f>
        <v>3673.2</v>
      </c>
      <c r="C25" s="117" t="s">
        <v>6</v>
      </c>
      <c r="D25" s="119">
        <v>25</v>
      </c>
      <c r="E25" s="84">
        <f>+B25*D25</f>
        <v>91830</v>
      </c>
      <c r="F25" s="69"/>
      <c r="G25" s="69"/>
      <c r="H25" s="69"/>
      <c r="M25" s="48" t="s">
        <v>78</v>
      </c>
      <c r="N25" s="13"/>
      <c r="O25" s="13"/>
      <c r="P25" s="13"/>
      <c r="S25" s="13"/>
      <c r="T25" s="52"/>
    </row>
    <row r="26" spans="1:20" x14ac:dyDescent="0.25">
      <c r="A26" s="69" t="s">
        <v>7</v>
      </c>
      <c r="B26" s="89"/>
      <c r="C26" s="89"/>
      <c r="D26" s="87"/>
      <c r="E26" s="87">
        <f>SUM(E25)</f>
        <v>91830</v>
      </c>
      <c r="F26" s="69"/>
      <c r="G26" s="69"/>
      <c r="H26" s="69"/>
      <c r="M26" s="13"/>
      <c r="N26" s="13"/>
      <c r="O26" s="13"/>
      <c r="P26" s="13"/>
      <c r="S26" s="13"/>
      <c r="T26" s="52"/>
    </row>
    <row r="27" spans="1:20" x14ac:dyDescent="0.25">
      <c r="A27" s="69"/>
      <c r="B27" s="89"/>
      <c r="C27" s="89"/>
      <c r="D27" s="87"/>
      <c r="E27" s="87"/>
      <c r="F27" s="69"/>
      <c r="G27" s="69"/>
      <c r="H27" s="69"/>
      <c r="M27" s="49" t="s">
        <v>58</v>
      </c>
      <c r="N27" s="50"/>
      <c r="O27" s="43" t="s">
        <v>61</v>
      </c>
      <c r="P27" s="43" t="s">
        <v>63</v>
      </c>
      <c r="S27" s="13"/>
      <c r="T27" s="52"/>
    </row>
    <row r="28" spans="1:20" x14ac:dyDescent="0.25">
      <c r="A28" s="29" t="s">
        <v>79</v>
      </c>
      <c r="B28" s="88">
        <v>10</v>
      </c>
      <c r="C28" s="88" t="s">
        <v>8</v>
      </c>
      <c r="D28" s="113">
        <f>SUM(E10:E26)/2</f>
        <v>4399691.2152497154</v>
      </c>
      <c r="E28" s="84">
        <f>D28*B28/100</f>
        <v>439969.12152497156</v>
      </c>
      <c r="F28" s="77"/>
      <c r="G28" s="69"/>
      <c r="H28" s="69"/>
      <c r="M28" s="43" t="s">
        <v>59</v>
      </c>
      <c r="N28" s="43" t="s">
        <v>60</v>
      </c>
      <c r="O28" s="43" t="s">
        <v>62</v>
      </c>
      <c r="P28" s="43" t="s">
        <v>66</v>
      </c>
      <c r="S28" s="13"/>
      <c r="T28" s="52"/>
    </row>
    <row r="29" spans="1:20" x14ac:dyDescent="0.25">
      <c r="A29" s="77" t="s">
        <v>79</v>
      </c>
      <c r="B29" s="89"/>
      <c r="C29" s="89"/>
      <c r="D29" s="87"/>
      <c r="E29" s="87">
        <f>SUM(E28)</f>
        <v>439969.12152497156</v>
      </c>
      <c r="F29" s="69"/>
      <c r="G29" s="69"/>
      <c r="H29" s="69"/>
      <c r="M29" s="13"/>
      <c r="N29" s="13"/>
      <c r="O29" s="13"/>
      <c r="P29" s="13"/>
      <c r="S29" s="13"/>
      <c r="T29" s="52"/>
    </row>
    <row r="30" spans="1:20" x14ac:dyDescent="0.25">
      <c r="A30" s="69"/>
      <c r="B30" s="89"/>
      <c r="C30" s="89"/>
      <c r="D30" s="87"/>
      <c r="E30" s="87"/>
      <c r="F30" s="69"/>
      <c r="G30" s="69"/>
      <c r="H30" s="69"/>
      <c r="M30" s="13">
        <v>0</v>
      </c>
      <c r="N30" s="44">
        <f>0.746*M30*3*30.4*24</f>
        <v>0</v>
      </c>
      <c r="O30" s="51">
        <v>0.15</v>
      </c>
      <c r="P30" s="52">
        <f>+N30*O30</f>
        <v>0</v>
      </c>
      <c r="S30" s="13"/>
      <c r="T30" s="52"/>
    </row>
    <row r="31" spans="1:20" x14ac:dyDescent="0.25">
      <c r="A31" s="29" t="s">
        <v>9</v>
      </c>
      <c r="B31" s="88">
        <v>10</v>
      </c>
      <c r="C31" s="88" t="s">
        <v>8</v>
      </c>
      <c r="D31" s="113">
        <f>SUM(E10:E30)/2</f>
        <v>4839660.3367746864</v>
      </c>
      <c r="E31" s="84">
        <f>D31*B31/100</f>
        <v>483966.0336774686</v>
      </c>
      <c r="F31" s="69"/>
      <c r="G31" s="69"/>
      <c r="H31" s="69"/>
      <c r="M31" s="13"/>
      <c r="N31" s="13"/>
      <c r="O31" s="13"/>
      <c r="S31" s="13"/>
      <c r="T31" s="52"/>
    </row>
    <row r="32" spans="1:20" x14ac:dyDescent="0.25">
      <c r="A32" s="69" t="s">
        <v>7</v>
      </c>
      <c r="B32" s="89"/>
      <c r="C32" s="89"/>
      <c r="D32" s="87"/>
      <c r="E32" s="87">
        <f>SUM(E31)</f>
        <v>483966.0336774686</v>
      </c>
      <c r="F32" s="69"/>
      <c r="G32" s="69"/>
      <c r="H32" s="69"/>
      <c r="M32" s="43" t="s">
        <v>64</v>
      </c>
      <c r="N32" s="43" t="s">
        <v>63</v>
      </c>
      <c r="O32" s="43" t="s">
        <v>68</v>
      </c>
      <c r="Q32" s="43"/>
      <c r="S32" s="13"/>
      <c r="T32" s="52"/>
    </row>
    <row r="33" spans="1:20" x14ac:dyDescent="0.25">
      <c r="A33" s="69"/>
      <c r="B33" s="89"/>
      <c r="C33" s="89"/>
      <c r="D33" s="87"/>
      <c r="E33" s="87"/>
      <c r="F33" s="69"/>
      <c r="G33" s="69"/>
      <c r="H33" s="69"/>
      <c r="M33" s="43" t="s">
        <v>65</v>
      </c>
      <c r="N33" s="43" t="s">
        <v>66</v>
      </c>
      <c r="O33" s="43" t="s">
        <v>69</v>
      </c>
      <c r="Q33" s="43"/>
      <c r="S33" s="13"/>
      <c r="T33" s="52"/>
    </row>
    <row r="34" spans="1:20" x14ac:dyDescent="0.25">
      <c r="A34" s="29" t="s">
        <v>23</v>
      </c>
      <c r="B34" s="88"/>
      <c r="C34" s="88"/>
      <c r="D34" s="86"/>
      <c r="E34" s="86"/>
      <c r="F34" s="69"/>
      <c r="G34" s="69"/>
      <c r="H34" s="69"/>
      <c r="M34" s="13"/>
      <c r="N34" s="13"/>
      <c r="O34" s="13"/>
      <c r="S34" s="13"/>
      <c r="T34" s="52"/>
    </row>
    <row r="35" spans="1:20" x14ac:dyDescent="0.25">
      <c r="A35" s="71" t="s">
        <v>116</v>
      </c>
      <c r="B35" s="72">
        <v>10</v>
      </c>
      <c r="C35" s="72" t="s">
        <v>8</v>
      </c>
      <c r="D35" s="92">
        <f>SUM(E10:E32)/2</f>
        <v>5323626.3704521544</v>
      </c>
      <c r="E35" s="102">
        <f>D35*B35/100</f>
        <v>532362.63704521547</v>
      </c>
      <c r="F35" s="69"/>
      <c r="G35" s="69"/>
      <c r="H35" s="69"/>
      <c r="M35" s="53">
        <v>0.05</v>
      </c>
      <c r="N35" s="52">
        <f>+M35*SUM(E10:E32)/2</f>
        <v>266181.31852260773</v>
      </c>
      <c r="O35" s="13">
        <v>50</v>
      </c>
      <c r="Q35" s="2"/>
      <c r="S35" s="13"/>
      <c r="T35" s="52"/>
    </row>
    <row r="36" spans="1:20" x14ac:dyDescent="0.25">
      <c r="A36" s="12" t="s">
        <v>121</v>
      </c>
      <c r="B36" s="73">
        <v>15</v>
      </c>
      <c r="C36" s="74" t="s">
        <v>8</v>
      </c>
      <c r="D36" s="94">
        <f>SUM(E10:E32)/2</f>
        <v>5323626.3704521544</v>
      </c>
      <c r="E36" s="86">
        <f>D36*B36/100</f>
        <v>798543.95556782326</v>
      </c>
      <c r="F36" s="69"/>
      <c r="G36" s="69"/>
      <c r="H36" s="69"/>
      <c r="S36" s="13"/>
      <c r="T36" s="52"/>
    </row>
    <row r="37" spans="1:20" x14ac:dyDescent="0.25">
      <c r="A37" s="12" t="s">
        <v>57</v>
      </c>
      <c r="B37" s="73">
        <v>11</v>
      </c>
      <c r="C37" s="74" t="s">
        <v>8</v>
      </c>
      <c r="D37" s="94">
        <f>SUM(E10:E32)/2 + SUM(D35:D36) + SUM(D38:D40)</f>
        <v>31941758.222712927</v>
      </c>
      <c r="E37" s="86">
        <f t="shared" ref="E37" si="1">D37*B37/100</f>
        <v>3513593.4044984221</v>
      </c>
      <c r="F37" s="69"/>
      <c r="G37" s="69"/>
      <c r="H37" s="69"/>
      <c r="S37" s="13"/>
      <c r="T37" s="52"/>
    </row>
    <row r="38" spans="1:20" x14ac:dyDescent="0.25">
      <c r="A38" s="12" t="s">
        <v>24</v>
      </c>
      <c r="B38" s="73">
        <v>5</v>
      </c>
      <c r="C38" s="74" t="s">
        <v>8</v>
      </c>
      <c r="D38" s="94">
        <f>SUM(E10:E32)/2</f>
        <v>5323626.3704521544</v>
      </c>
      <c r="E38" s="86">
        <f t="shared" ref="E38:E40" si="2">D38*B38/100</f>
        <v>266181.31852260773</v>
      </c>
      <c r="F38" s="69"/>
      <c r="G38" s="69"/>
      <c r="H38" s="69"/>
      <c r="S38" s="13"/>
      <c r="T38" s="52"/>
    </row>
    <row r="39" spans="1:20" x14ac:dyDescent="0.25">
      <c r="A39" s="12" t="s">
        <v>25</v>
      </c>
      <c r="B39" s="73">
        <v>10</v>
      </c>
      <c r="C39" s="74" t="s">
        <v>8</v>
      </c>
      <c r="D39" s="94">
        <f>SUM(E10:E32)/2</f>
        <v>5323626.3704521544</v>
      </c>
      <c r="E39" s="86">
        <f t="shared" si="2"/>
        <v>532362.63704521547</v>
      </c>
      <c r="F39" s="69"/>
      <c r="G39" s="69"/>
      <c r="H39" s="69"/>
      <c r="S39" s="13"/>
      <c r="T39" s="52"/>
    </row>
    <row r="40" spans="1:20" x14ac:dyDescent="0.25">
      <c r="A40" s="18" t="s">
        <v>26</v>
      </c>
      <c r="B40" s="88">
        <v>10</v>
      </c>
      <c r="C40" s="112" t="s">
        <v>8</v>
      </c>
      <c r="D40" s="113">
        <f>SUM(E10:E32)/2</f>
        <v>5323626.3704521544</v>
      </c>
      <c r="E40" s="84">
        <f t="shared" si="2"/>
        <v>532362.63704521547</v>
      </c>
      <c r="F40" s="69"/>
      <c r="G40" s="69"/>
      <c r="H40" s="69"/>
      <c r="S40" s="13"/>
      <c r="T40" s="52"/>
    </row>
    <row r="41" spans="1:20" x14ac:dyDescent="0.25">
      <c r="A41" s="69" t="s">
        <v>7</v>
      </c>
      <c r="B41" s="89"/>
      <c r="C41" s="89"/>
      <c r="D41" s="87"/>
      <c r="E41" s="87">
        <f>SUM(E35:E40)</f>
        <v>6175406.5897244997</v>
      </c>
      <c r="F41" s="69"/>
      <c r="G41" s="69"/>
      <c r="H41" s="69"/>
      <c r="S41" s="13"/>
      <c r="T41" s="52"/>
    </row>
    <row r="42" spans="1:20" x14ac:dyDescent="0.25">
      <c r="A42" s="69"/>
      <c r="B42" s="89"/>
      <c r="C42" s="89"/>
      <c r="D42" s="87"/>
      <c r="E42" s="87"/>
      <c r="F42" s="69"/>
      <c r="G42" s="69"/>
      <c r="H42" s="69"/>
      <c r="S42" s="13"/>
      <c r="T42" s="52"/>
    </row>
    <row r="43" spans="1:20" x14ac:dyDescent="0.25">
      <c r="A43" s="29" t="s">
        <v>27</v>
      </c>
      <c r="B43" s="96"/>
      <c r="C43" s="96"/>
      <c r="D43" s="116"/>
      <c r="E43" s="116"/>
      <c r="F43" s="69"/>
      <c r="G43" s="69"/>
      <c r="H43" s="69"/>
      <c r="S43" s="13"/>
      <c r="T43" s="52"/>
    </row>
    <row r="44" spans="1:20" x14ac:dyDescent="0.25">
      <c r="A44" s="31" t="s">
        <v>27</v>
      </c>
      <c r="B44" s="97">
        <v>30</v>
      </c>
      <c r="C44" s="117" t="s">
        <v>8</v>
      </c>
      <c r="D44" s="118">
        <f>SUM(E10:E41)/2</f>
        <v>11499032.960176654</v>
      </c>
      <c r="E44" s="119">
        <f>D44*B44/100</f>
        <v>3449709.8880529962</v>
      </c>
      <c r="F44" s="69"/>
      <c r="G44" s="69"/>
      <c r="H44" s="69"/>
      <c r="S44" s="13"/>
      <c r="T44" s="52"/>
    </row>
    <row r="45" spans="1:20" x14ac:dyDescent="0.25">
      <c r="A45" s="69" t="s">
        <v>7</v>
      </c>
      <c r="B45" s="89"/>
      <c r="C45" s="89"/>
      <c r="D45" s="87"/>
      <c r="E45" s="87">
        <f>SUM(E44)</f>
        <v>3449709.8880529962</v>
      </c>
      <c r="F45" s="69"/>
      <c r="G45" s="69"/>
      <c r="H45" s="69"/>
      <c r="S45" s="13"/>
      <c r="T45" s="52"/>
    </row>
    <row r="46" spans="1:20" x14ac:dyDescent="0.25">
      <c r="A46" s="69"/>
      <c r="B46" s="69"/>
      <c r="C46" s="69"/>
      <c r="D46" s="69"/>
      <c r="E46" s="69"/>
      <c r="F46" s="69"/>
      <c r="G46" s="69"/>
      <c r="H46" s="69"/>
      <c r="S46" s="13"/>
      <c r="T46" s="52"/>
    </row>
    <row r="47" spans="1:20" x14ac:dyDescent="0.25">
      <c r="A47" s="29" t="s">
        <v>123</v>
      </c>
      <c r="B47" s="96"/>
      <c r="C47" s="96"/>
      <c r="D47" s="116"/>
      <c r="E47" s="116"/>
      <c r="F47" s="77" t="s">
        <v>124</v>
      </c>
      <c r="G47" s="69"/>
      <c r="H47" s="69"/>
      <c r="S47" s="13"/>
      <c r="T47" s="52"/>
    </row>
    <row r="48" spans="1:20" x14ac:dyDescent="0.25">
      <c r="A48" s="18" t="s">
        <v>22</v>
      </c>
      <c r="B48" s="120">
        <f>65*B11/66/660 + T5</f>
        <v>17.798438934802572</v>
      </c>
      <c r="C48" s="112" t="s">
        <v>18</v>
      </c>
      <c r="D48" s="121">
        <v>500000</v>
      </c>
      <c r="E48" s="121">
        <f>B48*D48</f>
        <v>8899219.4674012866</v>
      </c>
      <c r="F48" s="77" t="s">
        <v>110</v>
      </c>
      <c r="G48" s="69"/>
      <c r="H48" s="69"/>
      <c r="S48" s="13"/>
      <c r="T48" s="52"/>
    </row>
    <row r="49" spans="1:20" x14ac:dyDescent="0.25">
      <c r="A49" s="77" t="s">
        <v>7</v>
      </c>
      <c r="B49" s="91"/>
      <c r="C49" s="91"/>
      <c r="D49" s="122"/>
      <c r="E49" s="122">
        <f>SUM(E48)</f>
        <v>8899219.4674012866</v>
      </c>
      <c r="F49" s="77" t="s">
        <v>100</v>
      </c>
      <c r="G49" s="69"/>
      <c r="H49" s="69"/>
      <c r="S49" s="13"/>
      <c r="T49" s="52"/>
    </row>
    <row r="50" spans="1:20" x14ac:dyDescent="0.25">
      <c r="A50" s="69"/>
      <c r="B50" s="69"/>
      <c r="C50" s="69"/>
      <c r="D50" s="69"/>
      <c r="E50" s="69"/>
      <c r="F50" s="69"/>
      <c r="G50" s="69"/>
      <c r="H50" s="69"/>
      <c r="S50" s="13"/>
      <c r="T50" s="52"/>
    </row>
    <row r="51" spans="1:20" x14ac:dyDescent="0.25">
      <c r="A51" s="69"/>
      <c r="B51" s="69"/>
      <c r="C51" s="69"/>
      <c r="D51" s="69"/>
      <c r="E51" s="69"/>
      <c r="F51" s="87"/>
      <c r="G51" s="69"/>
      <c r="H51" s="69"/>
      <c r="S51" s="13"/>
      <c r="T51" s="52"/>
    </row>
    <row r="52" spans="1:20" x14ac:dyDescent="0.25">
      <c r="A52" s="114" t="s">
        <v>125</v>
      </c>
      <c r="B52" s="73"/>
      <c r="C52" s="69"/>
      <c r="D52" s="89"/>
      <c r="E52" s="127">
        <f>SUM(E10:E45)/2</f>
        <v>14948742.84822965</v>
      </c>
      <c r="F52" s="69"/>
      <c r="G52" s="69"/>
      <c r="H52" s="69"/>
      <c r="S52" s="13"/>
      <c r="T52" s="52"/>
    </row>
    <row r="53" spans="1:20" x14ac:dyDescent="0.25">
      <c r="A53" s="69"/>
      <c r="B53" s="73"/>
      <c r="C53" s="73"/>
      <c r="D53" s="86"/>
      <c r="E53" s="124"/>
      <c r="F53" s="69"/>
      <c r="G53" s="69"/>
      <c r="H53" s="69"/>
      <c r="S53" s="13"/>
      <c r="T53" s="52"/>
    </row>
    <row r="54" spans="1:20" x14ac:dyDescent="0.25">
      <c r="A54" s="114" t="s">
        <v>126</v>
      </c>
      <c r="B54" s="125"/>
      <c r="C54" s="73"/>
      <c r="D54" s="86"/>
      <c r="E54" s="87">
        <f>E49</f>
        <v>8899219.4674012866</v>
      </c>
      <c r="F54" s="77" t="s">
        <v>128</v>
      </c>
      <c r="G54" s="69"/>
      <c r="H54" s="69"/>
      <c r="S54" s="13"/>
      <c r="T54" s="52"/>
    </row>
    <row r="55" spans="1:20" x14ac:dyDescent="0.25">
      <c r="A55" s="69"/>
      <c r="B55" s="73"/>
      <c r="C55" s="73"/>
      <c r="D55" s="86"/>
      <c r="E55" s="86"/>
      <c r="F55" s="69"/>
      <c r="G55" s="69"/>
      <c r="H55" s="69"/>
      <c r="S55" s="13"/>
      <c r="T55" s="52"/>
    </row>
    <row r="56" spans="1:20" x14ac:dyDescent="0.25">
      <c r="A56" s="114" t="s">
        <v>127</v>
      </c>
      <c r="B56" s="69"/>
      <c r="C56" s="69"/>
      <c r="D56" s="69"/>
      <c r="E56" s="81">
        <f>+PMT(0.03375,50,-E52-E54,0)</f>
        <v>993917.68759418058</v>
      </c>
      <c r="F56" s="69"/>
      <c r="G56" s="69"/>
      <c r="H56" s="69"/>
      <c r="S56" s="13"/>
      <c r="T56" s="52"/>
    </row>
    <row r="57" spans="1:20" x14ac:dyDescent="0.25">
      <c r="A57" s="69"/>
      <c r="B57" s="69"/>
      <c r="C57" s="69"/>
      <c r="D57" s="69"/>
      <c r="E57" s="69"/>
      <c r="F57" s="69"/>
      <c r="G57" s="69"/>
      <c r="H57" s="69"/>
      <c r="S57" s="13"/>
      <c r="T57" s="52"/>
    </row>
    <row r="58" spans="1:20" x14ac:dyDescent="0.25">
      <c r="A58" s="110" t="s">
        <v>67</v>
      </c>
      <c r="B58" s="126"/>
      <c r="C58" s="126"/>
      <c r="D58" s="86"/>
      <c r="E58" s="86">
        <f>N35+P30</f>
        <v>266181.31852260773</v>
      </c>
      <c r="F58" s="69"/>
      <c r="G58" s="69"/>
      <c r="H58" s="69"/>
      <c r="S58" s="13"/>
      <c r="T58" s="52"/>
    </row>
    <row r="59" spans="1:20" x14ac:dyDescent="0.25">
      <c r="A59" s="114"/>
      <c r="B59" s="73"/>
      <c r="C59" s="73"/>
      <c r="D59" s="86"/>
      <c r="E59" s="86"/>
      <c r="F59" s="69"/>
      <c r="G59" s="69"/>
      <c r="H59" s="69"/>
      <c r="S59" s="13"/>
      <c r="T59" s="52"/>
    </row>
    <row r="60" spans="1:20" x14ac:dyDescent="0.25">
      <c r="A60" s="110" t="s">
        <v>77</v>
      </c>
      <c r="B60" s="69"/>
      <c r="C60" s="69"/>
      <c r="D60" s="69"/>
      <c r="E60" s="103">
        <f>+Y5</f>
        <v>1668</v>
      </c>
      <c r="F60" s="69"/>
      <c r="G60" s="69"/>
      <c r="H60" s="69"/>
      <c r="S60" s="13"/>
      <c r="T60" s="52"/>
    </row>
    <row r="61" spans="1:20" x14ac:dyDescent="0.25">
      <c r="A61" s="126"/>
      <c r="B61" s="73"/>
      <c r="C61" s="73"/>
      <c r="D61" s="86"/>
      <c r="E61" s="86"/>
      <c r="F61" s="69"/>
      <c r="G61" s="69"/>
      <c r="H61" s="69"/>
      <c r="S61" s="13"/>
      <c r="T61" s="52"/>
    </row>
    <row r="62" spans="1:20" x14ac:dyDescent="0.25">
      <c r="A62" s="114" t="s">
        <v>129</v>
      </c>
      <c r="B62" s="73"/>
      <c r="C62" s="73"/>
      <c r="D62" s="86"/>
      <c r="E62" s="86">
        <f>+(E56+E58)/E60</f>
        <v>755.45503963836234</v>
      </c>
      <c r="F62" s="69"/>
      <c r="G62" s="69"/>
      <c r="H62" s="69"/>
      <c r="S62" s="13"/>
      <c r="T62" s="52"/>
    </row>
    <row r="63" spans="1:20" x14ac:dyDescent="0.25">
      <c r="A63" s="69"/>
      <c r="B63" s="69"/>
      <c r="C63" s="69"/>
      <c r="D63" s="69"/>
      <c r="E63" s="69"/>
      <c r="F63" s="69"/>
      <c r="G63" s="69"/>
      <c r="H63" s="69"/>
    </row>
    <row r="64" spans="1:20" x14ac:dyDescent="0.25">
      <c r="A64" s="69"/>
      <c r="B64" s="69"/>
      <c r="C64" s="69"/>
      <c r="D64" s="69"/>
      <c r="E64" s="69"/>
      <c r="F64" s="69"/>
      <c r="G64" s="69"/>
      <c r="H64" s="69"/>
    </row>
    <row r="65" spans="1:8" x14ac:dyDescent="0.25">
      <c r="A65" s="69"/>
      <c r="B65" s="69"/>
      <c r="C65" s="69"/>
      <c r="D65" s="69"/>
      <c r="E65" s="69"/>
      <c r="F65" s="69"/>
      <c r="G65" s="69"/>
      <c r="H65" s="69"/>
    </row>
    <row r="66" spans="1:8" x14ac:dyDescent="0.25">
      <c r="A66" s="69"/>
      <c r="B66" s="69"/>
      <c r="C66" s="69"/>
      <c r="D66" s="69"/>
      <c r="E66" s="69"/>
      <c r="F66" s="69"/>
      <c r="G66" s="69"/>
      <c r="H66" s="69"/>
    </row>
    <row r="67" spans="1:8" x14ac:dyDescent="0.25">
      <c r="A67" s="69"/>
      <c r="B67" s="69"/>
      <c r="C67" s="69"/>
      <c r="D67" s="69"/>
      <c r="E67" s="69"/>
      <c r="F67" s="69"/>
      <c r="G67" s="69"/>
      <c r="H67" s="69"/>
    </row>
  </sheetData>
  <customSheetViews>
    <customSheetView guid="{0938481C-6147-45AE-A91B-B3C254F54487}" scale="70" showPageBreaks="1" printArea="1" hiddenColumns="1" view="pageLayout" topLeftCell="A23">
      <selection activeCell="E54" sqref="E54"/>
      <pageMargins left="0.7" right="0.7" top="0.75" bottom="0.75" header="0.3" footer="0.3"/>
      <pageSetup scale="58" orientation="landscape" r:id="rId1"/>
      <headerFooter>
        <oddFooter>&amp;LLA Basin Stormwater Conservation Study_Project Costs&amp;R&amp;D</oddFooter>
      </headerFooter>
    </customSheetView>
    <customSheetView guid="{DE980C82-6B2E-45C1-AD5F-2B41EFFE9ED0}" fitToPage="1">
      <selection activeCell="B23" sqref="B23:B24"/>
      <pageMargins left="0.7" right="0.7" top="0.75" bottom="0.75" header="0.3" footer="0.3"/>
      <pageSetup scale="28" orientation="portrait" r:id="rId2"/>
    </customSheetView>
  </customSheetViews>
  <pageMargins left="0.7" right="0.7" top="0.75" bottom="0.75" header="0.3" footer="0.3"/>
  <pageSetup scale="58" orientation="landscape"/>
  <headerFooter>
    <oddFooter>&amp;LLA Basin Stormwater Conservation Study_Project Costs&amp;R&amp;D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0"/>
  <sheetViews>
    <sheetView zoomScaleNormal="100" zoomScalePageLayoutView="70" workbookViewId="0">
      <selection activeCell="A3" sqref="A3"/>
    </sheetView>
  </sheetViews>
  <sheetFormatPr defaultRowHeight="13.2" x14ac:dyDescent="0.25"/>
  <cols>
    <col min="1" max="1" width="54.6640625" customWidth="1"/>
    <col min="4" max="4" width="13.88671875" bestFit="1" customWidth="1"/>
    <col min="5" max="5" width="16.33203125" bestFit="1" customWidth="1"/>
    <col min="10" max="11" width="8.88671875" hidden="1" customWidth="1"/>
    <col min="12" max="12" width="6.33203125" customWidth="1"/>
    <col min="13" max="13" width="17" customWidth="1"/>
    <col min="14" max="14" width="12" bestFit="1" customWidth="1"/>
    <col min="15" max="15" width="11.88671875" customWidth="1"/>
    <col min="16" max="16" width="11.5546875" customWidth="1"/>
    <col min="17" max="17" width="11.88671875" customWidth="1"/>
    <col min="18" max="18" width="11.33203125" customWidth="1"/>
    <col min="19" max="19" width="15.44140625" customWidth="1"/>
    <col min="20" max="20" width="26.33203125" customWidth="1"/>
    <col min="21" max="21" width="17.6640625" customWidth="1"/>
    <col min="22" max="22" width="28.6640625" customWidth="1"/>
  </cols>
  <sheetData>
    <row r="1" spans="1:26" ht="13.8" thickBot="1" x14ac:dyDescent="0.3">
      <c r="A1" s="1" t="s">
        <v>10</v>
      </c>
    </row>
    <row r="2" spans="1:26" x14ac:dyDescent="0.25">
      <c r="A2" s="1" t="s">
        <v>114</v>
      </c>
      <c r="L2" s="61"/>
      <c r="S2" s="38" t="s">
        <v>31</v>
      </c>
      <c r="T2" s="38" t="s">
        <v>32</v>
      </c>
      <c r="U2" s="38" t="s">
        <v>33</v>
      </c>
      <c r="V2" s="38" t="s">
        <v>34</v>
      </c>
      <c r="W2" s="38" t="s">
        <v>35</v>
      </c>
      <c r="X2" s="38" t="s">
        <v>36</v>
      </c>
      <c r="Y2" s="38" t="s">
        <v>77</v>
      </c>
      <c r="Z2" s="38" t="s">
        <v>37</v>
      </c>
    </row>
    <row r="3" spans="1:26" ht="13.8" thickBot="1" x14ac:dyDescent="0.3">
      <c r="A3" s="16">
        <v>42275</v>
      </c>
      <c r="L3" s="61"/>
      <c r="S3" s="41"/>
      <c r="T3" s="41"/>
      <c r="U3" s="41"/>
      <c r="V3" s="41"/>
      <c r="W3" s="41"/>
      <c r="X3" s="41"/>
      <c r="Y3" s="60"/>
      <c r="Z3" s="41"/>
    </row>
    <row r="4" spans="1:26" x14ac:dyDescent="0.25">
      <c r="L4" s="61"/>
      <c r="S4" s="39" t="s">
        <v>42</v>
      </c>
      <c r="T4" s="61">
        <v>365.4</v>
      </c>
      <c r="U4" s="61">
        <v>11306.7</v>
      </c>
      <c r="V4" s="61">
        <v>219.3</v>
      </c>
      <c r="W4" s="61">
        <v>21.9</v>
      </c>
      <c r="X4" s="61">
        <v>10</v>
      </c>
      <c r="Y4" s="61">
        <v>11559</v>
      </c>
      <c r="Z4" s="61">
        <v>2400</v>
      </c>
    </row>
    <row r="5" spans="1:26" ht="13.8" thickBot="1" x14ac:dyDescent="0.3">
      <c r="A5" s="19" t="s">
        <v>103</v>
      </c>
      <c r="B5" s="20"/>
      <c r="C5" s="20"/>
      <c r="D5" s="20"/>
      <c r="E5" s="20"/>
      <c r="L5" s="61"/>
      <c r="M5" s="61"/>
      <c r="N5" s="61"/>
      <c r="O5" s="61"/>
      <c r="P5" s="61"/>
      <c r="Q5" s="61"/>
      <c r="R5" s="61"/>
      <c r="S5" s="61"/>
      <c r="T5" s="61"/>
      <c r="U5" s="61"/>
      <c r="W5" s="61"/>
    </row>
    <row r="6" spans="1:26" x14ac:dyDescent="0.25">
      <c r="A6" s="69"/>
      <c r="B6" s="69"/>
      <c r="C6" s="69"/>
      <c r="D6" s="69"/>
      <c r="E6" s="69"/>
      <c r="F6" s="69"/>
      <c r="G6" s="69"/>
      <c r="L6" s="61"/>
      <c r="M6" s="61"/>
      <c r="N6" s="61"/>
      <c r="O6" s="61"/>
      <c r="P6" s="61"/>
      <c r="Q6" s="61"/>
      <c r="R6" s="61"/>
      <c r="S6" s="61"/>
      <c r="T6" s="61"/>
      <c r="U6" s="61"/>
      <c r="W6" s="61"/>
    </row>
    <row r="7" spans="1:26" x14ac:dyDescent="0.25">
      <c r="A7" s="110" t="s">
        <v>0</v>
      </c>
      <c r="B7" s="129" t="s">
        <v>1</v>
      </c>
      <c r="C7" s="129" t="s">
        <v>2</v>
      </c>
      <c r="D7" s="130" t="s">
        <v>3</v>
      </c>
      <c r="E7" s="130" t="s">
        <v>4</v>
      </c>
      <c r="F7" s="69"/>
      <c r="G7" s="69"/>
      <c r="L7" s="61"/>
      <c r="W7" s="61"/>
    </row>
    <row r="8" spans="1:26" x14ac:dyDescent="0.25">
      <c r="A8" s="110"/>
      <c r="B8" s="110"/>
      <c r="C8" s="110"/>
      <c r="D8" s="111"/>
      <c r="E8" s="111"/>
      <c r="F8" s="69"/>
      <c r="G8" s="69"/>
      <c r="L8" s="61"/>
      <c r="M8" s="61"/>
      <c r="N8" s="61"/>
      <c r="O8" s="61"/>
      <c r="P8" s="61"/>
      <c r="Q8" s="61"/>
      <c r="R8" s="61"/>
      <c r="S8" s="61"/>
      <c r="T8" s="61"/>
      <c r="U8" s="61"/>
      <c r="V8" s="61"/>
      <c r="W8" s="61"/>
    </row>
    <row r="9" spans="1:26" x14ac:dyDescent="0.25">
      <c r="A9" s="82" t="s">
        <v>11</v>
      </c>
      <c r="B9" s="83"/>
      <c r="C9" s="83"/>
      <c r="D9" s="84"/>
      <c r="E9" s="84"/>
      <c r="F9" s="69"/>
      <c r="G9" s="69"/>
    </row>
    <row r="10" spans="1:26" ht="12.75" customHeight="1" x14ac:dyDescent="0.25">
      <c r="A10" s="12" t="s">
        <v>56</v>
      </c>
      <c r="B10" s="73">
        <v>1</v>
      </c>
      <c r="C10" s="74" t="s">
        <v>5</v>
      </c>
      <c r="D10" s="86">
        <v>150000</v>
      </c>
      <c r="E10" s="87">
        <f>+B10*D10</f>
        <v>150000</v>
      </c>
      <c r="F10" s="69"/>
      <c r="G10" s="69"/>
    </row>
    <row r="11" spans="1:26" x14ac:dyDescent="0.25">
      <c r="A11" s="12" t="s">
        <v>14</v>
      </c>
      <c r="B11" s="73">
        <v>200</v>
      </c>
      <c r="C11" s="73" t="s">
        <v>6</v>
      </c>
      <c r="D11" s="86">
        <f>25*(3*N16^2+M16*N16)/27</f>
        <v>555.55555555555554</v>
      </c>
      <c r="E11" s="87">
        <f>+B11*D11</f>
        <v>111111.11111111111</v>
      </c>
      <c r="F11" s="77" t="s">
        <v>130</v>
      </c>
      <c r="G11" s="69"/>
      <c r="M11" s="46" t="s">
        <v>54</v>
      </c>
      <c r="S11" s="30"/>
      <c r="T11" s="42"/>
    </row>
    <row r="12" spans="1:26" x14ac:dyDescent="0.25">
      <c r="A12" s="100" t="s">
        <v>7</v>
      </c>
      <c r="B12" s="101"/>
      <c r="C12" s="101"/>
      <c r="D12" s="102"/>
      <c r="E12" s="102">
        <f>SUM(E10:E11)</f>
        <v>261111.11111111112</v>
      </c>
      <c r="F12" s="69"/>
      <c r="G12" s="69"/>
    </row>
    <row r="13" spans="1:26" x14ac:dyDescent="0.25">
      <c r="A13" s="69"/>
      <c r="B13" s="89"/>
      <c r="C13" s="89"/>
      <c r="D13" s="87"/>
      <c r="E13" s="87"/>
      <c r="F13" s="69"/>
      <c r="G13" s="69"/>
      <c r="M13" s="43" t="s">
        <v>44</v>
      </c>
      <c r="N13" s="43" t="s">
        <v>45</v>
      </c>
      <c r="O13" s="43" t="s">
        <v>43</v>
      </c>
      <c r="P13" s="43" t="s">
        <v>48</v>
      </c>
      <c r="Q13" s="43"/>
      <c r="S13" s="13"/>
      <c r="T13" s="52"/>
    </row>
    <row r="14" spans="1:26" x14ac:dyDescent="0.25">
      <c r="A14" s="82" t="s">
        <v>12</v>
      </c>
      <c r="B14" s="83"/>
      <c r="C14" s="83"/>
      <c r="D14" s="84"/>
      <c r="E14" s="84"/>
      <c r="F14" s="69"/>
      <c r="G14" s="69"/>
      <c r="M14" s="43" t="s">
        <v>46</v>
      </c>
      <c r="N14" s="43" t="s">
        <v>46</v>
      </c>
      <c r="O14" s="43" t="s">
        <v>47</v>
      </c>
      <c r="P14" s="43" t="s">
        <v>46</v>
      </c>
      <c r="Q14" s="43"/>
      <c r="S14" s="13"/>
      <c r="T14" s="52"/>
    </row>
    <row r="15" spans="1:26" x14ac:dyDescent="0.25">
      <c r="A15" s="12" t="s">
        <v>15</v>
      </c>
      <c r="B15" s="85">
        <f>+O23</f>
        <v>2405311.860034172</v>
      </c>
      <c r="C15" s="74" t="s">
        <v>29</v>
      </c>
      <c r="D15" s="86">
        <v>25</v>
      </c>
      <c r="E15" s="87">
        <f>+B15*D15</f>
        <v>60132796.500854298</v>
      </c>
      <c r="F15" s="69"/>
      <c r="G15" s="69"/>
      <c r="M15" s="13"/>
      <c r="N15" s="13"/>
      <c r="O15" s="13"/>
      <c r="S15" s="13"/>
      <c r="T15" s="52"/>
    </row>
    <row r="16" spans="1:26" x14ac:dyDescent="0.25">
      <c r="A16" s="12" t="s">
        <v>16</v>
      </c>
      <c r="B16" s="85">
        <f>+U4</f>
        <v>11306.7</v>
      </c>
      <c r="C16" s="74" t="s">
        <v>6</v>
      </c>
      <c r="D16" s="86">
        <v>100</v>
      </c>
      <c r="E16" s="87">
        <f>+B16*D16</f>
        <v>1130670</v>
      </c>
      <c r="F16" s="77"/>
      <c r="G16" s="69"/>
      <c r="M16" s="13">
        <v>30</v>
      </c>
      <c r="N16" s="13">
        <v>10</v>
      </c>
      <c r="O16" s="44">
        <f>+Z4/3</f>
        <v>800</v>
      </c>
      <c r="P16" s="45">
        <f>(-M16+SQRT(M16^2+4*3*O16))/2/3</f>
        <v>12.078251276599332</v>
      </c>
      <c r="Q16" s="45"/>
      <c r="S16" s="13"/>
      <c r="T16" s="52"/>
    </row>
    <row r="17" spans="1:20" x14ac:dyDescent="0.25">
      <c r="A17" s="12" t="s">
        <v>28</v>
      </c>
      <c r="B17" s="85">
        <f>+U4</f>
        <v>11306.7</v>
      </c>
      <c r="C17" s="74" t="s">
        <v>6</v>
      </c>
      <c r="D17" s="86">
        <v>25</v>
      </c>
      <c r="E17" s="87">
        <f>+B17*D17</f>
        <v>282667.5</v>
      </c>
      <c r="F17" s="77" t="s">
        <v>30</v>
      </c>
      <c r="G17" s="69"/>
      <c r="S17" s="13"/>
      <c r="T17" s="52"/>
    </row>
    <row r="18" spans="1:20" x14ac:dyDescent="0.25">
      <c r="A18" s="100" t="s">
        <v>7</v>
      </c>
      <c r="B18" s="101"/>
      <c r="C18" s="101"/>
      <c r="D18" s="102"/>
      <c r="E18" s="102">
        <f>SUM(E15:E17)</f>
        <v>61546134.000854298</v>
      </c>
      <c r="F18" s="69"/>
      <c r="G18" s="69"/>
      <c r="M18" s="46" t="s">
        <v>51</v>
      </c>
      <c r="S18" s="13"/>
      <c r="T18" s="52"/>
    </row>
    <row r="19" spans="1:20" x14ac:dyDescent="0.25">
      <c r="A19" s="69"/>
      <c r="B19" s="89"/>
      <c r="C19" s="89"/>
      <c r="D19" s="87"/>
      <c r="E19" s="87"/>
      <c r="F19" s="77"/>
      <c r="G19" s="69"/>
      <c r="S19" s="13"/>
      <c r="T19" s="52"/>
    </row>
    <row r="20" spans="1:20" x14ac:dyDescent="0.25">
      <c r="A20" s="82" t="s">
        <v>19</v>
      </c>
      <c r="B20" s="88"/>
      <c r="C20" s="88"/>
      <c r="D20" s="84"/>
      <c r="E20" s="84"/>
      <c r="F20" s="69"/>
      <c r="G20" s="69"/>
      <c r="M20" s="43" t="s">
        <v>49</v>
      </c>
      <c r="N20" s="43" t="s">
        <v>50</v>
      </c>
      <c r="O20" s="43" t="s">
        <v>52</v>
      </c>
      <c r="P20" s="13"/>
      <c r="S20" s="13"/>
      <c r="T20" s="52"/>
    </row>
    <row r="21" spans="1:20" x14ac:dyDescent="0.25">
      <c r="A21" s="12" t="s">
        <v>17</v>
      </c>
      <c r="B21" s="89">
        <f>+W4</f>
        <v>21.9</v>
      </c>
      <c r="C21" s="74" t="s">
        <v>18</v>
      </c>
      <c r="D21" s="86">
        <v>35000</v>
      </c>
      <c r="E21" s="86">
        <f t="shared" ref="E21" si="0">+B21*D21</f>
        <v>766500</v>
      </c>
      <c r="F21" s="69"/>
      <c r="G21" s="69"/>
      <c r="M21" s="43" t="s">
        <v>47</v>
      </c>
      <c r="N21" s="43" t="s">
        <v>46</v>
      </c>
      <c r="O21" s="43" t="s">
        <v>53</v>
      </c>
      <c r="P21" s="13"/>
      <c r="S21" s="13"/>
      <c r="T21" s="52"/>
    </row>
    <row r="22" spans="1:20" x14ac:dyDescent="0.25">
      <c r="A22" s="100" t="s">
        <v>7</v>
      </c>
      <c r="B22" s="101"/>
      <c r="C22" s="101"/>
      <c r="D22" s="102"/>
      <c r="E22" s="102">
        <f>SUM(E21:E21)</f>
        <v>766500</v>
      </c>
      <c r="F22" s="69"/>
      <c r="G22" s="69"/>
      <c r="M22" s="13"/>
      <c r="N22" s="13"/>
      <c r="O22" s="13"/>
      <c r="P22" s="13"/>
      <c r="S22" s="13"/>
      <c r="T22" s="52"/>
    </row>
    <row r="23" spans="1:20" x14ac:dyDescent="0.25">
      <c r="A23" s="12"/>
      <c r="B23" s="73"/>
      <c r="C23" s="73"/>
      <c r="D23" s="86"/>
      <c r="E23" s="87"/>
      <c r="F23" s="69"/>
      <c r="G23" s="69"/>
      <c r="M23" s="13">
        <f>+V4*66*660</f>
        <v>9552708</v>
      </c>
      <c r="N23" s="44">
        <f>+SQRT(M23)</f>
        <v>3090.7455411275773</v>
      </c>
      <c r="O23" s="24">
        <f>10/3*(N23^2+(N23+60)^2+SQRT(N23*(N23+60)))/27</f>
        <v>2405311.860034172</v>
      </c>
      <c r="P23" s="13"/>
      <c r="S23" s="13"/>
      <c r="T23" s="52"/>
    </row>
    <row r="24" spans="1:20" x14ac:dyDescent="0.25">
      <c r="A24" s="29" t="s">
        <v>20</v>
      </c>
      <c r="B24" s="88"/>
      <c r="C24" s="88"/>
      <c r="D24" s="84"/>
      <c r="E24" s="84"/>
      <c r="F24" s="69"/>
      <c r="G24" s="69"/>
      <c r="M24" s="13"/>
      <c r="N24" s="13"/>
      <c r="O24" s="13"/>
      <c r="P24" s="13"/>
      <c r="S24" s="13"/>
      <c r="T24" s="52"/>
    </row>
    <row r="25" spans="1:20" x14ac:dyDescent="0.25">
      <c r="A25" s="31" t="s">
        <v>21</v>
      </c>
      <c r="B25" s="128">
        <f>+U4</f>
        <v>11306.7</v>
      </c>
      <c r="C25" s="117" t="s">
        <v>6</v>
      </c>
      <c r="D25" s="119">
        <v>25</v>
      </c>
      <c r="E25" s="84">
        <f>+B25*D25</f>
        <v>282667.5</v>
      </c>
      <c r="F25" s="69"/>
      <c r="G25" s="69"/>
      <c r="M25" s="48" t="s">
        <v>78</v>
      </c>
      <c r="N25" s="13"/>
      <c r="O25" s="13"/>
      <c r="P25" s="13"/>
      <c r="S25" s="13"/>
      <c r="T25" s="52"/>
    </row>
    <row r="26" spans="1:20" x14ac:dyDescent="0.25">
      <c r="A26" s="69" t="s">
        <v>7</v>
      </c>
      <c r="B26" s="89"/>
      <c r="C26" s="89"/>
      <c r="D26" s="87"/>
      <c r="E26" s="87">
        <f>SUM(E25)</f>
        <v>282667.5</v>
      </c>
      <c r="F26" s="69"/>
      <c r="G26" s="69"/>
      <c r="M26" s="13"/>
      <c r="N26" s="13"/>
      <c r="O26" s="13"/>
      <c r="P26" s="13"/>
      <c r="S26" s="13"/>
      <c r="T26" s="52"/>
    </row>
    <row r="27" spans="1:20" x14ac:dyDescent="0.25">
      <c r="A27" s="69"/>
      <c r="B27" s="89"/>
      <c r="C27" s="89"/>
      <c r="D27" s="87"/>
      <c r="E27" s="87"/>
      <c r="F27" s="69"/>
      <c r="G27" s="69"/>
      <c r="M27" s="49" t="s">
        <v>58</v>
      </c>
      <c r="N27" s="50"/>
      <c r="O27" s="43" t="s">
        <v>61</v>
      </c>
      <c r="P27" s="43" t="s">
        <v>63</v>
      </c>
      <c r="S27" s="13"/>
      <c r="T27" s="52"/>
    </row>
    <row r="28" spans="1:20" x14ac:dyDescent="0.25">
      <c r="A28" s="29" t="s">
        <v>79</v>
      </c>
      <c r="B28" s="88">
        <v>10</v>
      </c>
      <c r="C28" s="88" t="s">
        <v>8</v>
      </c>
      <c r="D28" s="113">
        <f>SUM(E10:E26)/2</f>
        <v>62856412.61196541</v>
      </c>
      <c r="E28" s="84">
        <f>D28*B28/100</f>
        <v>6285641.2611965407</v>
      </c>
      <c r="F28" s="69"/>
      <c r="G28" s="69"/>
      <c r="M28" s="43" t="s">
        <v>59</v>
      </c>
      <c r="N28" s="43" t="s">
        <v>60</v>
      </c>
      <c r="O28" s="43" t="s">
        <v>62</v>
      </c>
      <c r="P28" s="43" t="s">
        <v>66</v>
      </c>
      <c r="S28" s="13"/>
      <c r="T28" s="52"/>
    </row>
    <row r="29" spans="1:20" x14ac:dyDescent="0.25">
      <c r="A29" s="77" t="s">
        <v>79</v>
      </c>
      <c r="B29" s="89"/>
      <c r="C29" s="89"/>
      <c r="D29" s="87"/>
      <c r="E29" s="87">
        <f>SUM(E28)</f>
        <v>6285641.2611965407</v>
      </c>
      <c r="F29" s="77"/>
      <c r="G29" s="69"/>
      <c r="M29" s="13"/>
      <c r="N29" s="13"/>
      <c r="O29" s="13"/>
      <c r="P29" s="13"/>
      <c r="S29" s="13"/>
      <c r="T29" s="52"/>
    </row>
    <row r="30" spans="1:20" x14ac:dyDescent="0.25">
      <c r="A30" s="69"/>
      <c r="B30" s="89"/>
      <c r="C30" s="89"/>
      <c r="D30" s="87"/>
      <c r="E30" s="87"/>
      <c r="F30" s="69"/>
      <c r="G30" s="69"/>
      <c r="M30" s="13">
        <v>0</v>
      </c>
      <c r="N30" s="44">
        <f>0.746*M30*3*30.4*24</f>
        <v>0</v>
      </c>
      <c r="O30" s="51">
        <v>0.15</v>
      </c>
      <c r="P30" s="52">
        <f>+N30*O30</f>
        <v>0</v>
      </c>
      <c r="S30" s="13"/>
      <c r="T30" s="52"/>
    </row>
    <row r="31" spans="1:20" x14ac:dyDescent="0.25">
      <c r="A31" s="29" t="s">
        <v>9</v>
      </c>
      <c r="B31" s="88">
        <v>10</v>
      </c>
      <c r="C31" s="88" t="s">
        <v>8</v>
      </c>
      <c r="D31" s="113">
        <f>SUM(E10:E27)/2</f>
        <v>62856412.61196541</v>
      </c>
      <c r="E31" s="84">
        <f>D31*B31/100</f>
        <v>6285641.2611965407</v>
      </c>
      <c r="F31" s="69"/>
      <c r="G31" s="69"/>
      <c r="M31" s="13"/>
      <c r="N31" s="13"/>
      <c r="O31" s="13"/>
      <c r="P31" s="13"/>
      <c r="S31" s="13"/>
      <c r="T31" s="52"/>
    </row>
    <row r="32" spans="1:20" x14ac:dyDescent="0.25">
      <c r="A32" s="69" t="s">
        <v>7</v>
      </c>
      <c r="B32" s="89"/>
      <c r="C32" s="89"/>
      <c r="D32" s="87"/>
      <c r="E32" s="87">
        <f>SUM(E31)</f>
        <v>6285641.2611965407</v>
      </c>
      <c r="F32" s="69"/>
      <c r="G32" s="69"/>
      <c r="M32" s="43" t="s">
        <v>64</v>
      </c>
      <c r="N32" s="43" t="s">
        <v>63</v>
      </c>
      <c r="O32" s="43" t="s">
        <v>68</v>
      </c>
      <c r="Q32" s="43"/>
      <c r="S32" s="13"/>
      <c r="T32" s="52"/>
    </row>
    <row r="33" spans="1:20" x14ac:dyDescent="0.25">
      <c r="A33" s="69"/>
      <c r="B33" s="89"/>
      <c r="C33" s="89"/>
      <c r="D33" s="87"/>
      <c r="E33" s="87"/>
      <c r="F33" s="69"/>
      <c r="G33" s="69"/>
      <c r="M33" s="43" t="s">
        <v>65</v>
      </c>
      <c r="N33" s="43" t="s">
        <v>66</v>
      </c>
      <c r="O33" s="43" t="s">
        <v>69</v>
      </c>
      <c r="Q33" s="43"/>
      <c r="S33" s="13"/>
      <c r="T33" s="52"/>
    </row>
    <row r="34" spans="1:20" x14ac:dyDescent="0.25">
      <c r="A34" s="29" t="s">
        <v>23</v>
      </c>
      <c r="B34" s="88"/>
      <c r="C34" s="88"/>
      <c r="D34" s="86"/>
      <c r="E34" s="86"/>
      <c r="F34" s="69"/>
      <c r="G34" s="69"/>
      <c r="M34" s="13"/>
      <c r="N34" s="13"/>
      <c r="O34" s="13"/>
      <c r="S34" s="13"/>
      <c r="T34" s="52"/>
    </row>
    <row r="35" spans="1:20" x14ac:dyDescent="0.25">
      <c r="A35" s="71" t="s">
        <v>116</v>
      </c>
      <c r="B35" s="72">
        <v>10</v>
      </c>
      <c r="C35" s="72" t="s">
        <v>8</v>
      </c>
      <c r="D35" s="92">
        <f>SUM(E10:E32)/2</f>
        <v>75427695.13435851</v>
      </c>
      <c r="E35" s="102">
        <f>D35*B35/100</f>
        <v>7542769.5134358518</v>
      </c>
      <c r="F35" s="69"/>
      <c r="G35" s="69"/>
      <c r="M35" s="53">
        <v>0.05</v>
      </c>
      <c r="N35" s="52">
        <f>+M35*SUM(E10:E32)/2</f>
        <v>3771384.7567179259</v>
      </c>
      <c r="O35" s="13">
        <v>50</v>
      </c>
      <c r="Q35" s="2"/>
      <c r="S35" s="13"/>
      <c r="T35" s="52"/>
    </row>
    <row r="36" spans="1:20" x14ac:dyDescent="0.25">
      <c r="A36" s="12" t="s">
        <v>121</v>
      </c>
      <c r="B36" s="73">
        <v>15</v>
      </c>
      <c r="C36" s="74" t="s">
        <v>8</v>
      </c>
      <c r="D36" s="94">
        <f>SUM(E10:E32)/2</f>
        <v>75427695.13435851</v>
      </c>
      <c r="E36" s="86">
        <f>D36*B36/100</f>
        <v>11314154.270153778</v>
      </c>
      <c r="F36" s="69"/>
      <c r="G36" s="69"/>
      <c r="S36" s="13"/>
      <c r="T36" s="52"/>
    </row>
    <row r="37" spans="1:20" x14ac:dyDescent="0.25">
      <c r="A37" s="12" t="s">
        <v>57</v>
      </c>
      <c r="B37" s="73">
        <v>11</v>
      </c>
      <c r="C37" s="74" t="s">
        <v>8</v>
      </c>
      <c r="D37" s="94">
        <f>SUM(E10:E32)/2 + SUM(D35:D36) + SUM(D38:D40)</f>
        <v>452566170.80615103</v>
      </c>
      <c r="E37" s="86">
        <f t="shared" ref="E37" si="1">D37*B37/100</f>
        <v>49782278.788676612</v>
      </c>
      <c r="F37" s="69"/>
      <c r="G37" s="69"/>
      <c r="S37" s="13"/>
      <c r="T37" s="52"/>
    </row>
    <row r="38" spans="1:20" x14ac:dyDescent="0.25">
      <c r="A38" s="12" t="s">
        <v>24</v>
      </c>
      <c r="B38" s="73">
        <v>5</v>
      </c>
      <c r="C38" s="74" t="s">
        <v>8</v>
      </c>
      <c r="D38" s="94">
        <f>SUM(E10:E32)/2</f>
        <v>75427695.13435851</v>
      </c>
      <c r="E38" s="86">
        <f t="shared" ref="E38:E40" si="2">D38*B38/100</f>
        <v>3771384.7567179259</v>
      </c>
      <c r="F38" s="69"/>
      <c r="G38" s="69"/>
      <c r="S38" s="13"/>
      <c r="T38" s="52"/>
    </row>
    <row r="39" spans="1:20" x14ac:dyDescent="0.25">
      <c r="A39" s="12" t="s">
        <v>25</v>
      </c>
      <c r="B39" s="73">
        <v>10</v>
      </c>
      <c r="C39" s="74" t="s">
        <v>8</v>
      </c>
      <c r="D39" s="94">
        <f>SUM(E10:E32)/2</f>
        <v>75427695.13435851</v>
      </c>
      <c r="E39" s="86">
        <f t="shared" si="2"/>
        <v>7542769.5134358518</v>
      </c>
      <c r="F39" s="69"/>
      <c r="G39" s="69"/>
      <c r="S39" s="13"/>
      <c r="T39" s="52"/>
    </row>
    <row r="40" spans="1:20" x14ac:dyDescent="0.25">
      <c r="A40" s="18" t="s">
        <v>26</v>
      </c>
      <c r="B40" s="88">
        <v>10</v>
      </c>
      <c r="C40" s="112" t="s">
        <v>8</v>
      </c>
      <c r="D40" s="113">
        <f>SUM(E10:E32)/2</f>
        <v>75427695.13435851</v>
      </c>
      <c r="E40" s="84">
        <f t="shared" si="2"/>
        <v>7542769.5134358518</v>
      </c>
      <c r="F40" s="69"/>
      <c r="G40" s="69"/>
      <c r="S40" s="13"/>
      <c r="T40" s="52"/>
    </row>
    <row r="41" spans="1:20" x14ac:dyDescent="0.25">
      <c r="A41" s="69" t="s">
        <v>7</v>
      </c>
      <c r="B41" s="89"/>
      <c r="C41" s="89"/>
      <c r="D41" s="87"/>
      <c r="E41" s="87">
        <f>SUM(E35:E40)</f>
        <v>87496126.355855882</v>
      </c>
      <c r="F41" s="69"/>
      <c r="G41" s="69"/>
      <c r="S41" s="13"/>
      <c r="T41" s="52"/>
    </row>
    <row r="42" spans="1:20" x14ac:dyDescent="0.25">
      <c r="A42" s="114"/>
      <c r="B42" s="73"/>
      <c r="C42" s="73"/>
      <c r="D42" s="86"/>
      <c r="E42" s="115"/>
      <c r="F42" s="69"/>
      <c r="G42" s="69"/>
      <c r="S42" s="13"/>
      <c r="T42" s="52"/>
    </row>
    <row r="43" spans="1:20" x14ac:dyDescent="0.25">
      <c r="A43" s="29" t="s">
        <v>27</v>
      </c>
      <c r="B43" s="96"/>
      <c r="C43" s="96"/>
      <c r="D43" s="116"/>
      <c r="E43" s="116"/>
      <c r="F43" s="69"/>
      <c r="G43" s="69"/>
      <c r="S43" s="13"/>
      <c r="T43" s="52"/>
    </row>
    <row r="44" spans="1:20" x14ac:dyDescent="0.25">
      <c r="A44" s="31" t="s">
        <v>27</v>
      </c>
      <c r="B44" s="97">
        <v>30</v>
      </c>
      <c r="C44" s="117" t="s">
        <v>8</v>
      </c>
      <c r="D44" s="118">
        <f>SUM(E10:E41)/2</f>
        <v>162923821.49021438</v>
      </c>
      <c r="E44" s="119">
        <f>D44*B44/100</f>
        <v>48877146.44706431</v>
      </c>
      <c r="F44" s="69"/>
      <c r="G44" s="69"/>
      <c r="S44" s="13"/>
      <c r="T44" s="52"/>
    </row>
    <row r="45" spans="1:20" x14ac:dyDescent="0.25">
      <c r="A45" s="69" t="s">
        <v>7</v>
      </c>
      <c r="B45" s="89"/>
      <c r="C45" s="89"/>
      <c r="D45" s="87"/>
      <c r="E45" s="87">
        <f>SUM(E44)</f>
        <v>48877146.44706431</v>
      </c>
      <c r="F45" s="69"/>
      <c r="G45" s="69"/>
      <c r="S45" s="13"/>
      <c r="T45" s="52"/>
    </row>
    <row r="46" spans="1:20" x14ac:dyDescent="0.25">
      <c r="A46" s="69"/>
      <c r="B46" s="69"/>
      <c r="C46" s="69"/>
      <c r="D46" s="69"/>
      <c r="E46" s="69"/>
      <c r="F46" s="69"/>
      <c r="G46" s="69"/>
      <c r="S46" s="13"/>
      <c r="T46" s="52"/>
    </row>
    <row r="47" spans="1:20" x14ac:dyDescent="0.25">
      <c r="A47" s="29" t="s">
        <v>123</v>
      </c>
      <c r="B47" s="96"/>
      <c r="C47" s="96"/>
      <c r="D47" s="116"/>
      <c r="E47" s="116"/>
      <c r="F47" s="77" t="s">
        <v>124</v>
      </c>
      <c r="G47" s="69"/>
      <c r="S47" s="13"/>
      <c r="T47" s="52"/>
    </row>
    <row r="48" spans="1:20" x14ac:dyDescent="0.25">
      <c r="A48" s="18" t="s">
        <v>22</v>
      </c>
      <c r="B48" s="120">
        <f>65*B11/66/660 + T4</f>
        <v>365.69843893480254</v>
      </c>
      <c r="C48" s="112" t="s">
        <v>18</v>
      </c>
      <c r="D48" s="121">
        <v>500000</v>
      </c>
      <c r="E48" s="121">
        <f>B48*D48</f>
        <v>182849219.46740127</v>
      </c>
      <c r="F48" s="77" t="s">
        <v>110</v>
      </c>
      <c r="G48" s="69"/>
      <c r="S48" s="13"/>
      <c r="T48" s="52"/>
    </row>
    <row r="49" spans="1:20" x14ac:dyDescent="0.25">
      <c r="A49" s="77" t="s">
        <v>7</v>
      </c>
      <c r="B49" s="91"/>
      <c r="C49" s="91"/>
      <c r="D49" s="122"/>
      <c r="E49" s="122">
        <f>SUM(E48)</f>
        <v>182849219.46740127</v>
      </c>
      <c r="F49" s="77" t="s">
        <v>100</v>
      </c>
      <c r="G49" s="69"/>
      <c r="S49" s="13"/>
      <c r="T49" s="52"/>
    </row>
    <row r="50" spans="1:20" x14ac:dyDescent="0.25">
      <c r="A50" s="69"/>
      <c r="B50" s="69"/>
      <c r="C50" s="69"/>
      <c r="D50" s="69"/>
      <c r="E50" s="69"/>
      <c r="F50" s="69"/>
      <c r="G50" s="69"/>
      <c r="S50" s="13"/>
      <c r="T50" s="52"/>
    </row>
    <row r="51" spans="1:20" x14ac:dyDescent="0.25">
      <c r="A51" s="69"/>
      <c r="B51" s="69"/>
      <c r="C51" s="69"/>
      <c r="D51" s="69"/>
      <c r="E51" s="69"/>
      <c r="F51" s="69"/>
      <c r="G51" s="69"/>
      <c r="S51" s="13"/>
      <c r="T51" s="52"/>
    </row>
    <row r="52" spans="1:20" x14ac:dyDescent="0.25">
      <c r="A52" s="114" t="s">
        <v>125</v>
      </c>
      <c r="B52" s="73"/>
      <c r="C52" s="69"/>
      <c r="D52" s="89"/>
      <c r="E52" s="127">
        <f>SUM(E10:E45)/2</f>
        <v>211800967.93727869</v>
      </c>
      <c r="F52" s="87"/>
      <c r="G52" s="69"/>
      <c r="S52" s="13"/>
      <c r="T52" s="52"/>
    </row>
    <row r="53" spans="1:20" x14ac:dyDescent="0.25">
      <c r="A53" s="69"/>
      <c r="B53" s="73"/>
      <c r="C53" s="73"/>
      <c r="D53" s="86"/>
      <c r="E53" s="124"/>
      <c r="F53" s="69"/>
      <c r="G53" s="69"/>
      <c r="S53" s="13"/>
      <c r="T53" s="52"/>
    </row>
    <row r="54" spans="1:20" x14ac:dyDescent="0.25">
      <c r="A54" s="114" t="s">
        <v>126</v>
      </c>
      <c r="B54" s="125"/>
      <c r="C54" s="73"/>
      <c r="D54" s="86"/>
      <c r="E54" s="87">
        <f>E49</f>
        <v>182849219.46740127</v>
      </c>
      <c r="F54" s="69"/>
      <c r="G54" s="69"/>
      <c r="S54" s="13"/>
      <c r="T54" s="52"/>
    </row>
    <row r="55" spans="1:20" x14ac:dyDescent="0.25">
      <c r="A55" s="69"/>
      <c r="B55" s="73"/>
      <c r="C55" s="73"/>
      <c r="D55" s="86"/>
      <c r="E55" s="86"/>
      <c r="F55" s="69"/>
      <c r="G55" s="69"/>
      <c r="S55" s="13"/>
      <c r="T55" s="52"/>
    </row>
    <row r="56" spans="1:20" x14ac:dyDescent="0.25">
      <c r="A56" s="114" t="s">
        <v>127</v>
      </c>
      <c r="B56" s="69"/>
      <c r="C56" s="69"/>
      <c r="D56" s="69"/>
      <c r="E56" s="81">
        <f>+PMT(0.03375,50,-E52-E54,0)</f>
        <v>16447937.835626855</v>
      </c>
      <c r="F56" s="77" t="s">
        <v>128</v>
      </c>
      <c r="G56" s="69"/>
      <c r="S56" s="13"/>
      <c r="T56" s="52"/>
    </row>
    <row r="57" spans="1:20" x14ac:dyDescent="0.25">
      <c r="A57" s="69"/>
      <c r="B57" s="69"/>
      <c r="C57" s="69"/>
      <c r="D57" s="69"/>
      <c r="E57" s="69"/>
      <c r="F57" s="69"/>
      <c r="G57" s="69"/>
      <c r="S57" s="13"/>
      <c r="T57" s="52"/>
    </row>
    <row r="58" spans="1:20" x14ac:dyDescent="0.25">
      <c r="A58" s="110" t="s">
        <v>67</v>
      </c>
      <c r="B58" s="126"/>
      <c r="C58" s="126"/>
      <c r="D58" s="86"/>
      <c r="E58" s="86">
        <f>N35+P30</f>
        <v>3771384.7567179259</v>
      </c>
      <c r="F58" s="69"/>
      <c r="G58" s="69"/>
      <c r="S58" s="13"/>
      <c r="T58" s="52"/>
    </row>
    <row r="59" spans="1:20" x14ac:dyDescent="0.25">
      <c r="A59" s="114"/>
      <c r="B59" s="73"/>
      <c r="C59" s="73"/>
      <c r="D59" s="86"/>
      <c r="E59" s="86"/>
      <c r="F59" s="69"/>
      <c r="G59" s="69"/>
      <c r="S59" s="13"/>
      <c r="T59" s="52"/>
    </row>
    <row r="60" spans="1:20" x14ac:dyDescent="0.25">
      <c r="A60" s="110" t="s">
        <v>77</v>
      </c>
      <c r="B60" s="69"/>
      <c r="C60" s="69"/>
      <c r="D60" s="69"/>
      <c r="E60" s="103">
        <f>+Y4</f>
        <v>11559</v>
      </c>
      <c r="F60" s="69"/>
      <c r="G60" s="69"/>
      <c r="S60" s="13"/>
      <c r="T60" s="52"/>
    </row>
    <row r="61" spans="1:20" x14ac:dyDescent="0.25">
      <c r="A61" s="126"/>
      <c r="B61" s="73"/>
      <c r="C61" s="73"/>
      <c r="D61" s="86"/>
      <c r="E61" s="86"/>
      <c r="F61" s="69"/>
      <c r="G61" s="69"/>
      <c r="S61" s="13"/>
      <c r="T61" s="52"/>
    </row>
    <row r="62" spans="1:20" x14ac:dyDescent="0.25">
      <c r="A62" s="114" t="s">
        <v>129</v>
      </c>
      <c r="B62" s="73"/>
      <c r="C62" s="73"/>
      <c r="D62" s="86"/>
      <c r="E62" s="86">
        <f>+(E56+E58)/E60</f>
        <v>1749.227666090906</v>
      </c>
      <c r="F62" s="69"/>
      <c r="G62" s="69"/>
      <c r="S62" s="13"/>
      <c r="T62" s="52"/>
    </row>
    <row r="63" spans="1:20" x14ac:dyDescent="0.25">
      <c r="A63" s="69"/>
      <c r="B63" s="69"/>
      <c r="C63" s="69"/>
      <c r="D63" s="69"/>
      <c r="E63" s="69"/>
      <c r="F63" s="69"/>
      <c r="G63" s="69"/>
    </row>
    <row r="64" spans="1:20" x14ac:dyDescent="0.25">
      <c r="A64" s="69"/>
      <c r="B64" s="69"/>
      <c r="C64" s="69"/>
      <c r="D64" s="69"/>
      <c r="E64" s="69"/>
      <c r="F64" s="69"/>
      <c r="G64" s="69"/>
    </row>
    <row r="65" spans="1:7" x14ac:dyDescent="0.25">
      <c r="A65" s="69"/>
      <c r="B65" s="69"/>
      <c r="C65" s="69"/>
      <c r="D65" s="69"/>
      <c r="E65" s="69"/>
      <c r="F65" s="69"/>
      <c r="G65" s="69"/>
    </row>
    <row r="66" spans="1:7" x14ac:dyDescent="0.25">
      <c r="A66" s="69"/>
      <c r="B66" s="69"/>
      <c r="C66" s="69"/>
      <c r="D66" s="69"/>
      <c r="E66" s="69"/>
      <c r="F66" s="69"/>
      <c r="G66" s="69"/>
    </row>
    <row r="67" spans="1:7" x14ac:dyDescent="0.25">
      <c r="A67" s="69"/>
      <c r="B67" s="69"/>
      <c r="C67" s="69"/>
      <c r="D67" s="69"/>
      <c r="E67" s="69"/>
      <c r="F67" s="69"/>
      <c r="G67" s="69"/>
    </row>
    <row r="68" spans="1:7" x14ac:dyDescent="0.25">
      <c r="A68" s="69"/>
      <c r="B68" s="69"/>
      <c r="C68" s="69"/>
      <c r="D68" s="69"/>
      <c r="E68" s="69"/>
      <c r="F68" s="69"/>
      <c r="G68" s="69"/>
    </row>
    <row r="69" spans="1:7" x14ac:dyDescent="0.25">
      <c r="A69" s="69"/>
      <c r="B69" s="69"/>
      <c r="C69" s="69"/>
      <c r="D69" s="69"/>
      <c r="E69" s="69"/>
      <c r="F69" s="69"/>
      <c r="G69" s="69"/>
    </row>
    <row r="70" spans="1:7" x14ac:dyDescent="0.25">
      <c r="A70" s="69"/>
      <c r="B70" s="69"/>
      <c r="C70" s="69"/>
      <c r="D70" s="69"/>
      <c r="E70" s="69"/>
      <c r="F70" s="69"/>
      <c r="G70" s="69"/>
    </row>
  </sheetData>
  <customSheetViews>
    <customSheetView guid="{0938481C-6147-45AE-A91B-B3C254F54487}" scale="70" showPageBreaks="1" printArea="1" hiddenColumns="1" view="pageLayout" topLeftCell="A20">
      <selection activeCell="E53" sqref="E53"/>
      <pageMargins left="0.7" right="0.7" top="0.75" bottom="0.75" header="0.3" footer="0.3"/>
      <pageSetup scale="58" orientation="landscape" r:id="rId1"/>
      <headerFooter>
        <oddFooter>&amp;LLA Basin Stormwater Conservation Study_Project Costs&amp;R&amp;D</oddFooter>
      </headerFooter>
    </customSheetView>
    <customSheetView guid="{DE980C82-6B2E-45C1-AD5F-2B41EFFE9ED0}" fitToPage="1">
      <selection activeCell="H15" sqref="H15"/>
      <pageMargins left="0.7" right="0.7" top="0.75" bottom="0.75" header="0.3" footer="0.3"/>
      <pageSetup scale="28" orientation="portrait" r:id="rId2"/>
    </customSheetView>
  </customSheetViews>
  <pageMargins left="0.7" right="0.7" top="0.75" bottom="0.75" header="0.3" footer="0.3"/>
  <pageSetup scale="58" orientation="landscape"/>
  <headerFooter>
    <oddFooter>&amp;LLA Basin Stormwater Conservation Study_Project Costs&amp;R&amp;D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5"/>
  <sheetViews>
    <sheetView zoomScaleNormal="100" zoomScalePageLayoutView="70" workbookViewId="0">
      <selection activeCell="A3" sqref="A3"/>
    </sheetView>
  </sheetViews>
  <sheetFormatPr defaultRowHeight="13.2" x14ac:dyDescent="0.25"/>
  <cols>
    <col min="1" max="1" width="54.6640625" customWidth="1"/>
    <col min="4" max="4" width="16.109375" bestFit="1" customWidth="1"/>
    <col min="5" max="5" width="15.44140625" customWidth="1"/>
    <col min="10" max="11" width="8.88671875" hidden="1" customWidth="1"/>
    <col min="12" max="12" width="9.5546875" customWidth="1"/>
    <col min="13" max="13" width="17" customWidth="1"/>
    <col min="14" max="14" width="11.5546875" customWidth="1"/>
    <col min="15" max="15" width="11.88671875" customWidth="1"/>
    <col min="16" max="16" width="11.5546875" customWidth="1"/>
    <col min="17" max="17" width="12.44140625" customWidth="1"/>
    <col min="18" max="18" width="11.5546875" customWidth="1"/>
    <col min="19" max="19" width="15.6640625" customWidth="1"/>
    <col min="20" max="20" width="26.33203125" customWidth="1"/>
    <col min="21" max="21" width="15.5546875" customWidth="1"/>
    <col min="22" max="22" width="28.6640625" customWidth="1"/>
  </cols>
  <sheetData>
    <row r="1" spans="1:26" ht="13.8" thickBot="1" x14ac:dyDescent="0.3">
      <c r="A1" s="1" t="s">
        <v>10</v>
      </c>
    </row>
    <row r="2" spans="1:26" x14ac:dyDescent="0.25">
      <c r="A2" s="1" t="s">
        <v>114</v>
      </c>
      <c r="L2" s="61"/>
      <c r="S2" s="38" t="s">
        <v>31</v>
      </c>
      <c r="T2" s="38" t="s">
        <v>32</v>
      </c>
      <c r="U2" s="38" t="s">
        <v>33</v>
      </c>
      <c r="V2" s="38" t="s">
        <v>34</v>
      </c>
      <c r="W2" s="38" t="s">
        <v>35</v>
      </c>
      <c r="X2" s="38" t="s">
        <v>36</v>
      </c>
      <c r="Y2" s="38" t="s">
        <v>77</v>
      </c>
      <c r="Z2" s="38" t="s">
        <v>37</v>
      </c>
    </row>
    <row r="3" spans="1:26" ht="13.8" thickBot="1" x14ac:dyDescent="0.3">
      <c r="A3" s="16">
        <v>42275</v>
      </c>
      <c r="L3" s="61"/>
      <c r="S3" s="41"/>
      <c r="T3" s="41"/>
      <c r="U3" s="41"/>
      <c r="V3" s="41"/>
      <c r="W3" s="41"/>
      <c r="X3" s="41"/>
      <c r="Y3" s="60"/>
      <c r="Z3" s="41"/>
    </row>
    <row r="4" spans="1:26" x14ac:dyDescent="0.25">
      <c r="L4" s="61"/>
      <c r="M4" s="69"/>
      <c r="N4" s="69"/>
      <c r="O4" s="69"/>
      <c r="P4" s="69"/>
      <c r="S4" t="s">
        <v>40</v>
      </c>
      <c r="T4">
        <v>88.9</v>
      </c>
      <c r="U4">
        <v>7807</v>
      </c>
      <c r="V4">
        <v>53.4</v>
      </c>
      <c r="W4">
        <v>5.3</v>
      </c>
      <c r="X4">
        <v>10</v>
      </c>
      <c r="Y4">
        <v>878</v>
      </c>
      <c r="Z4">
        <v>240</v>
      </c>
    </row>
    <row r="5" spans="1:26" ht="13.8" thickBot="1" x14ac:dyDescent="0.3">
      <c r="A5" s="19" t="s">
        <v>104</v>
      </c>
      <c r="B5" s="20"/>
      <c r="C5" s="20"/>
      <c r="D5" s="20"/>
      <c r="E5" s="20"/>
      <c r="L5" s="61"/>
      <c r="M5" s="75" t="s">
        <v>119</v>
      </c>
      <c r="N5" s="61"/>
      <c r="O5" s="69"/>
      <c r="P5" s="61"/>
      <c r="Q5" s="61"/>
      <c r="R5" s="61"/>
      <c r="S5" s="61"/>
      <c r="T5" s="61"/>
      <c r="U5" s="61"/>
      <c r="W5" s="64"/>
    </row>
    <row r="6" spans="1:26" x14ac:dyDescent="0.25">
      <c r="L6" s="61"/>
      <c r="M6" s="69"/>
      <c r="N6" s="69"/>
      <c r="O6" s="61"/>
      <c r="P6" s="61"/>
      <c r="Q6" s="61"/>
      <c r="R6" s="61"/>
      <c r="S6" s="61"/>
      <c r="T6" s="61"/>
      <c r="U6" s="61"/>
      <c r="W6" s="64"/>
    </row>
    <row r="7" spans="1:26" x14ac:dyDescent="0.25">
      <c r="A7" s="1" t="s">
        <v>0</v>
      </c>
      <c r="B7" s="3" t="s">
        <v>1</v>
      </c>
      <c r="C7" s="3" t="s">
        <v>2</v>
      </c>
      <c r="D7" s="4" t="s">
        <v>3</v>
      </c>
      <c r="E7" s="4" t="s">
        <v>4</v>
      </c>
      <c r="L7" s="61"/>
      <c r="M7" s="76" t="s">
        <v>117</v>
      </c>
      <c r="N7" s="70" t="s">
        <v>4</v>
      </c>
      <c r="O7" s="77" t="s">
        <v>63</v>
      </c>
      <c r="P7" s="70"/>
      <c r="R7" s="61"/>
      <c r="S7" s="61"/>
      <c r="T7" s="61"/>
      <c r="U7" s="61"/>
      <c r="W7" s="64"/>
    </row>
    <row r="8" spans="1:26" x14ac:dyDescent="0.25">
      <c r="A8" s="110"/>
      <c r="B8" s="110"/>
      <c r="C8" s="110"/>
      <c r="D8" s="111"/>
      <c r="E8" s="111"/>
      <c r="F8" s="69"/>
      <c r="L8" s="61"/>
      <c r="M8" s="69"/>
      <c r="N8" s="78" t="s">
        <v>66</v>
      </c>
      <c r="O8" s="78" t="s">
        <v>66</v>
      </c>
      <c r="P8" s="69"/>
      <c r="W8" s="64"/>
    </row>
    <row r="9" spans="1:26" x14ac:dyDescent="0.25">
      <c r="A9" s="82" t="s">
        <v>11</v>
      </c>
      <c r="B9" s="83"/>
      <c r="C9" s="83"/>
      <c r="D9" s="84"/>
      <c r="E9" s="84"/>
      <c r="F9" s="69"/>
      <c r="M9" s="69"/>
      <c r="N9" s="69"/>
      <c r="O9" s="69"/>
      <c r="P9" s="69"/>
    </row>
    <row r="10" spans="1:26" ht="12.75" customHeight="1" x14ac:dyDescent="0.25">
      <c r="A10" s="12" t="s">
        <v>115</v>
      </c>
      <c r="B10" s="73">
        <v>50</v>
      </c>
      <c r="C10" s="74" t="s">
        <v>55</v>
      </c>
      <c r="D10" s="86">
        <v>2000</v>
      </c>
      <c r="E10" s="87">
        <f>+B10*D10</f>
        <v>100000</v>
      </c>
      <c r="F10" s="69"/>
      <c r="M10" s="79" t="s">
        <v>118</v>
      </c>
      <c r="N10" s="80">
        <f>E10</f>
        <v>100000</v>
      </c>
      <c r="O10" s="81">
        <f>+PMT(0.02,50,-N10,0)</f>
        <v>3182.3209703696566</v>
      </c>
      <c r="P10" s="69"/>
    </row>
    <row r="11" spans="1:26" x14ac:dyDescent="0.25">
      <c r="A11" s="12" t="s">
        <v>14</v>
      </c>
      <c r="B11" s="73">
        <v>200</v>
      </c>
      <c r="C11" s="73" t="s">
        <v>6</v>
      </c>
      <c r="D11" s="86">
        <f>25*(3*N17^2+M17*N17)/27</f>
        <v>324.07407407407408</v>
      </c>
      <c r="E11" s="87">
        <f>+B11*D11</f>
        <v>64814.814814814818</v>
      </c>
      <c r="F11" s="77" t="s">
        <v>130</v>
      </c>
      <c r="M11" s="69"/>
      <c r="N11" s="69"/>
      <c r="O11" s="69"/>
      <c r="P11" s="69"/>
      <c r="S11" s="30"/>
      <c r="T11" s="42"/>
    </row>
    <row r="12" spans="1:26" x14ac:dyDescent="0.25">
      <c r="A12" s="100" t="s">
        <v>7</v>
      </c>
      <c r="B12" s="101"/>
      <c r="C12" s="101"/>
      <c r="D12" s="102"/>
      <c r="E12" s="102">
        <f>SUM(E10:E11)</f>
        <v>164814.81481481483</v>
      </c>
      <c r="F12" s="69"/>
      <c r="M12" s="46" t="s">
        <v>54</v>
      </c>
    </row>
    <row r="13" spans="1:26" x14ac:dyDescent="0.25">
      <c r="A13" s="69"/>
      <c r="B13" s="89"/>
      <c r="C13" s="89"/>
      <c r="D13" s="87"/>
      <c r="E13" s="87"/>
      <c r="F13" s="69"/>
      <c r="Q13" s="43"/>
      <c r="S13" s="13"/>
      <c r="T13" s="52"/>
    </row>
    <row r="14" spans="1:26" x14ac:dyDescent="0.25">
      <c r="A14" s="82" t="s">
        <v>12</v>
      </c>
      <c r="B14" s="83"/>
      <c r="C14" s="83"/>
      <c r="D14" s="84"/>
      <c r="E14" s="84"/>
      <c r="F14" s="69"/>
      <c r="M14" s="43" t="s">
        <v>44</v>
      </c>
      <c r="N14" s="43" t="s">
        <v>45</v>
      </c>
      <c r="O14" s="43" t="s">
        <v>43</v>
      </c>
      <c r="P14" s="43" t="s">
        <v>48</v>
      </c>
      <c r="Q14" s="43"/>
      <c r="S14" s="13"/>
      <c r="T14" s="52"/>
    </row>
    <row r="15" spans="1:26" x14ac:dyDescent="0.25">
      <c r="A15" s="12" t="s">
        <v>15</v>
      </c>
      <c r="B15" s="85">
        <f>O24*0.1</f>
        <v>59757.798920810623</v>
      </c>
      <c r="C15" s="74" t="s">
        <v>29</v>
      </c>
      <c r="D15" s="86">
        <v>25</v>
      </c>
      <c r="E15" s="87">
        <f>+B15*D15</f>
        <v>1493944.9730202656</v>
      </c>
      <c r="F15" s="77" t="s">
        <v>148</v>
      </c>
      <c r="M15" s="43" t="s">
        <v>46</v>
      </c>
      <c r="N15" s="43" t="s">
        <v>46</v>
      </c>
      <c r="O15" s="43" t="s">
        <v>47</v>
      </c>
      <c r="P15" s="43" t="s">
        <v>46</v>
      </c>
      <c r="S15" s="13"/>
      <c r="T15" s="52"/>
    </row>
    <row r="16" spans="1:26" x14ac:dyDescent="0.25">
      <c r="A16" s="12" t="s">
        <v>16</v>
      </c>
      <c r="B16" s="85">
        <f>+U4</f>
        <v>7807</v>
      </c>
      <c r="C16" s="74" t="s">
        <v>6</v>
      </c>
      <c r="D16" s="86">
        <v>100</v>
      </c>
      <c r="E16" s="87">
        <f>+B16*D16</f>
        <v>780700</v>
      </c>
      <c r="M16" s="13"/>
      <c r="N16" s="13"/>
      <c r="O16" s="13"/>
      <c r="Q16" s="45"/>
      <c r="S16" s="13"/>
      <c r="T16" s="52"/>
    </row>
    <row r="17" spans="1:20" x14ac:dyDescent="0.25">
      <c r="A17" s="12" t="s">
        <v>28</v>
      </c>
      <c r="B17" s="85">
        <f>+U4</f>
        <v>7807</v>
      </c>
      <c r="C17" s="74" t="s">
        <v>6</v>
      </c>
      <c r="D17" s="86">
        <v>25</v>
      </c>
      <c r="E17" s="87">
        <f>+B17*D17</f>
        <v>195175</v>
      </c>
      <c r="F17" s="77" t="s">
        <v>30</v>
      </c>
      <c r="M17" s="13">
        <v>5</v>
      </c>
      <c r="N17" s="13">
        <v>10</v>
      </c>
      <c r="O17" s="44">
        <f>+Z4/3</f>
        <v>80</v>
      </c>
      <c r="P17" s="45">
        <f>(-M17+SQRT(M17^2+4*3*O17))/2/3</f>
        <v>4.3974516088250715</v>
      </c>
      <c r="S17" s="13"/>
      <c r="T17" s="52"/>
    </row>
    <row r="18" spans="1:20" x14ac:dyDescent="0.25">
      <c r="A18" s="100" t="s">
        <v>7</v>
      </c>
      <c r="B18" s="101"/>
      <c r="C18" s="101"/>
      <c r="D18" s="102"/>
      <c r="E18" s="102">
        <f>SUM(E15:E17)</f>
        <v>2469819.9730202658</v>
      </c>
      <c r="F18" s="69"/>
      <c r="S18" s="13"/>
      <c r="T18" s="52"/>
    </row>
    <row r="19" spans="1:20" x14ac:dyDescent="0.25">
      <c r="A19" s="69"/>
      <c r="B19" s="89"/>
      <c r="C19" s="89"/>
      <c r="D19" s="87"/>
      <c r="E19" s="87"/>
      <c r="F19" s="77"/>
      <c r="M19" s="46" t="s">
        <v>51</v>
      </c>
      <c r="S19" s="13"/>
      <c r="T19" s="52"/>
    </row>
    <row r="20" spans="1:20" x14ac:dyDescent="0.25">
      <c r="A20" s="82" t="s">
        <v>19</v>
      </c>
      <c r="B20" s="88"/>
      <c r="C20" s="88"/>
      <c r="D20" s="84"/>
      <c r="E20" s="84"/>
      <c r="F20" s="69"/>
      <c r="S20" s="13"/>
      <c r="T20" s="52"/>
    </row>
    <row r="21" spans="1:20" x14ac:dyDescent="0.25">
      <c r="A21" s="12" t="s">
        <v>17</v>
      </c>
      <c r="B21" s="89">
        <f>+W4</f>
        <v>5.3</v>
      </c>
      <c r="C21" s="74" t="s">
        <v>18</v>
      </c>
      <c r="D21" s="86">
        <v>35000</v>
      </c>
      <c r="E21" s="86">
        <f t="shared" ref="E21" si="0">+B21*D21</f>
        <v>185500</v>
      </c>
      <c r="F21" s="69"/>
      <c r="M21" s="43" t="s">
        <v>49</v>
      </c>
      <c r="N21" s="43" t="s">
        <v>50</v>
      </c>
      <c r="O21" s="43" t="s">
        <v>52</v>
      </c>
      <c r="P21" s="13"/>
      <c r="S21" s="13"/>
      <c r="T21" s="52"/>
    </row>
    <row r="22" spans="1:20" x14ac:dyDescent="0.25">
      <c r="A22" s="100" t="s">
        <v>7</v>
      </c>
      <c r="B22" s="101"/>
      <c r="C22" s="101"/>
      <c r="D22" s="102"/>
      <c r="E22" s="102">
        <f>SUM(E21:E21)</f>
        <v>185500</v>
      </c>
      <c r="F22" s="69"/>
      <c r="M22" s="43" t="s">
        <v>47</v>
      </c>
      <c r="N22" s="43" t="s">
        <v>46</v>
      </c>
      <c r="O22" s="43" t="s">
        <v>53</v>
      </c>
      <c r="P22" s="13"/>
      <c r="S22" s="13"/>
      <c r="T22" s="52"/>
    </row>
    <row r="23" spans="1:20" x14ac:dyDescent="0.25">
      <c r="A23" s="12"/>
      <c r="B23" s="73"/>
      <c r="C23" s="73"/>
      <c r="D23" s="86"/>
      <c r="E23" s="87"/>
      <c r="F23" s="69"/>
      <c r="M23" s="13"/>
      <c r="N23" s="13"/>
      <c r="O23" s="13"/>
      <c r="P23" s="13"/>
      <c r="S23" s="13"/>
      <c r="T23" s="52"/>
    </row>
    <row r="24" spans="1:20" x14ac:dyDescent="0.25">
      <c r="A24" s="29" t="s">
        <v>20</v>
      </c>
      <c r="B24" s="88"/>
      <c r="C24" s="88"/>
      <c r="D24" s="84"/>
      <c r="E24" s="84"/>
      <c r="F24" s="69"/>
      <c r="M24" s="13">
        <f>+V4*66*660</f>
        <v>2326104</v>
      </c>
      <c r="N24" s="44">
        <f>+SQRT(M24)</f>
        <v>1525.1570410944573</v>
      </c>
      <c r="O24" s="24">
        <f>10/3*(N24^2+(N24+60)^2+SQRT(N24*(N24+60)))/27</f>
        <v>597577.98920810618</v>
      </c>
      <c r="P24" s="13"/>
      <c r="S24" s="13"/>
      <c r="T24" s="52"/>
    </row>
    <row r="25" spans="1:20" x14ac:dyDescent="0.25">
      <c r="A25" s="31" t="s">
        <v>21</v>
      </c>
      <c r="B25" s="128">
        <f>+U4</f>
        <v>7807</v>
      </c>
      <c r="C25" s="117" t="s">
        <v>6</v>
      </c>
      <c r="D25" s="119">
        <v>25</v>
      </c>
      <c r="E25" s="84">
        <f>+B25*D25</f>
        <v>195175</v>
      </c>
      <c r="F25" s="69"/>
      <c r="M25" s="13"/>
      <c r="N25" s="13"/>
      <c r="O25" s="13"/>
      <c r="P25" s="13"/>
      <c r="S25" s="13"/>
      <c r="T25" s="52"/>
    </row>
    <row r="26" spans="1:20" x14ac:dyDescent="0.25">
      <c r="A26" s="69" t="s">
        <v>7</v>
      </c>
      <c r="B26" s="89"/>
      <c r="C26" s="89"/>
      <c r="D26" s="87"/>
      <c r="E26" s="87">
        <f>SUM(E25)</f>
        <v>195175</v>
      </c>
      <c r="F26" s="69"/>
      <c r="M26" s="48" t="s">
        <v>78</v>
      </c>
      <c r="N26" s="13"/>
      <c r="O26" s="13"/>
      <c r="P26" s="13"/>
      <c r="S26" s="13"/>
      <c r="T26" s="52"/>
    </row>
    <row r="27" spans="1:20" x14ac:dyDescent="0.25">
      <c r="A27" s="69"/>
      <c r="B27" s="89"/>
      <c r="C27" s="89"/>
      <c r="D27" s="87"/>
      <c r="E27" s="87"/>
      <c r="F27" s="69"/>
      <c r="M27" s="13"/>
      <c r="N27" s="13"/>
      <c r="O27" s="13"/>
      <c r="P27" s="13"/>
      <c r="Q27" s="13"/>
      <c r="S27" s="13"/>
      <c r="T27" s="52"/>
    </row>
    <row r="28" spans="1:20" x14ac:dyDescent="0.25">
      <c r="A28" s="29" t="s">
        <v>79</v>
      </c>
      <c r="B28" s="88">
        <v>10</v>
      </c>
      <c r="C28" s="88" t="s">
        <v>8</v>
      </c>
      <c r="D28" s="113">
        <f>SUM(E10:E26)/2</f>
        <v>3015309.7878350806</v>
      </c>
      <c r="E28" s="84">
        <f>D28*B28/100</f>
        <v>301530.97878350806</v>
      </c>
      <c r="F28" s="69"/>
      <c r="M28" s="49" t="s">
        <v>58</v>
      </c>
      <c r="N28" s="50"/>
      <c r="O28" s="43" t="s">
        <v>61</v>
      </c>
      <c r="P28" s="43" t="s">
        <v>63</v>
      </c>
      <c r="Q28" s="13"/>
      <c r="S28" s="13"/>
      <c r="T28" s="52"/>
    </row>
    <row r="29" spans="1:20" x14ac:dyDescent="0.25">
      <c r="A29" s="77" t="s">
        <v>79</v>
      </c>
      <c r="B29" s="89"/>
      <c r="C29" s="89"/>
      <c r="D29" s="87"/>
      <c r="E29" s="87">
        <f>SUM(E28)</f>
        <v>301530.97878350806</v>
      </c>
      <c r="F29" s="77"/>
      <c r="M29" s="43" t="s">
        <v>59</v>
      </c>
      <c r="N29" s="43" t="s">
        <v>60</v>
      </c>
      <c r="O29" s="43" t="s">
        <v>62</v>
      </c>
      <c r="P29" s="43" t="s">
        <v>66</v>
      </c>
      <c r="Q29" s="13"/>
      <c r="S29" s="13"/>
      <c r="T29" s="52"/>
    </row>
    <row r="30" spans="1:20" x14ac:dyDescent="0.25">
      <c r="A30" s="69"/>
      <c r="B30" s="89"/>
      <c r="C30" s="89"/>
      <c r="D30" s="87"/>
      <c r="E30" s="87"/>
      <c r="F30" s="69"/>
      <c r="M30" s="13"/>
      <c r="N30" s="13"/>
      <c r="O30" s="13"/>
      <c r="P30" s="13"/>
      <c r="Q30" s="13"/>
      <c r="S30" s="13"/>
      <c r="T30" s="52"/>
    </row>
    <row r="31" spans="1:20" x14ac:dyDescent="0.25">
      <c r="A31" s="29" t="s">
        <v>9</v>
      </c>
      <c r="B31" s="88">
        <v>10</v>
      </c>
      <c r="C31" s="88" t="s">
        <v>8</v>
      </c>
      <c r="D31" s="113">
        <f>SUM(E10:E30)/2</f>
        <v>3316840.7666185885</v>
      </c>
      <c r="E31" s="84">
        <f>D31*B31/100</f>
        <v>331684.07666185888</v>
      </c>
      <c r="F31" s="69"/>
      <c r="M31" s="13">
        <v>50</v>
      </c>
      <c r="N31" s="44">
        <f>0.746*M31*3*30.4*24</f>
        <v>81642.239999999991</v>
      </c>
      <c r="O31" s="51">
        <v>0.15</v>
      </c>
      <c r="P31" s="52">
        <f>+N31*O31</f>
        <v>12246.335999999998</v>
      </c>
      <c r="Q31" s="13"/>
      <c r="S31" s="13"/>
      <c r="T31" s="52"/>
    </row>
    <row r="32" spans="1:20" x14ac:dyDescent="0.25">
      <c r="A32" s="69" t="s">
        <v>7</v>
      </c>
      <c r="B32" s="89"/>
      <c r="C32" s="89"/>
      <c r="D32" s="87"/>
      <c r="E32" s="87">
        <f>SUM(E31)</f>
        <v>331684.07666185888</v>
      </c>
      <c r="F32" s="69"/>
      <c r="M32" s="13"/>
      <c r="N32" s="13"/>
      <c r="O32" s="13"/>
      <c r="P32" s="13"/>
      <c r="Q32" s="43"/>
      <c r="S32" s="13"/>
      <c r="T32" s="52"/>
    </row>
    <row r="33" spans="1:20" x14ac:dyDescent="0.25">
      <c r="A33" s="69"/>
      <c r="B33" s="69"/>
      <c r="C33" s="69"/>
      <c r="D33" s="69"/>
      <c r="E33" s="69"/>
      <c r="F33" s="69"/>
      <c r="M33" s="43" t="s">
        <v>64</v>
      </c>
      <c r="N33" s="43" t="s">
        <v>63</v>
      </c>
      <c r="O33" s="43" t="s">
        <v>68</v>
      </c>
      <c r="Q33" s="43"/>
      <c r="S33" s="13"/>
      <c r="T33" s="52"/>
    </row>
    <row r="34" spans="1:20" x14ac:dyDescent="0.25">
      <c r="A34" s="29" t="s">
        <v>23</v>
      </c>
      <c r="B34" s="88"/>
      <c r="C34" s="88"/>
      <c r="D34" s="86"/>
      <c r="E34" s="86"/>
      <c r="F34" s="69"/>
      <c r="M34" s="43" t="s">
        <v>65</v>
      </c>
      <c r="N34" s="43" t="s">
        <v>66</v>
      </c>
      <c r="O34" s="43" t="s">
        <v>69</v>
      </c>
      <c r="S34" s="13"/>
      <c r="T34" s="52"/>
    </row>
    <row r="35" spans="1:20" x14ac:dyDescent="0.25">
      <c r="A35" s="71" t="s">
        <v>116</v>
      </c>
      <c r="B35" s="72">
        <v>10</v>
      </c>
      <c r="C35" s="72" t="s">
        <v>8</v>
      </c>
      <c r="D35" s="92">
        <f>SUM(E10:E32)/2</f>
        <v>3648524.8432804472</v>
      </c>
      <c r="E35" s="93">
        <f>D35*B35/100</f>
        <v>364852.48432804475</v>
      </c>
      <c r="F35" s="69"/>
      <c r="M35" s="13"/>
      <c r="N35" s="13"/>
      <c r="O35" s="13"/>
      <c r="Q35" s="2"/>
      <c r="S35" s="13"/>
      <c r="T35" s="52"/>
    </row>
    <row r="36" spans="1:20" x14ac:dyDescent="0.25">
      <c r="A36" s="12" t="s">
        <v>120</v>
      </c>
      <c r="B36" s="73">
        <v>15</v>
      </c>
      <c r="C36" s="74" t="s">
        <v>8</v>
      </c>
      <c r="D36" s="94">
        <f>SUM(E10:E32)/2</f>
        <v>3648524.8432804472</v>
      </c>
      <c r="E36" s="86">
        <f>D36*B36/100</f>
        <v>547278.7264920671</v>
      </c>
      <c r="F36" s="69"/>
      <c r="M36" s="53">
        <v>0.05</v>
      </c>
      <c r="N36" s="52">
        <f>+M36*SUM(E10:E32)/2</f>
        <v>182426.24216402238</v>
      </c>
      <c r="O36" s="13">
        <v>50</v>
      </c>
      <c r="Q36" s="13"/>
      <c r="S36" s="13"/>
      <c r="T36" s="52"/>
    </row>
    <row r="37" spans="1:20" x14ac:dyDescent="0.25">
      <c r="A37" s="12" t="s">
        <v>57</v>
      </c>
      <c r="B37" s="73">
        <v>11</v>
      </c>
      <c r="C37" s="74" t="s">
        <v>8</v>
      </c>
      <c r="D37" s="94">
        <f>SUM(E10:E32)/2 + D36 + SUM(D38:D40)</f>
        <v>18242624.216402236</v>
      </c>
      <c r="E37" s="86">
        <f t="shared" ref="E37" si="1">D37*B37/100</f>
        <v>2006688.6638042459</v>
      </c>
      <c r="F37" s="69"/>
      <c r="M37" s="13"/>
      <c r="N37" s="13"/>
      <c r="O37" s="13"/>
      <c r="P37" s="13"/>
      <c r="S37" s="13"/>
      <c r="T37" s="52"/>
    </row>
    <row r="38" spans="1:20" x14ac:dyDescent="0.25">
      <c r="A38" s="12" t="s">
        <v>24</v>
      </c>
      <c r="B38" s="73">
        <v>5</v>
      </c>
      <c r="C38" s="74" t="s">
        <v>8</v>
      </c>
      <c r="D38" s="94">
        <f>SUM(E10:E32)/2</f>
        <v>3648524.8432804472</v>
      </c>
      <c r="E38" s="86">
        <f>D38*B38/100</f>
        <v>182426.24216402238</v>
      </c>
      <c r="F38" s="69"/>
      <c r="S38" s="13"/>
      <c r="T38" s="52"/>
    </row>
    <row r="39" spans="1:20" x14ac:dyDescent="0.25">
      <c r="A39" s="12" t="s">
        <v>25</v>
      </c>
      <c r="B39" s="95">
        <v>10</v>
      </c>
      <c r="C39" s="74" t="s">
        <v>8</v>
      </c>
      <c r="D39" s="94">
        <f>SUM(E10:E32)/2</f>
        <v>3648524.8432804472</v>
      </c>
      <c r="E39" s="86">
        <f>D39*B39/100</f>
        <v>364852.48432804475</v>
      </c>
      <c r="F39" s="69"/>
      <c r="S39" s="13"/>
      <c r="T39" s="52"/>
    </row>
    <row r="40" spans="1:20" x14ac:dyDescent="0.25">
      <c r="A40" s="18" t="s">
        <v>26</v>
      </c>
      <c r="B40" s="88">
        <v>10</v>
      </c>
      <c r="C40" s="112" t="s">
        <v>8</v>
      </c>
      <c r="D40" s="113">
        <f>SUM(E10:E32)/2</f>
        <v>3648524.8432804472</v>
      </c>
      <c r="E40" s="84">
        <f>D40*B40/100</f>
        <v>364852.48432804475</v>
      </c>
      <c r="F40" s="69"/>
      <c r="S40" s="13"/>
      <c r="T40" s="52"/>
    </row>
    <row r="41" spans="1:20" x14ac:dyDescent="0.25">
      <c r="A41" s="69" t="s">
        <v>7</v>
      </c>
      <c r="B41" s="89"/>
      <c r="C41" s="89"/>
      <c r="D41" s="87"/>
      <c r="E41" s="87">
        <f>SUM(E35:E40)</f>
        <v>3830951.085444469</v>
      </c>
      <c r="F41" s="69"/>
      <c r="S41" s="13"/>
      <c r="T41" s="52"/>
    </row>
    <row r="42" spans="1:20" x14ac:dyDescent="0.25">
      <c r="A42" s="114"/>
      <c r="B42" s="73"/>
      <c r="C42" s="73"/>
      <c r="D42" s="86"/>
      <c r="E42" s="115"/>
      <c r="F42" s="69"/>
      <c r="S42" s="13"/>
      <c r="T42" s="52"/>
    </row>
    <row r="43" spans="1:20" x14ac:dyDescent="0.25">
      <c r="A43" s="29" t="s">
        <v>27</v>
      </c>
      <c r="B43" s="96"/>
      <c r="C43" s="96"/>
      <c r="D43" s="116"/>
      <c r="E43" s="116"/>
      <c r="F43" s="69"/>
      <c r="S43" s="13"/>
      <c r="T43" s="52"/>
    </row>
    <row r="44" spans="1:20" x14ac:dyDescent="0.25">
      <c r="A44" s="31" t="s">
        <v>27</v>
      </c>
      <c r="B44" s="97">
        <v>30</v>
      </c>
      <c r="C44" s="117" t="s">
        <v>8</v>
      </c>
      <c r="D44" s="118">
        <f>SUM(E10:E41)/2</f>
        <v>7479475.9287249167</v>
      </c>
      <c r="E44" s="119">
        <f>D44*B44/100</f>
        <v>2243842.7786174752</v>
      </c>
      <c r="F44" s="69"/>
      <c r="S44" s="13"/>
      <c r="T44" s="52"/>
    </row>
    <row r="45" spans="1:20" x14ac:dyDescent="0.25">
      <c r="A45" s="69" t="s">
        <v>7</v>
      </c>
      <c r="B45" s="89"/>
      <c r="C45" s="89"/>
      <c r="D45" s="87"/>
      <c r="E45" s="87">
        <f>SUM(E44)</f>
        <v>2243842.7786174752</v>
      </c>
      <c r="F45" s="69"/>
      <c r="S45" s="13"/>
      <c r="T45" s="52"/>
    </row>
    <row r="46" spans="1:20" x14ac:dyDescent="0.25">
      <c r="A46" s="69"/>
      <c r="B46" s="69"/>
      <c r="C46" s="69"/>
      <c r="D46" s="69"/>
      <c r="E46" s="69"/>
      <c r="F46" s="69"/>
      <c r="S46" s="13"/>
      <c r="T46" s="52"/>
    </row>
    <row r="47" spans="1:20" x14ac:dyDescent="0.25">
      <c r="A47" s="29" t="s">
        <v>123</v>
      </c>
      <c r="B47" s="96"/>
      <c r="C47" s="96"/>
      <c r="D47" s="116"/>
      <c r="E47" s="116"/>
      <c r="F47" s="69"/>
      <c r="S47" s="13"/>
      <c r="T47" s="52"/>
    </row>
    <row r="48" spans="1:20" x14ac:dyDescent="0.25">
      <c r="A48" s="18" t="s">
        <v>22</v>
      </c>
      <c r="B48" s="120">
        <f>65*B11/66/660 +T4</f>
        <v>89.198438934802581</v>
      </c>
      <c r="C48" s="112" t="s">
        <v>18</v>
      </c>
      <c r="D48" s="121">
        <v>500000</v>
      </c>
      <c r="E48" s="121">
        <f>B48*D48</f>
        <v>44599219.467401288</v>
      </c>
      <c r="F48" s="77" t="s">
        <v>124</v>
      </c>
      <c r="S48" s="13"/>
      <c r="T48" s="52"/>
    </row>
    <row r="49" spans="1:20" x14ac:dyDescent="0.25">
      <c r="A49" s="77" t="s">
        <v>7</v>
      </c>
      <c r="B49" s="91"/>
      <c r="C49" s="91"/>
      <c r="D49" s="122"/>
      <c r="E49" s="122">
        <f>SUM(E48)</f>
        <v>44599219.467401288</v>
      </c>
      <c r="F49" s="77" t="s">
        <v>110</v>
      </c>
      <c r="S49" s="13"/>
      <c r="T49" s="52"/>
    </row>
    <row r="50" spans="1:20" x14ac:dyDescent="0.25">
      <c r="A50" s="69"/>
      <c r="B50" s="69"/>
      <c r="C50" s="69"/>
      <c r="D50" s="69"/>
      <c r="E50" s="69"/>
      <c r="F50" s="77"/>
      <c r="S50" s="13"/>
      <c r="T50" s="52"/>
    </row>
    <row r="51" spans="1:20" x14ac:dyDescent="0.25">
      <c r="A51" s="69"/>
      <c r="B51" s="69"/>
      <c r="C51" s="69"/>
      <c r="D51" s="69"/>
      <c r="E51" s="69"/>
      <c r="F51" s="69"/>
      <c r="S51" s="13"/>
      <c r="T51" s="52"/>
    </row>
    <row r="52" spans="1:20" x14ac:dyDescent="0.25">
      <c r="A52" s="114" t="s">
        <v>125</v>
      </c>
      <c r="B52" s="73"/>
      <c r="C52" s="69"/>
      <c r="D52" s="89"/>
      <c r="E52" s="87">
        <f>SUM(E10:E45)/2</f>
        <v>9723318.7073423918</v>
      </c>
      <c r="F52" s="87"/>
      <c r="G52" s="69"/>
      <c r="H52" s="69"/>
      <c r="I52" s="69"/>
      <c r="S52" s="13"/>
      <c r="T52" s="52"/>
    </row>
    <row r="53" spans="1:20" x14ac:dyDescent="0.25">
      <c r="A53" s="69"/>
      <c r="B53" s="73"/>
      <c r="C53" s="73"/>
      <c r="D53" s="86"/>
      <c r="E53" s="124"/>
      <c r="F53" s="69"/>
      <c r="G53" s="69"/>
      <c r="H53" s="69"/>
      <c r="I53" s="69"/>
      <c r="S53" s="13"/>
      <c r="T53" s="52"/>
    </row>
    <row r="54" spans="1:20" x14ac:dyDescent="0.25">
      <c r="A54" s="114" t="s">
        <v>126</v>
      </c>
      <c r="B54" s="125"/>
      <c r="C54" s="73"/>
      <c r="D54" s="86"/>
      <c r="E54" s="87">
        <f>E49</f>
        <v>44599219.467401288</v>
      </c>
      <c r="F54" s="69"/>
      <c r="G54" s="69"/>
      <c r="H54" s="69"/>
      <c r="I54" s="69"/>
      <c r="S54" s="13"/>
      <c r="T54" s="52"/>
    </row>
    <row r="55" spans="1:20" x14ac:dyDescent="0.25">
      <c r="A55" s="69"/>
      <c r="B55" s="73"/>
      <c r="C55" s="73"/>
      <c r="D55" s="86"/>
      <c r="E55" s="86"/>
      <c r="F55" s="69"/>
      <c r="G55" s="69"/>
      <c r="H55" s="69"/>
      <c r="I55" s="69"/>
      <c r="S55" s="13"/>
      <c r="T55" s="52"/>
    </row>
    <row r="56" spans="1:20" x14ac:dyDescent="0.25">
      <c r="A56" s="114" t="s">
        <v>127</v>
      </c>
      <c r="B56" s="69"/>
      <c r="C56" s="69"/>
      <c r="D56" s="69"/>
      <c r="E56" s="87">
        <f>+PMT(0.03375,50,-E52-E54,0)</f>
        <v>2264014.4601159142</v>
      </c>
      <c r="F56" s="77" t="s">
        <v>128</v>
      </c>
      <c r="S56" s="13"/>
      <c r="T56" s="52"/>
    </row>
    <row r="57" spans="1:20" x14ac:dyDescent="0.25">
      <c r="A57" s="69"/>
      <c r="B57" s="69"/>
      <c r="C57" s="69"/>
      <c r="D57" s="69"/>
      <c r="E57" s="69"/>
      <c r="F57" s="69"/>
      <c r="S57" s="13"/>
      <c r="T57" s="52"/>
    </row>
    <row r="58" spans="1:20" x14ac:dyDescent="0.25">
      <c r="A58" s="110" t="s">
        <v>67</v>
      </c>
      <c r="B58" s="126"/>
      <c r="C58" s="126"/>
      <c r="D58" s="86"/>
      <c r="E58" s="86">
        <f>N36+P31+O10</f>
        <v>197854.89913439204</v>
      </c>
      <c r="F58" s="69"/>
      <c r="S58" s="13"/>
      <c r="T58" s="52"/>
    </row>
    <row r="59" spans="1:20" x14ac:dyDescent="0.25">
      <c r="A59" s="114"/>
      <c r="B59" s="73"/>
      <c r="C59" s="73"/>
      <c r="D59" s="86"/>
      <c r="E59" s="86"/>
      <c r="F59" s="69"/>
      <c r="S59" s="13"/>
      <c r="T59" s="52"/>
    </row>
    <row r="60" spans="1:20" x14ac:dyDescent="0.25">
      <c r="A60" s="110" t="s">
        <v>77</v>
      </c>
      <c r="B60" s="69"/>
      <c r="C60" s="69"/>
      <c r="D60" s="69"/>
      <c r="E60" s="103">
        <f>+Y4</f>
        <v>878</v>
      </c>
      <c r="F60" s="69"/>
      <c r="S60" s="13"/>
      <c r="T60" s="52"/>
    </row>
    <row r="61" spans="1:20" x14ac:dyDescent="0.25">
      <c r="A61" s="126"/>
      <c r="B61" s="73"/>
      <c r="C61" s="73"/>
      <c r="D61" s="86"/>
      <c r="E61" s="86"/>
      <c r="F61" s="69"/>
      <c r="S61" s="13"/>
      <c r="T61" s="52"/>
    </row>
    <row r="62" spans="1:20" x14ac:dyDescent="0.25">
      <c r="A62" s="114" t="s">
        <v>129</v>
      </c>
      <c r="B62" s="73"/>
      <c r="C62" s="73"/>
      <c r="D62" s="86"/>
      <c r="E62" s="86">
        <f>+(E56+E58)/E60</f>
        <v>2803.9514342258612</v>
      </c>
      <c r="F62" s="69"/>
      <c r="S62" s="13"/>
      <c r="T62" s="52"/>
    </row>
    <row r="63" spans="1:20" x14ac:dyDescent="0.25">
      <c r="A63" s="69"/>
      <c r="B63" s="69"/>
      <c r="C63" s="69"/>
      <c r="D63" s="69"/>
      <c r="E63" s="69"/>
      <c r="F63" s="69"/>
    </row>
    <row r="64" spans="1:20" x14ac:dyDescent="0.25">
      <c r="A64" s="69"/>
      <c r="B64" s="69"/>
      <c r="C64" s="69"/>
      <c r="D64" s="69"/>
      <c r="E64" s="69"/>
      <c r="F64" s="69"/>
    </row>
    <row r="65" spans="1:6" x14ac:dyDescent="0.25">
      <c r="A65" s="69"/>
      <c r="B65" s="69"/>
      <c r="C65" s="69"/>
      <c r="D65" s="69"/>
      <c r="E65" s="69"/>
      <c r="F65" s="69"/>
    </row>
  </sheetData>
  <customSheetViews>
    <customSheetView guid="{0938481C-6147-45AE-A91B-B3C254F54487}" scale="70" showPageBreaks="1" printArea="1" hiddenColumns="1" view="pageLayout" topLeftCell="A10">
      <selection activeCell="A39" sqref="A39"/>
      <pageMargins left="0.7" right="0.7" top="0.75" bottom="0.75" header="0.3" footer="0.3"/>
      <pageSetup scale="58" orientation="landscape" r:id="rId1"/>
      <headerFooter>
        <oddFooter>&amp;LLA Basin Stormwater Conservation Study_Project Costs&amp;R&amp;D</oddFooter>
      </headerFooter>
    </customSheetView>
    <customSheetView guid="{DE980C82-6B2E-45C1-AD5F-2B41EFFE9ED0}" fitToPage="1">
      <selection activeCell="A5" sqref="A5"/>
      <pageMargins left="0.7" right="0.7" top="0.75" bottom="0.75" header="0.3" footer="0.3"/>
      <pageSetup scale="28" orientation="portrait" r:id="rId2"/>
    </customSheetView>
  </customSheetViews>
  <pageMargins left="0.7" right="0.7" top="0.75" bottom="0.75" header="0.3" footer="0.3"/>
  <pageSetup scale="58" orientation="landscape"/>
  <headerFooter>
    <oddFooter>&amp;LLA Basin Stormwater Conservation Study_Project Costs&amp;R&amp;D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8"/>
  <sheetViews>
    <sheetView zoomScaleNormal="100" zoomScalePageLayoutView="70" workbookViewId="0">
      <selection activeCell="A3" sqref="A3"/>
    </sheetView>
  </sheetViews>
  <sheetFormatPr defaultRowHeight="13.2" x14ac:dyDescent="0.25"/>
  <cols>
    <col min="1" max="1" width="54.6640625" customWidth="1"/>
    <col min="4" max="4" width="13.88671875" bestFit="1" customWidth="1"/>
    <col min="5" max="5" width="15.44140625" customWidth="1"/>
    <col min="10" max="11" width="8.88671875" hidden="1" customWidth="1"/>
    <col min="12" max="12" width="6.33203125" customWidth="1"/>
    <col min="13" max="13" width="17" customWidth="1"/>
    <col min="14" max="14" width="11.5546875" customWidth="1"/>
    <col min="15" max="15" width="11.88671875" customWidth="1"/>
    <col min="16" max="16" width="11.5546875" customWidth="1"/>
    <col min="17" max="17" width="12.44140625" customWidth="1"/>
    <col min="18" max="18" width="11.33203125" customWidth="1"/>
    <col min="19" max="19" width="15.6640625" customWidth="1"/>
    <col min="20" max="20" width="26.33203125" customWidth="1"/>
    <col min="21" max="21" width="17.109375" customWidth="1"/>
    <col min="22" max="22" width="28.6640625" customWidth="1"/>
  </cols>
  <sheetData>
    <row r="1" spans="1:26" ht="13.8" thickBot="1" x14ac:dyDescent="0.3">
      <c r="A1" s="1" t="s">
        <v>10</v>
      </c>
    </row>
    <row r="2" spans="1:26" x14ac:dyDescent="0.25">
      <c r="A2" s="1" t="s">
        <v>114</v>
      </c>
      <c r="L2" s="61"/>
      <c r="S2" s="38" t="s">
        <v>31</v>
      </c>
      <c r="T2" s="38" t="s">
        <v>32</v>
      </c>
      <c r="U2" s="38" t="s">
        <v>33</v>
      </c>
      <c r="V2" s="38" t="s">
        <v>34</v>
      </c>
      <c r="W2" s="38" t="s">
        <v>35</v>
      </c>
      <c r="X2" s="38" t="s">
        <v>36</v>
      </c>
      <c r="Y2" s="38" t="s">
        <v>77</v>
      </c>
      <c r="Z2" s="38" t="s">
        <v>37</v>
      </c>
    </row>
    <row r="3" spans="1:26" ht="13.8" thickBot="1" x14ac:dyDescent="0.3">
      <c r="A3" s="16">
        <v>42275</v>
      </c>
      <c r="L3" s="61"/>
      <c r="S3" s="41"/>
      <c r="T3" s="41"/>
      <c r="U3" s="41"/>
      <c r="V3" s="41"/>
      <c r="W3" s="41"/>
      <c r="X3" s="41"/>
      <c r="Y3" s="60"/>
      <c r="Z3" s="41"/>
    </row>
    <row r="4" spans="1:26" x14ac:dyDescent="0.25">
      <c r="L4" s="61"/>
      <c r="S4" t="s">
        <v>82</v>
      </c>
      <c r="T4">
        <v>38</v>
      </c>
      <c r="U4">
        <v>7666</v>
      </c>
      <c r="V4">
        <v>23.9</v>
      </c>
      <c r="W4">
        <v>2.7</v>
      </c>
      <c r="X4">
        <v>10</v>
      </c>
      <c r="Y4">
        <v>4474</v>
      </c>
      <c r="Z4">
        <v>48</v>
      </c>
    </row>
    <row r="5" spans="1:26" ht="13.8" thickBot="1" x14ac:dyDescent="0.3">
      <c r="A5" s="19" t="s">
        <v>105</v>
      </c>
      <c r="B5" s="20"/>
      <c r="C5" s="20"/>
      <c r="D5" s="20"/>
      <c r="E5" s="20"/>
      <c r="L5" s="61"/>
      <c r="M5" s="75" t="s">
        <v>119</v>
      </c>
      <c r="N5" s="61"/>
      <c r="O5" s="69"/>
      <c r="P5" s="61"/>
      <c r="Q5" s="61"/>
      <c r="R5" s="61"/>
      <c r="S5" s="61"/>
      <c r="T5" s="61"/>
    </row>
    <row r="6" spans="1:26" x14ac:dyDescent="0.25">
      <c r="L6" s="61"/>
      <c r="M6" s="69"/>
      <c r="N6" s="69"/>
      <c r="O6" s="61"/>
      <c r="P6" s="61"/>
      <c r="Q6" s="61"/>
      <c r="R6" s="61"/>
      <c r="S6" s="61"/>
      <c r="T6" s="61"/>
      <c r="U6" s="61"/>
    </row>
    <row r="7" spans="1:26" x14ac:dyDescent="0.25">
      <c r="A7" s="1" t="s">
        <v>0</v>
      </c>
      <c r="B7" s="3" t="s">
        <v>1</v>
      </c>
      <c r="C7" s="3" t="s">
        <v>2</v>
      </c>
      <c r="D7" s="4" t="s">
        <v>3</v>
      </c>
      <c r="E7" s="4" t="s">
        <v>4</v>
      </c>
      <c r="L7" s="61"/>
      <c r="M7" s="76" t="s">
        <v>117</v>
      </c>
      <c r="N7" s="70" t="s">
        <v>4</v>
      </c>
      <c r="O7" s="91" t="s">
        <v>63</v>
      </c>
      <c r="P7" s="61"/>
      <c r="Q7" s="61"/>
      <c r="R7" s="61"/>
      <c r="S7" s="61"/>
      <c r="T7" s="61"/>
      <c r="U7" s="61"/>
    </row>
    <row r="8" spans="1:26" x14ac:dyDescent="0.25">
      <c r="A8" s="1"/>
      <c r="B8" s="1"/>
      <c r="C8" s="1"/>
      <c r="D8" s="5"/>
      <c r="E8" s="5"/>
      <c r="L8" s="61"/>
      <c r="M8" s="69"/>
      <c r="N8" s="78" t="s">
        <v>66</v>
      </c>
      <c r="O8" s="78" t="s">
        <v>66</v>
      </c>
    </row>
    <row r="9" spans="1:26" x14ac:dyDescent="0.25">
      <c r="A9" s="17" t="s">
        <v>11</v>
      </c>
      <c r="B9" s="7"/>
      <c r="C9" s="7"/>
      <c r="D9" s="8"/>
      <c r="E9" s="8"/>
      <c r="M9" s="69"/>
      <c r="N9" s="69"/>
      <c r="O9" s="69"/>
    </row>
    <row r="10" spans="1:26" ht="12.75" customHeight="1" x14ac:dyDescent="0.25">
      <c r="A10" s="9" t="s">
        <v>115</v>
      </c>
      <c r="B10" s="10">
        <v>350</v>
      </c>
      <c r="C10" s="25" t="s">
        <v>55</v>
      </c>
      <c r="D10" s="11">
        <v>2000</v>
      </c>
      <c r="E10" s="2">
        <f>+B10*D10</f>
        <v>700000</v>
      </c>
      <c r="M10" s="79" t="s">
        <v>118</v>
      </c>
      <c r="N10" s="80">
        <f>E10</f>
        <v>700000</v>
      </c>
      <c r="O10" s="90">
        <f>+PMT(0.02,50,-N10,0)</f>
        <v>22276.246792587597</v>
      </c>
    </row>
    <row r="11" spans="1:26" x14ac:dyDescent="0.25">
      <c r="A11" s="9" t="s">
        <v>112</v>
      </c>
      <c r="B11" s="10">
        <v>4300</v>
      </c>
      <c r="C11" s="10" t="s">
        <v>6</v>
      </c>
      <c r="D11" s="11">
        <v>300</v>
      </c>
      <c r="E11" s="2">
        <f>+B11*D11</f>
        <v>1290000</v>
      </c>
      <c r="F11" s="30"/>
      <c r="S11" s="30"/>
      <c r="T11" s="42"/>
    </row>
    <row r="12" spans="1:26" x14ac:dyDescent="0.25">
      <c r="A12" s="98" t="s">
        <v>7</v>
      </c>
      <c r="B12" s="99"/>
      <c r="C12" s="99"/>
      <c r="D12" s="37"/>
      <c r="E12" s="37">
        <f>SUM(E10:E11)</f>
        <v>1990000</v>
      </c>
      <c r="M12" s="46" t="s">
        <v>54</v>
      </c>
    </row>
    <row r="13" spans="1:26" x14ac:dyDescent="0.25">
      <c r="B13" s="13"/>
      <c r="C13" s="13"/>
      <c r="D13" s="2"/>
      <c r="E13" s="2"/>
      <c r="Q13" s="43"/>
      <c r="S13" s="13"/>
      <c r="T13" s="52"/>
    </row>
    <row r="14" spans="1:26" x14ac:dyDescent="0.25">
      <c r="A14" s="17" t="s">
        <v>12</v>
      </c>
      <c r="B14" s="7"/>
      <c r="C14" s="7"/>
      <c r="D14" s="8"/>
      <c r="E14" s="8"/>
      <c r="M14" s="43" t="s">
        <v>44</v>
      </c>
      <c r="N14" s="43" t="s">
        <v>45</v>
      </c>
      <c r="O14" s="43" t="s">
        <v>43</v>
      </c>
      <c r="P14" s="43" t="s">
        <v>48</v>
      </c>
      <c r="Q14" s="43"/>
      <c r="S14" s="13"/>
      <c r="T14" s="52"/>
    </row>
    <row r="15" spans="1:26" x14ac:dyDescent="0.25">
      <c r="A15" s="12" t="s">
        <v>15</v>
      </c>
      <c r="B15" s="85">
        <f>+O24</f>
        <v>272747.91795064125</v>
      </c>
      <c r="C15" s="74" t="s">
        <v>29</v>
      </c>
      <c r="D15" s="86">
        <v>25</v>
      </c>
      <c r="E15" s="87">
        <f>+B15*D15</f>
        <v>6818697.9487660313</v>
      </c>
      <c r="F15" s="69"/>
      <c r="M15" s="43" t="s">
        <v>46</v>
      </c>
      <c r="N15" s="43" t="s">
        <v>46</v>
      </c>
      <c r="O15" s="43" t="s">
        <v>47</v>
      </c>
      <c r="P15" s="43" t="s">
        <v>46</v>
      </c>
      <c r="S15" s="13"/>
      <c r="T15" s="52"/>
    </row>
    <row r="16" spans="1:26" x14ac:dyDescent="0.25">
      <c r="A16" s="12" t="s">
        <v>16</v>
      </c>
      <c r="B16" s="85">
        <f>+U4</f>
        <v>7666</v>
      </c>
      <c r="C16" s="74" t="s">
        <v>6</v>
      </c>
      <c r="D16" s="86">
        <v>100</v>
      </c>
      <c r="E16" s="87">
        <f>+B16*D16</f>
        <v>766600</v>
      </c>
      <c r="F16" s="77"/>
      <c r="M16" s="13"/>
      <c r="N16" s="13"/>
      <c r="O16" s="13"/>
      <c r="Q16" s="45"/>
      <c r="S16" s="13"/>
      <c r="T16" s="52"/>
    </row>
    <row r="17" spans="1:20" x14ac:dyDescent="0.25">
      <c r="A17" s="12" t="s">
        <v>28</v>
      </c>
      <c r="B17" s="85">
        <f>+U4</f>
        <v>7666</v>
      </c>
      <c r="C17" s="74" t="s">
        <v>6</v>
      </c>
      <c r="D17" s="86">
        <v>25</v>
      </c>
      <c r="E17" s="87">
        <f>+B17*D17</f>
        <v>191650</v>
      </c>
      <c r="F17" s="77" t="s">
        <v>30</v>
      </c>
      <c r="M17" s="13">
        <v>5</v>
      </c>
      <c r="N17" s="13">
        <v>10</v>
      </c>
      <c r="O17" s="44">
        <f>+Z4/3</f>
        <v>16</v>
      </c>
      <c r="P17" s="45">
        <f>(-M17+SQRT(M17^2+4*3*O17))/2/3</f>
        <v>1.6218199771093724</v>
      </c>
      <c r="S17" s="13"/>
      <c r="T17" s="52"/>
    </row>
    <row r="18" spans="1:20" x14ac:dyDescent="0.25">
      <c r="A18" s="100" t="s">
        <v>7</v>
      </c>
      <c r="B18" s="101"/>
      <c r="C18" s="101"/>
      <c r="D18" s="102"/>
      <c r="E18" s="102">
        <f>SUM(E15:E17)</f>
        <v>7776947.9487660313</v>
      </c>
      <c r="F18" s="77" t="s">
        <v>111</v>
      </c>
      <c r="S18" s="13"/>
      <c r="T18" s="52"/>
    </row>
    <row r="19" spans="1:20" x14ac:dyDescent="0.25">
      <c r="A19" s="69"/>
      <c r="B19" s="89"/>
      <c r="C19" s="89"/>
      <c r="D19" s="87"/>
      <c r="E19" s="87"/>
      <c r="F19" s="77"/>
      <c r="M19" s="46" t="s">
        <v>51</v>
      </c>
      <c r="S19" s="13"/>
      <c r="T19" s="52"/>
    </row>
    <row r="20" spans="1:20" x14ac:dyDescent="0.25">
      <c r="A20" s="82" t="s">
        <v>19</v>
      </c>
      <c r="B20" s="88"/>
      <c r="C20" s="88"/>
      <c r="D20" s="84"/>
      <c r="E20" s="84"/>
      <c r="F20" s="69"/>
      <c r="S20" s="13"/>
      <c r="T20" s="52"/>
    </row>
    <row r="21" spans="1:20" x14ac:dyDescent="0.25">
      <c r="A21" s="12" t="s">
        <v>17</v>
      </c>
      <c r="B21" s="89">
        <f>+W4</f>
        <v>2.7</v>
      </c>
      <c r="C21" s="74" t="s">
        <v>18</v>
      </c>
      <c r="D21" s="86">
        <v>35000</v>
      </c>
      <c r="E21" s="86">
        <f t="shared" ref="E21" si="0">+B21*D21</f>
        <v>94500</v>
      </c>
      <c r="F21" s="69"/>
      <c r="M21" s="43" t="s">
        <v>49</v>
      </c>
      <c r="N21" s="43" t="s">
        <v>50</v>
      </c>
      <c r="O21" s="43" t="s">
        <v>52</v>
      </c>
      <c r="P21" s="13"/>
      <c r="S21" s="13"/>
      <c r="T21" s="52"/>
    </row>
    <row r="22" spans="1:20" x14ac:dyDescent="0.25">
      <c r="A22" s="100" t="s">
        <v>7</v>
      </c>
      <c r="B22" s="101"/>
      <c r="C22" s="101"/>
      <c r="D22" s="102"/>
      <c r="E22" s="102">
        <f>SUM(E21:E21)</f>
        <v>94500</v>
      </c>
      <c r="F22" s="69"/>
      <c r="M22" s="43" t="s">
        <v>47</v>
      </c>
      <c r="N22" s="43" t="s">
        <v>46</v>
      </c>
      <c r="O22" s="43" t="s">
        <v>53</v>
      </c>
      <c r="P22" s="13"/>
      <c r="S22" s="13"/>
      <c r="T22" s="52"/>
    </row>
    <row r="23" spans="1:20" x14ac:dyDescent="0.25">
      <c r="A23" s="12"/>
      <c r="B23" s="73"/>
      <c r="C23" s="73"/>
      <c r="D23" s="86"/>
      <c r="E23" s="87"/>
      <c r="F23" s="69"/>
      <c r="M23" s="13"/>
      <c r="N23" s="13"/>
      <c r="O23" s="13"/>
      <c r="P23" s="13"/>
      <c r="S23" s="13"/>
      <c r="T23" s="52"/>
    </row>
    <row r="24" spans="1:20" x14ac:dyDescent="0.25">
      <c r="A24" s="29" t="s">
        <v>20</v>
      </c>
      <c r="B24" s="88"/>
      <c r="C24" s="88"/>
      <c r="D24" s="84"/>
      <c r="E24" s="84"/>
      <c r="F24" s="77"/>
      <c r="M24" s="13">
        <f>+V4*66*660</f>
        <v>1041083.9999999999</v>
      </c>
      <c r="N24" s="44">
        <f>+SQRT(M24)</f>
        <v>1020.3352390268602</v>
      </c>
      <c r="O24" s="24">
        <f>10/3*(N24^2+(N24+60)^2+SQRT(N24*(N24+60)))/27</f>
        <v>272747.91795064125</v>
      </c>
      <c r="P24" s="13"/>
      <c r="S24" s="13"/>
      <c r="T24" s="52"/>
    </row>
    <row r="25" spans="1:20" x14ac:dyDescent="0.25">
      <c r="A25" s="31" t="s">
        <v>21</v>
      </c>
      <c r="B25" s="128">
        <f>+U4</f>
        <v>7666</v>
      </c>
      <c r="C25" s="117" t="s">
        <v>6</v>
      </c>
      <c r="D25" s="119">
        <v>25</v>
      </c>
      <c r="E25" s="84">
        <f>+B25*D25</f>
        <v>191650</v>
      </c>
      <c r="F25" s="69"/>
      <c r="M25" s="13"/>
      <c r="N25" s="13"/>
      <c r="O25" s="13"/>
      <c r="P25" s="13"/>
      <c r="S25" s="13"/>
      <c r="T25" s="52"/>
    </row>
    <row r="26" spans="1:20" x14ac:dyDescent="0.25">
      <c r="A26" s="69" t="s">
        <v>7</v>
      </c>
      <c r="B26" s="89"/>
      <c r="C26" s="89"/>
      <c r="D26" s="87"/>
      <c r="E26" s="87">
        <f>SUM(E25)</f>
        <v>191650</v>
      </c>
      <c r="F26" s="69"/>
      <c r="M26" s="48" t="s">
        <v>78</v>
      </c>
      <c r="N26" s="13"/>
      <c r="O26" s="13"/>
      <c r="P26" s="13"/>
      <c r="S26" s="13"/>
      <c r="T26" s="52"/>
    </row>
    <row r="27" spans="1:20" x14ac:dyDescent="0.25">
      <c r="A27" s="69"/>
      <c r="B27" s="89"/>
      <c r="C27" s="89"/>
      <c r="D27" s="87"/>
      <c r="E27" s="87"/>
      <c r="F27" s="69"/>
      <c r="M27" s="13"/>
      <c r="N27" s="13"/>
      <c r="O27" s="13"/>
      <c r="P27" s="13"/>
      <c r="Q27" s="13"/>
      <c r="S27" s="13"/>
      <c r="T27" s="52"/>
    </row>
    <row r="28" spans="1:20" x14ac:dyDescent="0.25">
      <c r="A28" s="29" t="s">
        <v>79</v>
      </c>
      <c r="B28" s="88">
        <v>10</v>
      </c>
      <c r="C28" s="88" t="s">
        <v>8</v>
      </c>
      <c r="D28" s="113">
        <f>SUM(E10:E26)/2</f>
        <v>10053097.94876603</v>
      </c>
      <c r="E28" s="84">
        <f>D28*B28/100</f>
        <v>1005309.7948766031</v>
      </c>
      <c r="F28" s="69"/>
      <c r="M28" s="49" t="s">
        <v>58</v>
      </c>
      <c r="N28" s="50"/>
      <c r="O28" s="43" t="s">
        <v>61</v>
      </c>
      <c r="P28" s="43" t="s">
        <v>63</v>
      </c>
      <c r="Q28" s="13"/>
      <c r="S28" s="13"/>
      <c r="T28" s="52"/>
    </row>
    <row r="29" spans="1:20" x14ac:dyDescent="0.25">
      <c r="A29" s="77" t="s">
        <v>79</v>
      </c>
      <c r="B29" s="89"/>
      <c r="C29" s="89"/>
      <c r="D29" s="87"/>
      <c r="E29" s="87">
        <f>SUM(E28)</f>
        <v>1005309.7948766031</v>
      </c>
      <c r="F29" s="77"/>
      <c r="M29" s="43" t="s">
        <v>59</v>
      </c>
      <c r="N29" s="43" t="s">
        <v>60</v>
      </c>
      <c r="O29" s="43" t="s">
        <v>62</v>
      </c>
      <c r="P29" s="43" t="s">
        <v>66</v>
      </c>
      <c r="Q29" s="13"/>
      <c r="S29" s="13"/>
      <c r="T29" s="52"/>
    </row>
    <row r="30" spans="1:20" x14ac:dyDescent="0.25">
      <c r="A30" s="69"/>
      <c r="B30" s="89"/>
      <c r="C30" s="89"/>
      <c r="D30" s="87"/>
      <c r="E30" s="87"/>
      <c r="F30" s="69"/>
      <c r="M30" s="13"/>
      <c r="N30" s="13"/>
      <c r="O30" s="13"/>
      <c r="P30" s="13"/>
      <c r="Q30" s="13"/>
      <c r="S30" s="13"/>
      <c r="T30" s="52"/>
    </row>
    <row r="31" spans="1:20" x14ac:dyDescent="0.25">
      <c r="A31" s="29" t="s">
        <v>9</v>
      </c>
      <c r="B31" s="88">
        <v>10</v>
      </c>
      <c r="C31" s="88" t="s">
        <v>8</v>
      </c>
      <c r="D31" s="113">
        <f>SUM(E10:E30)/2</f>
        <v>11058407.743642632</v>
      </c>
      <c r="E31" s="84">
        <f>D31*B31/100</f>
        <v>1105840.7743642631</v>
      </c>
      <c r="F31" s="69"/>
      <c r="M31" s="13">
        <f>B10</f>
        <v>350</v>
      </c>
      <c r="N31" s="44">
        <f>0.746*M31*3*30.4*24</f>
        <v>571495.67999999993</v>
      </c>
      <c r="O31" s="51">
        <v>0.15</v>
      </c>
      <c r="P31" s="52">
        <f>+N31*O31</f>
        <v>85724.351999999984</v>
      </c>
      <c r="Q31" s="13"/>
      <c r="S31" s="13"/>
      <c r="T31" s="52"/>
    </row>
    <row r="32" spans="1:20" x14ac:dyDescent="0.25">
      <c r="A32" s="69" t="s">
        <v>7</v>
      </c>
      <c r="B32" s="89"/>
      <c r="C32" s="89"/>
      <c r="D32" s="87"/>
      <c r="E32" s="87">
        <f>SUM(E31)</f>
        <v>1105840.7743642631</v>
      </c>
      <c r="F32" s="69"/>
      <c r="M32" s="13"/>
      <c r="N32" s="13"/>
      <c r="O32" s="13"/>
      <c r="P32" s="13"/>
      <c r="Q32" s="43"/>
      <c r="S32" s="13"/>
      <c r="T32" s="52"/>
    </row>
    <row r="33" spans="1:20" x14ac:dyDescent="0.25">
      <c r="A33" s="69"/>
      <c r="B33" s="89"/>
      <c r="C33" s="89"/>
      <c r="D33" s="87"/>
      <c r="E33" s="87"/>
      <c r="F33" s="69"/>
      <c r="M33" s="43" t="s">
        <v>64</v>
      </c>
      <c r="N33" s="43" t="s">
        <v>63</v>
      </c>
      <c r="O33" s="43" t="s">
        <v>68</v>
      </c>
      <c r="Q33" s="43"/>
      <c r="S33" s="13"/>
      <c r="T33" s="52"/>
    </row>
    <row r="34" spans="1:20" x14ac:dyDescent="0.25">
      <c r="A34" s="29" t="s">
        <v>23</v>
      </c>
      <c r="B34" s="88"/>
      <c r="C34" s="88"/>
      <c r="D34" s="86"/>
      <c r="E34" s="86"/>
      <c r="F34" s="69"/>
      <c r="M34" s="43" t="s">
        <v>65</v>
      </c>
      <c r="N34" s="43" t="s">
        <v>66</v>
      </c>
      <c r="O34" s="43" t="s">
        <v>69</v>
      </c>
      <c r="S34" s="13"/>
      <c r="T34" s="52"/>
    </row>
    <row r="35" spans="1:20" x14ac:dyDescent="0.25">
      <c r="A35" s="71" t="s">
        <v>116</v>
      </c>
      <c r="B35" s="72">
        <v>10</v>
      </c>
      <c r="C35" s="72" t="s">
        <v>8</v>
      </c>
      <c r="D35" s="92">
        <f>SUM(E10:E32)/2</f>
        <v>12164248.518006895</v>
      </c>
      <c r="E35" s="102">
        <f>D35*B35/100</f>
        <v>1216424.8518006895</v>
      </c>
      <c r="F35" s="69"/>
      <c r="M35" s="13"/>
      <c r="N35" s="13"/>
      <c r="O35" s="13"/>
      <c r="Q35" s="2"/>
      <c r="S35" s="13"/>
      <c r="T35" s="52"/>
    </row>
    <row r="36" spans="1:20" x14ac:dyDescent="0.25">
      <c r="A36" s="12" t="s">
        <v>120</v>
      </c>
      <c r="B36" s="73">
        <v>15</v>
      </c>
      <c r="C36" s="74" t="s">
        <v>8</v>
      </c>
      <c r="D36" s="94">
        <f>SUM(E10:E32)/2</f>
        <v>12164248.518006895</v>
      </c>
      <c r="E36" s="86">
        <f>D36*B36/100</f>
        <v>1824637.2777010342</v>
      </c>
      <c r="F36" s="69"/>
      <c r="M36" s="53">
        <v>0.05</v>
      </c>
      <c r="N36" s="52">
        <f>+M36*SUM(E10:E32)/2</f>
        <v>608212.42590034474</v>
      </c>
      <c r="O36" s="13">
        <v>50</v>
      </c>
      <c r="Q36" s="13"/>
      <c r="S36" s="13"/>
      <c r="T36" s="52"/>
    </row>
    <row r="37" spans="1:20" x14ac:dyDescent="0.25">
      <c r="A37" s="12" t="s">
        <v>57</v>
      </c>
      <c r="B37" s="73">
        <v>11</v>
      </c>
      <c r="C37" s="74" t="s">
        <v>8</v>
      </c>
      <c r="D37" s="94">
        <f>SUM(E10:E32)/2 +SUM(D35:D36) + SUM(D38:D40)</f>
        <v>72985491.108041376</v>
      </c>
      <c r="E37" s="86">
        <f t="shared" ref="E37:E40" si="1">D37*B37/100</f>
        <v>8028404.0218845513</v>
      </c>
      <c r="F37" s="69"/>
      <c r="S37" s="13"/>
      <c r="T37" s="52"/>
    </row>
    <row r="38" spans="1:20" x14ac:dyDescent="0.25">
      <c r="A38" s="12" t="s">
        <v>24</v>
      </c>
      <c r="B38" s="73">
        <v>5</v>
      </c>
      <c r="C38" s="74" t="s">
        <v>8</v>
      </c>
      <c r="D38" s="94">
        <f>SUM(E10:E32)/2</f>
        <v>12164248.518006895</v>
      </c>
      <c r="E38" s="86">
        <f t="shared" si="1"/>
        <v>608212.42590034474</v>
      </c>
      <c r="F38" s="69"/>
      <c r="S38" s="13"/>
      <c r="T38" s="52"/>
    </row>
    <row r="39" spans="1:20" x14ac:dyDescent="0.25">
      <c r="A39" s="12" t="s">
        <v>25</v>
      </c>
      <c r="B39" s="73">
        <v>10</v>
      </c>
      <c r="C39" s="74" t="s">
        <v>8</v>
      </c>
      <c r="D39" s="94">
        <f>SUM(E10:E32)/2</f>
        <v>12164248.518006895</v>
      </c>
      <c r="E39" s="86">
        <f t="shared" si="1"/>
        <v>1216424.8518006895</v>
      </c>
      <c r="F39" s="69"/>
      <c r="S39" s="13"/>
      <c r="T39" s="52"/>
    </row>
    <row r="40" spans="1:20" x14ac:dyDescent="0.25">
      <c r="A40" s="18" t="s">
        <v>26</v>
      </c>
      <c r="B40" s="88">
        <v>10</v>
      </c>
      <c r="C40" s="112" t="s">
        <v>8</v>
      </c>
      <c r="D40" s="113">
        <f>SUM(E10:E32)/2</f>
        <v>12164248.518006895</v>
      </c>
      <c r="E40" s="84">
        <f t="shared" si="1"/>
        <v>1216424.8518006895</v>
      </c>
      <c r="F40" s="69"/>
      <c r="S40" s="13"/>
      <c r="T40" s="52"/>
    </row>
    <row r="41" spans="1:20" x14ac:dyDescent="0.25">
      <c r="A41" s="69" t="s">
        <v>7</v>
      </c>
      <c r="B41" s="89"/>
      <c r="C41" s="89"/>
      <c r="D41" s="87"/>
      <c r="E41" s="87">
        <f>SUM(E35:E40)</f>
        <v>14110528.280887999</v>
      </c>
      <c r="F41" s="69"/>
      <c r="S41" s="13"/>
      <c r="T41" s="52"/>
    </row>
    <row r="42" spans="1:20" x14ac:dyDescent="0.25">
      <c r="A42" s="114"/>
      <c r="B42" s="73"/>
      <c r="C42" s="73"/>
      <c r="D42" s="86"/>
      <c r="E42" s="115"/>
      <c r="F42" s="69"/>
      <c r="S42" s="13"/>
      <c r="T42" s="52"/>
    </row>
    <row r="43" spans="1:20" x14ac:dyDescent="0.25">
      <c r="A43" s="29" t="s">
        <v>27</v>
      </c>
      <c r="B43" s="96"/>
      <c r="C43" s="96"/>
      <c r="D43" s="116"/>
      <c r="E43" s="116"/>
      <c r="F43" s="69"/>
      <c r="S43" s="13"/>
      <c r="T43" s="52"/>
    </row>
    <row r="44" spans="1:20" x14ac:dyDescent="0.25">
      <c r="A44" s="31" t="s">
        <v>27</v>
      </c>
      <c r="B44" s="97">
        <v>30</v>
      </c>
      <c r="C44" s="117" t="s">
        <v>8</v>
      </c>
      <c r="D44" s="118">
        <f>SUM(E10:E41)/2</f>
        <v>26274776.798894893</v>
      </c>
      <c r="E44" s="119">
        <f>D44*B44/100</f>
        <v>7882433.0396684678</v>
      </c>
      <c r="F44" s="69"/>
      <c r="S44" s="13"/>
      <c r="T44" s="52"/>
    </row>
    <row r="45" spans="1:20" x14ac:dyDescent="0.25">
      <c r="A45" s="69" t="s">
        <v>7</v>
      </c>
      <c r="B45" s="89"/>
      <c r="C45" s="89"/>
      <c r="D45" s="87"/>
      <c r="E45" s="87">
        <f>SUM(E44)</f>
        <v>7882433.0396684678</v>
      </c>
      <c r="F45" s="69"/>
      <c r="S45" s="13"/>
      <c r="T45" s="52"/>
    </row>
    <row r="46" spans="1:20" x14ac:dyDescent="0.25">
      <c r="A46" s="69"/>
      <c r="B46" s="69"/>
      <c r="C46" s="69"/>
      <c r="D46" s="69"/>
      <c r="E46" s="69"/>
      <c r="F46" s="69"/>
      <c r="S46" s="13"/>
      <c r="T46" s="52"/>
    </row>
    <row r="47" spans="1:20" x14ac:dyDescent="0.25">
      <c r="A47" s="29" t="s">
        <v>123</v>
      </c>
      <c r="B47" s="96"/>
      <c r="C47" s="96"/>
      <c r="D47" s="116"/>
      <c r="E47" s="116"/>
      <c r="F47" s="69"/>
      <c r="S47" s="13"/>
      <c r="T47" s="52"/>
    </row>
    <row r="48" spans="1:20" x14ac:dyDescent="0.25">
      <c r="A48" s="18" t="s">
        <v>22</v>
      </c>
      <c r="B48" s="120">
        <f>20*B11/66/660 + T4</f>
        <v>39.974288337924705</v>
      </c>
      <c r="C48" s="112" t="s">
        <v>18</v>
      </c>
      <c r="D48" s="121">
        <v>500000</v>
      </c>
      <c r="E48" s="121">
        <f>B48*D48</f>
        <v>19987144.168962352</v>
      </c>
      <c r="F48" s="77" t="s">
        <v>124</v>
      </c>
      <c r="S48" s="13"/>
      <c r="T48" s="52"/>
    </row>
    <row r="49" spans="1:20" x14ac:dyDescent="0.25">
      <c r="A49" s="77" t="s">
        <v>7</v>
      </c>
      <c r="B49" s="91"/>
      <c r="C49" s="91"/>
      <c r="D49" s="122"/>
      <c r="E49" s="122">
        <f>SUM(E48)</f>
        <v>19987144.168962352</v>
      </c>
      <c r="F49" s="77" t="s">
        <v>113</v>
      </c>
      <c r="S49" s="13"/>
      <c r="T49" s="52"/>
    </row>
    <row r="50" spans="1:20" x14ac:dyDescent="0.25">
      <c r="A50" s="69"/>
      <c r="B50" s="69"/>
      <c r="C50" s="69"/>
      <c r="D50" s="69"/>
      <c r="E50" s="69"/>
      <c r="F50" s="77"/>
      <c r="S50" s="13"/>
      <c r="T50" s="52"/>
    </row>
    <row r="51" spans="1:20" x14ac:dyDescent="0.25">
      <c r="A51" s="69"/>
      <c r="B51" s="69"/>
      <c r="C51" s="69"/>
      <c r="D51" s="69"/>
      <c r="E51" s="69"/>
      <c r="F51" s="87"/>
      <c r="S51" s="13"/>
      <c r="T51" s="52"/>
    </row>
    <row r="52" spans="1:20" x14ac:dyDescent="0.25">
      <c r="A52" s="114" t="s">
        <v>125</v>
      </c>
      <c r="B52" s="73"/>
      <c r="C52" s="69"/>
      <c r="D52" s="89"/>
      <c r="E52" s="127">
        <f>SUM(E10:E45)/2</f>
        <v>34157209.83856336</v>
      </c>
      <c r="F52" s="69"/>
      <c r="S52" s="13"/>
      <c r="T52" s="52"/>
    </row>
    <row r="53" spans="1:20" x14ac:dyDescent="0.25">
      <c r="A53" s="69"/>
      <c r="B53" s="73"/>
      <c r="C53" s="73"/>
      <c r="D53" s="86"/>
      <c r="E53" s="124"/>
      <c r="F53" s="69"/>
      <c r="S53" s="13"/>
      <c r="T53" s="52"/>
    </row>
    <row r="54" spans="1:20" x14ac:dyDescent="0.25">
      <c r="A54" s="114" t="s">
        <v>126</v>
      </c>
      <c r="B54" s="125"/>
      <c r="C54" s="73"/>
      <c r="D54" s="86"/>
      <c r="E54" s="87">
        <f>E49</f>
        <v>19987144.168962352</v>
      </c>
      <c r="F54" s="69"/>
      <c r="S54" s="13"/>
      <c r="T54" s="52"/>
    </row>
    <row r="55" spans="1:20" x14ac:dyDescent="0.25">
      <c r="A55" s="69"/>
      <c r="B55" s="73"/>
      <c r="C55" s="73"/>
      <c r="D55" s="86"/>
      <c r="E55" s="86"/>
      <c r="F55" s="69"/>
      <c r="S55" s="13"/>
      <c r="T55" s="52"/>
    </row>
    <row r="56" spans="1:20" x14ac:dyDescent="0.25">
      <c r="A56" s="114" t="s">
        <v>127</v>
      </c>
      <c r="B56" s="69"/>
      <c r="C56" s="69"/>
      <c r="D56" s="69"/>
      <c r="E56" s="81">
        <f>+PMT(0.03375,50,-E52-E54,0)</f>
        <v>2256588.2325370866</v>
      </c>
      <c r="F56" s="77" t="s">
        <v>128</v>
      </c>
      <c r="S56" s="13"/>
      <c r="T56" s="52"/>
    </row>
    <row r="57" spans="1:20" x14ac:dyDescent="0.25">
      <c r="A57" s="69"/>
      <c r="B57" s="69"/>
      <c r="C57" s="69"/>
      <c r="D57" s="69"/>
      <c r="E57" s="69"/>
      <c r="F57" s="69"/>
      <c r="S57" s="13"/>
      <c r="T57" s="52"/>
    </row>
    <row r="58" spans="1:20" x14ac:dyDescent="0.25">
      <c r="A58" s="110" t="s">
        <v>67</v>
      </c>
      <c r="B58" s="126"/>
      <c r="C58" s="126"/>
      <c r="D58" s="86"/>
      <c r="E58" s="86">
        <f>N36+P31+O10</f>
        <v>716213.02469293226</v>
      </c>
      <c r="F58" s="69"/>
      <c r="S58" s="13"/>
      <c r="T58" s="52"/>
    </row>
    <row r="59" spans="1:20" x14ac:dyDescent="0.25">
      <c r="A59" s="114"/>
      <c r="B59" s="73"/>
      <c r="C59" s="73"/>
      <c r="D59" s="86"/>
      <c r="E59" s="86"/>
      <c r="F59" s="69"/>
      <c r="S59" s="13"/>
      <c r="T59" s="52"/>
    </row>
    <row r="60" spans="1:20" x14ac:dyDescent="0.25">
      <c r="A60" s="110" t="s">
        <v>77</v>
      </c>
      <c r="B60" s="69"/>
      <c r="C60" s="69"/>
      <c r="D60" s="69"/>
      <c r="E60" s="103">
        <f>+Y4</f>
        <v>4474</v>
      </c>
      <c r="F60" s="69"/>
      <c r="S60" s="13"/>
      <c r="T60" s="52"/>
    </row>
    <row r="61" spans="1:20" x14ac:dyDescent="0.25">
      <c r="A61" s="126"/>
      <c r="B61" s="73"/>
      <c r="C61" s="73"/>
      <c r="D61" s="86"/>
      <c r="E61" s="86"/>
      <c r="F61" s="69"/>
      <c r="S61" s="13"/>
      <c r="T61" s="52"/>
    </row>
    <row r="62" spans="1:20" x14ac:dyDescent="0.25">
      <c r="A62" s="114" t="s">
        <v>129</v>
      </c>
      <c r="B62" s="73"/>
      <c r="C62" s="73"/>
      <c r="D62" s="86"/>
      <c r="E62" s="86">
        <f>+(E56+E58)/E60</f>
        <v>664.46161314931135</v>
      </c>
      <c r="F62" s="69"/>
      <c r="S62" s="13"/>
      <c r="T62" s="52"/>
    </row>
    <row r="63" spans="1:20" x14ac:dyDescent="0.25">
      <c r="A63" s="69"/>
      <c r="B63" s="69"/>
      <c r="C63" s="69"/>
      <c r="D63" s="69"/>
      <c r="E63" s="69"/>
      <c r="F63" s="69"/>
    </row>
    <row r="64" spans="1:20" x14ac:dyDescent="0.25">
      <c r="A64" s="69"/>
      <c r="B64" s="69"/>
      <c r="C64" s="69"/>
      <c r="D64" s="69"/>
      <c r="E64" s="69"/>
      <c r="F64" s="69"/>
    </row>
    <row r="65" spans="1:6" x14ac:dyDescent="0.25">
      <c r="A65" s="69"/>
      <c r="B65" s="69"/>
      <c r="C65" s="69"/>
      <c r="D65" s="69"/>
      <c r="E65" s="69"/>
      <c r="F65" s="69"/>
    </row>
    <row r="66" spans="1:6" x14ac:dyDescent="0.25">
      <c r="A66" s="69"/>
      <c r="B66" s="69"/>
      <c r="C66" s="69"/>
      <c r="D66" s="69"/>
      <c r="E66" s="69"/>
      <c r="F66" s="69"/>
    </row>
    <row r="67" spans="1:6" x14ac:dyDescent="0.25">
      <c r="A67" s="69"/>
      <c r="B67" s="69"/>
      <c r="C67" s="69"/>
      <c r="D67" s="69"/>
      <c r="E67" s="69"/>
      <c r="F67" s="69"/>
    </row>
    <row r="68" spans="1:6" x14ac:dyDescent="0.25">
      <c r="A68" s="69"/>
      <c r="B68" s="69"/>
      <c r="C68" s="69"/>
      <c r="D68" s="69"/>
      <c r="E68" s="69"/>
      <c r="F68" s="69"/>
    </row>
  </sheetData>
  <customSheetViews>
    <customSheetView guid="{0938481C-6147-45AE-A91B-B3C254F54487}" scale="70" showPageBreaks="1" printArea="1" hiddenColumns="1" view="pageLayout" topLeftCell="A26">
      <selection activeCell="E54" sqref="E54"/>
      <pageMargins left="0.7" right="0.7" top="0.75" bottom="0.75" header="0.3" footer="0.3"/>
      <pageSetup scale="58" orientation="landscape" r:id="rId1"/>
      <headerFooter>
        <oddFooter>&amp;LLA Basin Stormwater Conservation Study_Project Costs&amp;R&amp;D</oddFooter>
      </headerFooter>
    </customSheetView>
    <customSheetView guid="{DE980C82-6B2E-45C1-AD5F-2B41EFFE9ED0}" topLeftCell="I1">
      <selection activeCell="R9" sqref="R2:R9"/>
      <pageMargins left="0.7" right="0.7" top="0.75" bottom="0.75" header="0.3" footer="0.3"/>
    </customSheetView>
  </customSheetViews>
  <pageMargins left="0.7" right="0.7" top="0.75" bottom="0.75" header="0.3" footer="0.3"/>
  <pageSetup scale="58" orientation="landscape"/>
  <headerFooter>
    <oddFooter>&amp;LLA Basin Stormwater Conservation Study_Project Costs&amp;R&amp;D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67"/>
  <sheetViews>
    <sheetView zoomScaleNormal="100" zoomScalePageLayoutView="70" workbookViewId="0">
      <selection activeCell="A3" sqref="A3"/>
    </sheetView>
  </sheetViews>
  <sheetFormatPr defaultRowHeight="13.2" x14ac:dyDescent="0.25"/>
  <cols>
    <col min="1" max="1" width="54.6640625" customWidth="1"/>
    <col min="4" max="4" width="13.88671875" bestFit="1" customWidth="1"/>
    <col min="5" max="5" width="15.44140625" customWidth="1"/>
    <col min="10" max="11" width="8.88671875" hidden="1" customWidth="1"/>
    <col min="12" max="12" width="6.33203125" customWidth="1"/>
    <col min="13" max="13" width="17" customWidth="1"/>
    <col min="14" max="14" width="11.5546875" customWidth="1"/>
    <col min="15" max="15" width="11.88671875" customWidth="1"/>
    <col min="16" max="16" width="11.5546875" customWidth="1"/>
    <col min="17" max="17" width="12.44140625" customWidth="1"/>
    <col min="18" max="18" width="11.109375" customWidth="1"/>
    <col min="19" max="19" width="15.6640625" customWidth="1"/>
    <col min="20" max="20" width="26.33203125" customWidth="1"/>
    <col min="21" max="21" width="16.33203125" customWidth="1"/>
    <col min="22" max="22" width="28.6640625" customWidth="1"/>
  </cols>
  <sheetData>
    <row r="1" spans="1:26" ht="13.8" thickBot="1" x14ac:dyDescent="0.3">
      <c r="A1" s="1" t="s">
        <v>10</v>
      </c>
    </row>
    <row r="2" spans="1:26" x14ac:dyDescent="0.25">
      <c r="A2" s="1" t="s">
        <v>114</v>
      </c>
      <c r="L2" s="61"/>
      <c r="S2" s="38" t="s">
        <v>31</v>
      </c>
      <c r="T2" s="38" t="s">
        <v>32</v>
      </c>
      <c r="U2" s="38" t="s">
        <v>33</v>
      </c>
      <c r="V2" s="38" t="s">
        <v>34</v>
      </c>
      <c r="W2" s="38" t="s">
        <v>35</v>
      </c>
      <c r="X2" s="38" t="s">
        <v>36</v>
      </c>
      <c r="Y2" s="38" t="s">
        <v>77</v>
      </c>
      <c r="Z2" s="38" t="s">
        <v>37</v>
      </c>
    </row>
    <row r="3" spans="1:26" ht="13.8" thickBot="1" x14ac:dyDescent="0.3">
      <c r="A3" s="16">
        <v>42275</v>
      </c>
      <c r="L3" s="61"/>
      <c r="S3" s="41"/>
      <c r="T3" s="41"/>
      <c r="U3" s="41"/>
      <c r="V3" s="41"/>
      <c r="W3" s="41"/>
      <c r="X3" s="41"/>
      <c r="Y3" s="60"/>
      <c r="Z3" s="41"/>
    </row>
    <row r="4" spans="1:26" x14ac:dyDescent="0.25">
      <c r="L4" s="61"/>
      <c r="S4" t="s">
        <v>80</v>
      </c>
      <c r="T4">
        <v>16.5</v>
      </c>
      <c r="U4">
        <v>5454</v>
      </c>
      <c r="V4">
        <v>10.4</v>
      </c>
      <c r="W4">
        <v>1.1599999999999999</v>
      </c>
      <c r="X4">
        <v>10</v>
      </c>
      <c r="Y4">
        <v>1382</v>
      </c>
      <c r="Z4">
        <v>21</v>
      </c>
    </row>
    <row r="5" spans="1:26" ht="13.8" thickBot="1" x14ac:dyDescent="0.3">
      <c r="A5" s="19" t="s">
        <v>106</v>
      </c>
      <c r="B5" s="20"/>
      <c r="C5" s="20"/>
      <c r="D5" s="20"/>
      <c r="E5" s="20"/>
      <c r="L5" s="61"/>
      <c r="M5" s="75" t="s">
        <v>119</v>
      </c>
      <c r="N5" s="61"/>
      <c r="O5" s="69"/>
      <c r="P5" s="61"/>
      <c r="Q5" s="61"/>
      <c r="R5" s="61"/>
      <c r="S5" s="61"/>
      <c r="T5" s="61"/>
      <c r="U5" s="61"/>
    </row>
    <row r="6" spans="1:26" x14ac:dyDescent="0.25">
      <c r="L6" s="61"/>
      <c r="M6" s="69"/>
      <c r="N6" s="69"/>
      <c r="O6" s="61"/>
      <c r="P6" s="61"/>
      <c r="Q6" s="61"/>
      <c r="R6" s="61"/>
      <c r="S6" s="61"/>
      <c r="T6" s="61"/>
      <c r="U6" s="61"/>
    </row>
    <row r="7" spans="1:26" x14ac:dyDescent="0.25">
      <c r="A7" s="1" t="s">
        <v>0</v>
      </c>
      <c r="B7" s="3" t="s">
        <v>1</v>
      </c>
      <c r="C7" s="3" t="s">
        <v>2</v>
      </c>
      <c r="D7" s="4" t="s">
        <v>3</v>
      </c>
      <c r="E7" s="4" t="s">
        <v>4</v>
      </c>
      <c r="L7" s="61"/>
      <c r="M7" s="76" t="s">
        <v>117</v>
      </c>
      <c r="N7" s="70" t="s">
        <v>4</v>
      </c>
      <c r="O7" s="77" t="s">
        <v>63</v>
      </c>
      <c r="P7" s="61"/>
      <c r="Q7" s="61"/>
      <c r="R7" s="61"/>
      <c r="S7" s="61"/>
      <c r="T7" s="61"/>
      <c r="U7" s="61"/>
    </row>
    <row r="8" spans="1:26" x14ac:dyDescent="0.25">
      <c r="A8" s="1"/>
      <c r="B8" s="1"/>
      <c r="C8" s="1"/>
      <c r="D8" s="5"/>
      <c r="E8" s="5"/>
      <c r="L8" s="61"/>
      <c r="M8" s="69"/>
      <c r="N8" s="78" t="s">
        <v>66</v>
      </c>
      <c r="O8" s="78" t="s">
        <v>66</v>
      </c>
    </row>
    <row r="9" spans="1:26" x14ac:dyDescent="0.25">
      <c r="A9" s="17" t="s">
        <v>11</v>
      </c>
      <c r="B9" s="7"/>
      <c r="C9" s="7"/>
      <c r="D9" s="8"/>
      <c r="E9" s="8"/>
      <c r="M9" s="69"/>
      <c r="N9" s="69"/>
      <c r="O9" s="69"/>
    </row>
    <row r="10" spans="1:26" ht="12.75" customHeight="1" x14ac:dyDescent="0.25">
      <c r="A10" s="9" t="s">
        <v>115</v>
      </c>
      <c r="B10" s="10">
        <v>150</v>
      </c>
      <c r="C10" s="25" t="s">
        <v>55</v>
      </c>
      <c r="D10" s="11">
        <v>2000</v>
      </c>
      <c r="E10" s="2">
        <f>+B10*D10</f>
        <v>300000</v>
      </c>
      <c r="M10" s="79" t="s">
        <v>118</v>
      </c>
      <c r="N10" s="80">
        <f>E10</f>
        <v>300000</v>
      </c>
      <c r="O10" s="81">
        <f>+PMT(0.02,50,-N10,0)</f>
        <v>9546.9629111089707</v>
      </c>
    </row>
    <row r="11" spans="1:26" x14ac:dyDescent="0.25">
      <c r="A11" s="9" t="s">
        <v>112</v>
      </c>
      <c r="B11" s="10">
        <v>3600</v>
      </c>
      <c r="C11" s="10" t="s">
        <v>6</v>
      </c>
      <c r="D11" s="86">
        <v>300</v>
      </c>
      <c r="E11" s="2">
        <f>+B11*D11</f>
        <v>1080000</v>
      </c>
      <c r="F11" s="30"/>
      <c r="S11" s="30"/>
      <c r="T11" s="42"/>
    </row>
    <row r="12" spans="1:26" x14ac:dyDescent="0.25">
      <c r="A12" s="98" t="s">
        <v>7</v>
      </c>
      <c r="B12" s="99"/>
      <c r="C12" s="99"/>
      <c r="D12" s="102"/>
      <c r="E12" s="37">
        <f>SUM(E10:E11)</f>
        <v>1380000</v>
      </c>
      <c r="M12" s="46" t="s">
        <v>54</v>
      </c>
    </row>
    <row r="13" spans="1:26" x14ac:dyDescent="0.25">
      <c r="B13" s="13"/>
      <c r="C13" s="13"/>
      <c r="D13" s="87"/>
      <c r="E13" s="2"/>
      <c r="Q13" s="43"/>
      <c r="S13" s="13"/>
      <c r="T13" s="52"/>
    </row>
    <row r="14" spans="1:26" x14ac:dyDescent="0.25">
      <c r="A14" s="17" t="s">
        <v>12</v>
      </c>
      <c r="B14" s="7"/>
      <c r="C14" s="7"/>
      <c r="D14" s="84"/>
      <c r="E14" s="8"/>
      <c r="M14" s="43" t="s">
        <v>44</v>
      </c>
      <c r="N14" s="43" t="s">
        <v>45</v>
      </c>
      <c r="O14" s="43" t="s">
        <v>43</v>
      </c>
      <c r="P14" s="43" t="s">
        <v>48</v>
      </c>
      <c r="Q14" s="43"/>
      <c r="S14" s="13"/>
      <c r="T14" s="52"/>
    </row>
    <row r="15" spans="1:26" x14ac:dyDescent="0.25">
      <c r="A15" s="9" t="s">
        <v>15</v>
      </c>
      <c r="B15" s="24">
        <f>+O24</f>
        <v>122360.35794197011</v>
      </c>
      <c r="C15" s="25" t="s">
        <v>29</v>
      </c>
      <c r="D15" s="86">
        <v>25</v>
      </c>
      <c r="E15" s="2">
        <f>+B15*D15</f>
        <v>3059008.9485492529</v>
      </c>
      <c r="M15" s="43" t="s">
        <v>46</v>
      </c>
      <c r="N15" s="43" t="s">
        <v>46</v>
      </c>
      <c r="O15" s="43" t="s">
        <v>47</v>
      </c>
      <c r="P15" s="43" t="s">
        <v>46</v>
      </c>
      <c r="S15" s="13"/>
      <c r="T15" s="52"/>
    </row>
    <row r="16" spans="1:26" x14ac:dyDescent="0.25">
      <c r="A16" s="12" t="s">
        <v>16</v>
      </c>
      <c r="B16" s="24">
        <f>+U4</f>
        <v>5454</v>
      </c>
      <c r="C16" s="25" t="s">
        <v>6</v>
      </c>
      <c r="D16" s="86">
        <v>100</v>
      </c>
      <c r="E16" s="2">
        <f>+B16*D16</f>
        <v>545400</v>
      </c>
      <c r="F16" s="30"/>
      <c r="M16" s="13"/>
      <c r="N16" s="13"/>
      <c r="O16" s="13"/>
      <c r="Q16" s="45"/>
      <c r="S16" s="13"/>
      <c r="T16" s="52"/>
    </row>
    <row r="17" spans="1:20" x14ac:dyDescent="0.25">
      <c r="A17" s="12" t="s">
        <v>28</v>
      </c>
      <c r="B17" s="24">
        <f>+U4</f>
        <v>5454</v>
      </c>
      <c r="C17" s="25" t="s">
        <v>6</v>
      </c>
      <c r="D17" s="86">
        <v>25</v>
      </c>
      <c r="E17" s="2">
        <f>+B17*D17</f>
        <v>136350</v>
      </c>
      <c r="F17" s="30" t="s">
        <v>30</v>
      </c>
      <c r="M17" s="13">
        <v>5</v>
      </c>
      <c r="N17" s="13">
        <v>10</v>
      </c>
      <c r="O17" s="44">
        <f>+Z4/3</f>
        <v>7</v>
      </c>
      <c r="P17" s="45">
        <f>(-M17+SQRT(M17^2+4*3*O17))/2/3</f>
        <v>0.90671775148509182</v>
      </c>
      <c r="S17" s="13"/>
      <c r="T17" s="52"/>
    </row>
    <row r="18" spans="1:20" x14ac:dyDescent="0.25">
      <c r="A18" s="98" t="s">
        <v>7</v>
      </c>
      <c r="B18" s="99"/>
      <c r="C18" s="99"/>
      <c r="D18" s="102"/>
      <c r="E18" s="37">
        <f>SUM(E15:E17)</f>
        <v>3740758.9485492529</v>
      </c>
      <c r="F18" s="30" t="s">
        <v>111</v>
      </c>
      <c r="S18" s="13"/>
      <c r="T18" s="52"/>
    </row>
    <row r="19" spans="1:20" x14ac:dyDescent="0.25">
      <c r="B19" s="13"/>
      <c r="C19" s="13"/>
      <c r="D19" s="2"/>
      <c r="E19" s="2"/>
      <c r="M19" s="46" t="s">
        <v>51</v>
      </c>
      <c r="S19" s="13"/>
      <c r="T19" s="52"/>
    </row>
    <row r="20" spans="1:20" x14ac:dyDescent="0.25">
      <c r="A20" s="17" t="s">
        <v>19</v>
      </c>
      <c r="B20" s="14"/>
      <c r="C20" s="14"/>
      <c r="D20" s="8"/>
      <c r="E20" s="8"/>
      <c r="S20" s="13"/>
      <c r="T20" s="52"/>
    </row>
    <row r="21" spans="1:20" x14ac:dyDescent="0.25">
      <c r="A21" s="9" t="s">
        <v>17</v>
      </c>
      <c r="B21" s="13">
        <f>+W4</f>
        <v>1.1599999999999999</v>
      </c>
      <c r="C21" s="25" t="s">
        <v>18</v>
      </c>
      <c r="D21" s="11">
        <v>35000</v>
      </c>
      <c r="E21" s="11">
        <f t="shared" ref="E21" si="0">+B21*D21</f>
        <v>40600</v>
      </c>
      <c r="M21" s="43" t="s">
        <v>49</v>
      </c>
      <c r="N21" s="43" t="s">
        <v>50</v>
      </c>
      <c r="O21" s="43" t="s">
        <v>52</v>
      </c>
      <c r="P21" s="13"/>
      <c r="S21" s="13"/>
      <c r="T21" s="52"/>
    </row>
    <row r="22" spans="1:20" x14ac:dyDescent="0.25">
      <c r="A22" s="98" t="s">
        <v>7</v>
      </c>
      <c r="B22" s="99"/>
      <c r="C22" s="99"/>
      <c r="D22" s="37"/>
      <c r="E22" s="37">
        <f>SUM(E21:E21)</f>
        <v>40600</v>
      </c>
      <c r="M22" s="43" t="s">
        <v>47</v>
      </c>
      <c r="N22" s="43" t="s">
        <v>46</v>
      </c>
      <c r="O22" s="43" t="s">
        <v>53</v>
      </c>
      <c r="P22" s="13"/>
      <c r="S22" s="13"/>
      <c r="T22" s="52"/>
    </row>
    <row r="23" spans="1:20" x14ac:dyDescent="0.25">
      <c r="A23" s="12"/>
      <c r="B23" s="10"/>
      <c r="C23" s="10"/>
      <c r="D23" s="11"/>
      <c r="E23" s="2"/>
      <c r="M23" s="13"/>
      <c r="N23" s="13"/>
      <c r="O23" s="13"/>
      <c r="P23" s="13"/>
      <c r="S23" s="13"/>
      <c r="T23" s="52"/>
    </row>
    <row r="24" spans="1:20" x14ac:dyDescent="0.25">
      <c r="A24" s="29" t="s">
        <v>20</v>
      </c>
      <c r="B24" s="14"/>
      <c r="C24" s="14"/>
      <c r="D24" s="8"/>
      <c r="E24" s="8"/>
      <c r="F24" s="30"/>
      <c r="M24" s="13">
        <f>+V4*66*660</f>
        <v>453024</v>
      </c>
      <c r="N24" s="44">
        <f>+SQRT(M24)</f>
        <v>673.07057579424759</v>
      </c>
      <c r="O24" s="24">
        <f>10/3*(N24^2+(N24+60)^2+SQRT(N24*(N24+60)))/27</f>
        <v>122360.35794197011</v>
      </c>
      <c r="P24" s="13"/>
      <c r="S24" s="13"/>
      <c r="T24" s="52"/>
    </row>
    <row r="25" spans="1:20" x14ac:dyDescent="0.25">
      <c r="A25" s="31" t="s">
        <v>21</v>
      </c>
      <c r="B25" s="47">
        <f>+U4</f>
        <v>5454</v>
      </c>
      <c r="C25" s="27" t="s">
        <v>6</v>
      </c>
      <c r="D25" s="28">
        <v>25</v>
      </c>
      <c r="E25" s="8">
        <f>+B25*D25</f>
        <v>136350</v>
      </c>
      <c r="M25" s="13"/>
      <c r="N25" s="13"/>
      <c r="O25" s="13"/>
      <c r="P25" s="13"/>
      <c r="S25" s="13"/>
      <c r="T25" s="52"/>
    </row>
    <row r="26" spans="1:20" x14ac:dyDescent="0.25">
      <c r="A26" t="s">
        <v>7</v>
      </c>
      <c r="B26" s="13"/>
      <c r="C26" s="13"/>
      <c r="D26" s="2"/>
      <c r="E26" s="2">
        <f>SUM(E25)</f>
        <v>136350</v>
      </c>
      <c r="M26" s="48" t="s">
        <v>78</v>
      </c>
      <c r="N26" s="13"/>
      <c r="O26" s="13"/>
      <c r="P26" s="13"/>
      <c r="S26" s="13"/>
      <c r="T26" s="52"/>
    </row>
    <row r="27" spans="1:20" x14ac:dyDescent="0.25">
      <c r="B27" s="13"/>
      <c r="C27" s="13"/>
      <c r="D27" s="2"/>
      <c r="E27" s="2"/>
      <c r="M27" s="13"/>
      <c r="N27" s="13"/>
      <c r="O27" s="13"/>
      <c r="P27" s="13"/>
      <c r="Q27" s="13"/>
      <c r="S27" s="13"/>
      <c r="T27" s="52"/>
    </row>
    <row r="28" spans="1:20" x14ac:dyDescent="0.25">
      <c r="A28" s="6" t="s">
        <v>79</v>
      </c>
      <c r="B28" s="14">
        <v>10</v>
      </c>
      <c r="C28" s="14" t="s">
        <v>8</v>
      </c>
      <c r="D28" s="34">
        <f>SUM(E10:E26)/2</f>
        <v>5297708.9485492529</v>
      </c>
      <c r="E28" s="8">
        <f>D28*B28/100</f>
        <v>529770.89485492522</v>
      </c>
      <c r="M28" s="49" t="s">
        <v>58</v>
      </c>
      <c r="N28" s="50"/>
      <c r="O28" s="43" t="s">
        <v>61</v>
      </c>
      <c r="P28" s="43" t="s">
        <v>63</v>
      </c>
      <c r="Q28" s="13"/>
      <c r="S28" s="13"/>
      <c r="T28" s="52"/>
    </row>
    <row r="29" spans="1:20" x14ac:dyDescent="0.25">
      <c r="A29" s="30" t="s">
        <v>79</v>
      </c>
      <c r="B29" s="13"/>
      <c r="C29" s="13"/>
      <c r="D29" s="2"/>
      <c r="E29" s="2">
        <f>SUM(E28)</f>
        <v>529770.89485492522</v>
      </c>
      <c r="F29" s="30"/>
      <c r="M29" s="43" t="s">
        <v>59</v>
      </c>
      <c r="N29" s="43" t="s">
        <v>60</v>
      </c>
      <c r="O29" s="43" t="s">
        <v>62</v>
      </c>
      <c r="P29" s="43" t="s">
        <v>66</v>
      </c>
      <c r="Q29" s="13"/>
      <c r="S29" s="13"/>
      <c r="T29" s="52"/>
    </row>
    <row r="30" spans="1:20" x14ac:dyDescent="0.25">
      <c r="B30" s="13"/>
      <c r="C30" s="13"/>
      <c r="D30" s="2"/>
      <c r="E30" s="2"/>
      <c r="M30" s="13"/>
      <c r="N30" s="13"/>
      <c r="O30" s="13"/>
      <c r="P30" s="13"/>
      <c r="Q30" s="13"/>
      <c r="S30" s="13"/>
      <c r="T30" s="52"/>
    </row>
    <row r="31" spans="1:20" x14ac:dyDescent="0.25">
      <c r="A31" s="6" t="s">
        <v>9</v>
      </c>
      <c r="B31" s="88">
        <v>10</v>
      </c>
      <c r="C31" s="88" t="s">
        <v>8</v>
      </c>
      <c r="D31" s="34">
        <f>SUM(E10:E30)/2</f>
        <v>5827479.8434041785</v>
      </c>
      <c r="E31" s="8">
        <f>D31*B31/100</f>
        <v>582747.98434041778</v>
      </c>
      <c r="M31" s="13">
        <f>B10</f>
        <v>150</v>
      </c>
      <c r="N31" s="44">
        <f>0.746*M31*3*30.4*24</f>
        <v>244926.72000000003</v>
      </c>
      <c r="O31" s="51">
        <v>0.15</v>
      </c>
      <c r="P31" s="52">
        <f>+N31*O31</f>
        <v>36739.008000000002</v>
      </c>
      <c r="Q31" s="13"/>
      <c r="S31" s="13"/>
      <c r="T31" s="52"/>
    </row>
    <row r="32" spans="1:20" x14ac:dyDescent="0.25">
      <c r="A32" t="s">
        <v>7</v>
      </c>
      <c r="B32" s="89"/>
      <c r="C32" s="89"/>
      <c r="D32" s="2"/>
      <c r="E32" s="2">
        <f>SUM(E31)</f>
        <v>582747.98434041778</v>
      </c>
      <c r="M32" s="13"/>
      <c r="N32" s="13"/>
      <c r="O32" s="13"/>
      <c r="P32" s="13"/>
      <c r="Q32" s="43"/>
      <c r="S32" s="13"/>
      <c r="T32" s="52"/>
    </row>
    <row r="33" spans="1:20" x14ac:dyDescent="0.25">
      <c r="B33" s="89"/>
      <c r="C33" s="89"/>
      <c r="D33" s="2"/>
      <c r="E33" s="2"/>
      <c r="M33" s="43" t="s">
        <v>64</v>
      </c>
      <c r="N33" s="43" t="s">
        <v>63</v>
      </c>
      <c r="O33" s="43" t="s">
        <v>68</v>
      </c>
      <c r="Q33" s="43"/>
      <c r="S33" s="13"/>
      <c r="T33" s="52"/>
    </row>
    <row r="34" spans="1:20" x14ac:dyDescent="0.25">
      <c r="A34" s="6" t="s">
        <v>23</v>
      </c>
      <c r="B34" s="88"/>
      <c r="C34" s="88"/>
      <c r="D34" s="11"/>
      <c r="E34" s="11"/>
      <c r="M34" s="43" t="s">
        <v>65</v>
      </c>
      <c r="N34" s="43" t="s">
        <v>66</v>
      </c>
      <c r="O34" s="43" t="s">
        <v>69</v>
      </c>
      <c r="S34" s="13"/>
      <c r="T34" s="52"/>
    </row>
    <row r="35" spans="1:20" x14ac:dyDescent="0.25">
      <c r="A35" s="71" t="s">
        <v>116</v>
      </c>
      <c r="B35" s="72">
        <v>10</v>
      </c>
      <c r="C35" s="72" t="s">
        <v>8</v>
      </c>
      <c r="D35" s="36">
        <f>SUM(E10:E32)/2</f>
        <v>6410227.8277445966</v>
      </c>
      <c r="E35" s="37">
        <f>D35*B35/100</f>
        <v>641022.78277445969</v>
      </c>
      <c r="M35" s="13"/>
      <c r="N35" s="13"/>
      <c r="O35" s="13"/>
      <c r="Q35" s="2"/>
      <c r="S35" s="13"/>
      <c r="T35" s="52"/>
    </row>
    <row r="36" spans="1:20" x14ac:dyDescent="0.25">
      <c r="A36" s="12" t="s">
        <v>120</v>
      </c>
      <c r="B36" s="73">
        <v>15</v>
      </c>
      <c r="C36" s="74" t="s">
        <v>8</v>
      </c>
      <c r="D36" s="35">
        <f>SUM(E10:E32)/2</f>
        <v>6410227.8277445966</v>
      </c>
      <c r="E36" s="11">
        <f>D36*B36/100</f>
        <v>961534.17416168947</v>
      </c>
      <c r="M36" s="53">
        <v>0.05</v>
      </c>
      <c r="N36" s="52">
        <f>+M36*SUM(E10:E32)/2</f>
        <v>320511.39138722984</v>
      </c>
      <c r="O36" s="13">
        <v>50</v>
      </c>
      <c r="Q36" s="13"/>
      <c r="S36" s="13"/>
      <c r="T36" s="52"/>
    </row>
    <row r="37" spans="1:20" x14ac:dyDescent="0.25">
      <c r="A37" s="12" t="s">
        <v>57</v>
      </c>
      <c r="B37" s="73">
        <v>11</v>
      </c>
      <c r="C37" s="74" t="s">
        <v>8</v>
      </c>
      <c r="D37" s="35">
        <f>SUM(E10:E32)/2+SUM(D35:D36)+SUM(D38:D40)</f>
        <v>38461366.966467582</v>
      </c>
      <c r="E37" s="11">
        <f t="shared" ref="E37:E40" si="1">D37*B37/100</f>
        <v>4230750.3663114337</v>
      </c>
      <c r="S37" s="13"/>
      <c r="T37" s="52"/>
    </row>
    <row r="38" spans="1:20" x14ac:dyDescent="0.25">
      <c r="A38" s="12" t="s">
        <v>24</v>
      </c>
      <c r="B38" s="73">
        <v>5</v>
      </c>
      <c r="C38" s="74" t="s">
        <v>8</v>
      </c>
      <c r="D38" s="35">
        <f>SUM(E10:E32)/2</f>
        <v>6410227.8277445966</v>
      </c>
      <c r="E38" s="11">
        <f t="shared" si="1"/>
        <v>320511.39138722984</v>
      </c>
      <c r="S38" s="13"/>
      <c r="T38" s="52"/>
    </row>
    <row r="39" spans="1:20" x14ac:dyDescent="0.25">
      <c r="A39" s="9" t="s">
        <v>25</v>
      </c>
      <c r="B39" s="73">
        <v>10</v>
      </c>
      <c r="C39" s="74" t="s">
        <v>8</v>
      </c>
      <c r="D39" s="35">
        <f>SUM(E10:E32)/2</f>
        <v>6410227.8277445966</v>
      </c>
      <c r="E39" s="11">
        <f t="shared" si="1"/>
        <v>641022.78277445969</v>
      </c>
      <c r="S39" s="13"/>
      <c r="T39" s="52"/>
    </row>
    <row r="40" spans="1:20" x14ac:dyDescent="0.25">
      <c r="A40" s="18" t="s">
        <v>26</v>
      </c>
      <c r="B40" s="88">
        <v>10</v>
      </c>
      <c r="C40" s="112" t="s">
        <v>8</v>
      </c>
      <c r="D40" s="34">
        <f>SUM(E10:E32)/2</f>
        <v>6410227.8277445966</v>
      </c>
      <c r="E40" s="8">
        <f t="shared" si="1"/>
        <v>641022.78277445969</v>
      </c>
      <c r="S40" s="13"/>
      <c r="T40" s="52"/>
    </row>
    <row r="41" spans="1:20" x14ac:dyDescent="0.25">
      <c r="A41" t="s">
        <v>7</v>
      </c>
      <c r="B41" s="13"/>
      <c r="C41" s="13"/>
      <c r="D41" s="2"/>
      <c r="E41" s="2">
        <f>SUM(E35:E40)</f>
        <v>7435864.2801837316</v>
      </c>
      <c r="S41" s="13"/>
      <c r="T41" s="52"/>
    </row>
    <row r="42" spans="1:20" x14ac:dyDescent="0.25">
      <c r="A42" s="21"/>
      <c r="B42" s="10"/>
      <c r="C42" s="10"/>
      <c r="D42" s="11"/>
      <c r="E42" s="23"/>
      <c r="S42" s="13"/>
      <c r="T42" s="52"/>
    </row>
    <row r="43" spans="1:20" x14ac:dyDescent="0.25">
      <c r="A43" s="29" t="s">
        <v>27</v>
      </c>
      <c r="B43" s="96"/>
      <c r="C43" s="96"/>
      <c r="D43" s="116"/>
      <c r="E43" s="116"/>
      <c r="F43" s="69"/>
      <c r="G43" s="69"/>
      <c r="S43" s="13"/>
      <c r="T43" s="52"/>
    </row>
    <row r="44" spans="1:20" x14ac:dyDescent="0.25">
      <c r="A44" s="31" t="s">
        <v>27</v>
      </c>
      <c r="B44" s="97">
        <v>30</v>
      </c>
      <c r="C44" s="117" t="s">
        <v>8</v>
      </c>
      <c r="D44" s="118">
        <f>SUM(E10:E41)/2</f>
        <v>13846092.10792833</v>
      </c>
      <c r="E44" s="119">
        <f>D44*B44/100</f>
        <v>4153827.632378499</v>
      </c>
      <c r="F44" s="69"/>
      <c r="G44" s="69"/>
      <c r="S44" s="13"/>
      <c r="T44" s="52"/>
    </row>
    <row r="45" spans="1:20" x14ac:dyDescent="0.25">
      <c r="A45" s="69" t="s">
        <v>7</v>
      </c>
      <c r="B45" s="89"/>
      <c r="C45" s="89"/>
      <c r="D45" s="87"/>
      <c r="E45" s="87">
        <f>SUM(E44)</f>
        <v>4153827.632378499</v>
      </c>
      <c r="F45" s="69"/>
      <c r="G45" s="69"/>
      <c r="S45" s="13"/>
      <c r="T45" s="52"/>
    </row>
    <row r="46" spans="1:20" x14ac:dyDescent="0.25">
      <c r="A46" s="69"/>
      <c r="B46" s="69"/>
      <c r="C46" s="69"/>
      <c r="D46" s="69"/>
      <c r="E46" s="69"/>
      <c r="F46" s="69"/>
      <c r="G46" s="69"/>
      <c r="S46" s="13"/>
      <c r="T46" s="52"/>
    </row>
    <row r="47" spans="1:20" x14ac:dyDescent="0.25">
      <c r="A47" s="29" t="s">
        <v>123</v>
      </c>
      <c r="B47" s="96"/>
      <c r="C47" s="96"/>
      <c r="D47" s="116"/>
      <c r="E47" s="116"/>
      <c r="F47" s="69"/>
      <c r="G47" s="69"/>
      <c r="S47" s="13"/>
      <c r="T47" s="52"/>
    </row>
    <row r="48" spans="1:20" x14ac:dyDescent="0.25">
      <c r="A48" s="18" t="s">
        <v>22</v>
      </c>
      <c r="B48" s="120">
        <f>20*B11/66/660 +T4</f>
        <v>18.152892561983471</v>
      </c>
      <c r="C48" s="112" t="s">
        <v>18</v>
      </c>
      <c r="D48" s="121">
        <v>500000</v>
      </c>
      <c r="E48" s="121">
        <f>B48*D48</f>
        <v>9076446.2809917349</v>
      </c>
      <c r="F48" s="77" t="s">
        <v>124</v>
      </c>
      <c r="G48" s="69"/>
      <c r="S48" s="13"/>
      <c r="T48" s="52"/>
    </row>
    <row r="49" spans="1:20" x14ac:dyDescent="0.25">
      <c r="A49" s="77" t="s">
        <v>7</v>
      </c>
      <c r="B49" s="91"/>
      <c r="C49" s="91"/>
      <c r="D49" s="122"/>
      <c r="E49" s="122">
        <f>SUM(E48)</f>
        <v>9076446.2809917349</v>
      </c>
      <c r="F49" s="77" t="s">
        <v>113</v>
      </c>
      <c r="G49" s="69"/>
      <c r="S49" s="13"/>
      <c r="T49" s="52"/>
    </row>
    <row r="50" spans="1:20" x14ac:dyDescent="0.25">
      <c r="A50" s="69"/>
      <c r="B50" s="69"/>
      <c r="C50" s="69"/>
      <c r="D50" s="69"/>
      <c r="E50" s="69"/>
      <c r="F50" s="69"/>
      <c r="G50" s="69"/>
      <c r="S50" s="13"/>
      <c r="T50" s="52"/>
    </row>
    <row r="51" spans="1:20" x14ac:dyDescent="0.25">
      <c r="A51" s="69"/>
      <c r="B51" s="69"/>
      <c r="C51" s="69"/>
      <c r="D51" s="69"/>
      <c r="E51" s="69"/>
      <c r="F51" s="87"/>
      <c r="G51" s="69"/>
      <c r="S51" s="13"/>
      <c r="T51" s="52"/>
    </row>
    <row r="52" spans="1:20" x14ac:dyDescent="0.25">
      <c r="A52" s="114" t="s">
        <v>125</v>
      </c>
      <c r="B52" s="73"/>
      <c r="C52" s="69"/>
      <c r="D52" s="89"/>
      <c r="E52" s="127">
        <f>SUM(E10:E45)/2</f>
        <v>17999919.740306828</v>
      </c>
      <c r="F52" s="69"/>
      <c r="G52" s="69"/>
      <c r="S52" s="13"/>
      <c r="T52" s="52"/>
    </row>
    <row r="53" spans="1:20" x14ac:dyDescent="0.25">
      <c r="A53" s="69"/>
      <c r="B53" s="73"/>
      <c r="C53" s="73"/>
      <c r="D53" s="86"/>
      <c r="E53" s="124"/>
      <c r="F53" s="69"/>
      <c r="G53" s="69"/>
      <c r="S53" s="13"/>
      <c r="T53" s="52"/>
    </row>
    <row r="54" spans="1:20" x14ac:dyDescent="0.25">
      <c r="A54" s="114" t="s">
        <v>126</v>
      </c>
      <c r="B54" s="125"/>
      <c r="C54" s="73"/>
      <c r="D54" s="86"/>
      <c r="E54" s="87">
        <f>E49</f>
        <v>9076446.2809917349</v>
      </c>
      <c r="F54" s="69"/>
      <c r="G54" s="69"/>
      <c r="S54" s="13"/>
      <c r="T54" s="52"/>
    </row>
    <row r="55" spans="1:20" x14ac:dyDescent="0.25">
      <c r="A55" s="69"/>
      <c r="B55" s="73"/>
      <c r="C55" s="73"/>
      <c r="D55" s="86"/>
      <c r="E55" s="86"/>
      <c r="F55" s="69"/>
      <c r="G55" s="69"/>
      <c r="S55" s="13"/>
      <c r="T55" s="52"/>
    </row>
    <row r="56" spans="1:20" x14ac:dyDescent="0.25">
      <c r="A56" s="114" t="s">
        <v>127</v>
      </c>
      <c r="B56" s="69"/>
      <c r="C56" s="69"/>
      <c r="D56" s="69"/>
      <c r="E56" s="81">
        <f>+PMT(0.03375,50,-E52-E54,0)</f>
        <v>1128468.7030347951</v>
      </c>
      <c r="F56" s="77" t="s">
        <v>128</v>
      </c>
      <c r="G56" s="69"/>
      <c r="S56" s="13"/>
      <c r="T56" s="52"/>
    </row>
    <row r="57" spans="1:20" x14ac:dyDescent="0.25">
      <c r="A57" s="69"/>
      <c r="B57" s="69"/>
      <c r="C57" s="69"/>
      <c r="D57" s="69"/>
      <c r="E57" s="69"/>
      <c r="F57" s="69"/>
      <c r="G57" s="69"/>
      <c r="S57" s="13"/>
      <c r="T57" s="52"/>
    </row>
    <row r="58" spans="1:20" x14ac:dyDescent="0.25">
      <c r="A58" s="110" t="s">
        <v>67</v>
      </c>
      <c r="B58" s="126"/>
      <c r="C58" s="126"/>
      <c r="D58" s="86"/>
      <c r="E58" s="86">
        <f>N36+P31+O10</f>
        <v>366797.36229833879</v>
      </c>
      <c r="F58" s="69"/>
      <c r="G58" s="69"/>
      <c r="S58" s="13"/>
      <c r="T58" s="52"/>
    </row>
    <row r="59" spans="1:20" x14ac:dyDescent="0.25">
      <c r="A59" s="114"/>
      <c r="B59" s="73"/>
      <c r="C59" s="73"/>
      <c r="D59" s="86"/>
      <c r="E59" s="86"/>
      <c r="F59" s="69"/>
      <c r="G59" s="69"/>
      <c r="S59" s="13"/>
      <c r="T59" s="52"/>
    </row>
    <row r="60" spans="1:20" x14ac:dyDescent="0.25">
      <c r="A60" s="110" t="s">
        <v>77</v>
      </c>
      <c r="B60" s="69"/>
      <c r="C60" s="69"/>
      <c r="D60" s="69"/>
      <c r="E60" s="103">
        <f>+Y4</f>
        <v>1382</v>
      </c>
      <c r="F60" s="69"/>
      <c r="G60" s="69"/>
      <c r="S60" s="13"/>
      <c r="T60" s="52"/>
    </row>
    <row r="61" spans="1:20" x14ac:dyDescent="0.25">
      <c r="A61" s="126"/>
      <c r="B61" s="73"/>
      <c r="C61" s="73"/>
      <c r="D61" s="86"/>
      <c r="E61" s="86"/>
      <c r="F61" s="69"/>
      <c r="G61" s="69"/>
      <c r="S61" s="13"/>
      <c r="T61" s="52"/>
    </row>
    <row r="62" spans="1:20" x14ac:dyDescent="0.25">
      <c r="A62" s="114" t="s">
        <v>129</v>
      </c>
      <c r="B62" s="73"/>
      <c r="C62" s="73"/>
      <c r="D62" s="86"/>
      <c r="E62" s="86">
        <f>+(E56+E58)/E60</f>
        <v>1081.9580791122532</v>
      </c>
      <c r="F62" s="69"/>
      <c r="G62" s="69"/>
      <c r="S62" s="13"/>
      <c r="T62" s="52"/>
    </row>
    <row r="63" spans="1:20" x14ac:dyDescent="0.25">
      <c r="A63" s="69"/>
      <c r="B63" s="69"/>
      <c r="C63" s="69"/>
      <c r="D63" s="69"/>
      <c r="E63" s="69"/>
      <c r="F63" s="69"/>
      <c r="G63" s="69"/>
    </row>
    <row r="64" spans="1:20" x14ac:dyDescent="0.25">
      <c r="A64" s="69"/>
      <c r="B64" s="69"/>
      <c r="C64" s="69"/>
      <c r="D64" s="69"/>
      <c r="E64" s="69"/>
      <c r="F64" s="69"/>
      <c r="G64" s="69"/>
    </row>
    <row r="65" spans="1:7" x14ac:dyDescent="0.25">
      <c r="A65" s="69"/>
      <c r="B65" s="69"/>
      <c r="C65" s="69"/>
      <c r="D65" s="69"/>
      <c r="E65" s="69"/>
      <c r="F65" s="69"/>
      <c r="G65" s="69"/>
    </row>
    <row r="66" spans="1:7" x14ac:dyDescent="0.25">
      <c r="A66" s="69"/>
      <c r="B66" s="69"/>
      <c r="C66" s="69"/>
      <c r="D66" s="69"/>
      <c r="E66" s="69"/>
      <c r="F66" s="69"/>
      <c r="G66" s="69"/>
    </row>
    <row r="67" spans="1:7" x14ac:dyDescent="0.25">
      <c r="A67" s="69"/>
      <c r="B67" s="69"/>
      <c r="C67" s="69"/>
      <c r="D67" s="69"/>
      <c r="E67" s="69"/>
      <c r="F67" s="69"/>
      <c r="G67" s="69"/>
    </row>
  </sheetData>
  <customSheetViews>
    <customSheetView guid="{0938481C-6147-45AE-A91B-B3C254F54487}" scale="70" showPageBreaks="1" fitToPage="1" printArea="1" hiddenColumns="1" view="pageLayout" topLeftCell="A26">
      <selection activeCell="E54" sqref="E54"/>
      <pageMargins left="0.7" right="0.7" top="0.75" bottom="0.75" header="0.3" footer="0.3"/>
      <pageSetup scale="35" orientation="landscape" r:id="rId1"/>
      <headerFooter>
        <oddFooter>&amp;LLA Basin Stormwater Conservation Study_Project Costs&amp;R&amp;D</oddFooter>
      </headerFooter>
    </customSheetView>
    <customSheetView guid="{DE980C82-6B2E-45C1-AD5F-2B41EFFE9ED0}" topLeftCell="F1">
      <selection activeCell="R8" sqref="R2:R8"/>
      <pageMargins left="0.7" right="0.7" top="0.75" bottom="0.75" header="0.3" footer="0.3"/>
    </customSheetView>
  </customSheetViews>
  <pageMargins left="0.7" right="0.7" top="0.75" bottom="0.75" header="0.3" footer="0.3"/>
  <pageSetup scale="55" orientation="landscape"/>
  <headerFooter>
    <oddFooter>&amp;LLA Basin Stormwater Conservation Study_Project Costs&amp;R&amp;D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9</vt:i4>
      </vt:variant>
    </vt:vector>
  </HeadingPairs>
  <TitlesOfParts>
    <vt:vector size="20" baseType="lpstr">
      <vt:lpstr>Title</vt:lpstr>
      <vt:lpstr>Summary</vt:lpstr>
      <vt:lpstr>4 Sepulveda</vt:lpstr>
      <vt:lpstr>4 Miller Pit</vt:lpstr>
      <vt:lpstr>4 Spadra Basin</vt:lpstr>
      <vt:lpstr>4 Tujunga</vt:lpstr>
      <vt:lpstr>4 United</vt:lpstr>
      <vt:lpstr>4 LA Forbay</vt:lpstr>
      <vt:lpstr>4 Bull Creek</vt:lpstr>
      <vt:lpstr>4 Browns Creek</vt:lpstr>
      <vt:lpstr>Existing Basin Improvements</vt:lpstr>
      <vt:lpstr>'4 Browns Creek'!Print_Area</vt:lpstr>
      <vt:lpstr>'4 Bull Creek'!Print_Area</vt:lpstr>
      <vt:lpstr>'4 LA Forbay'!Print_Area</vt:lpstr>
      <vt:lpstr>'4 Miller Pit'!Print_Area</vt:lpstr>
      <vt:lpstr>'4 Sepulveda'!Print_Area</vt:lpstr>
      <vt:lpstr>'4 Spadra Basin'!Print_Area</vt:lpstr>
      <vt:lpstr>'4 Tujunga'!Print_Area</vt:lpstr>
      <vt:lpstr>'4 United'!Print_Area</vt:lpstr>
      <vt:lpstr>Summary!Print_Area</vt:lpstr>
    </vt:vector>
  </TitlesOfParts>
  <Company>Home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Bral</dc:creator>
  <cp:lastModifiedBy>Summerville, Nathaniel/SCO</cp:lastModifiedBy>
  <cp:lastPrinted>2015-08-31T16:56:02Z</cp:lastPrinted>
  <dcterms:created xsi:type="dcterms:W3CDTF">2002-10-09T16:06:11Z</dcterms:created>
  <dcterms:modified xsi:type="dcterms:W3CDTF">2015-10-13T15:58:17Z</dcterms:modified>
</cp:coreProperties>
</file>