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ERON\Projects\Los Angeles County DPW\477376WatershedCall\LABasinStormwaterCaptureStudy\Report\LA Basin Study - Task 5 Final Report (Internal)\AppendixD\"/>
    </mc:Choice>
  </mc:AlternateContent>
  <bookViews>
    <workbookView xWindow="360" yWindow="108" windowWidth="11340" windowHeight="8328" tabRatio="736" firstSheet="9" activeTab="11"/>
  </bookViews>
  <sheets>
    <sheet name="Summary L1" sheetId="18" r:id="rId1"/>
    <sheet name="Local Stormwater Capture 1" sheetId="3" r:id="rId2"/>
    <sheet name="Local Stormwater Capture 2" sheetId="25" r:id="rId3"/>
    <sheet name="Summary L2" sheetId="19" r:id="rId4"/>
    <sheet name="Low Impact Development" sheetId="15" r:id="rId5"/>
    <sheet name="Summary L3" sheetId="26" r:id="rId6"/>
    <sheet name="Complete Streets" sheetId="27" r:id="rId7"/>
    <sheet name="Summary M1" sheetId="28" r:id="rId8"/>
    <sheet name="Stormwater Policies" sheetId="29" r:id="rId9"/>
    <sheet name="Summary M2" sheetId="30" r:id="rId10"/>
    <sheet name="Green Infrastructure Programs" sheetId="31" r:id="rId11"/>
    <sheet name="Summary M3" sheetId="32" r:id="rId12"/>
    <sheet name="Regional Impact Programs 1" sheetId="33" r:id="rId13"/>
    <sheet name="Regional Impact Programs 2" sheetId="34" r:id="rId14"/>
    <sheet name="Sheet1" sheetId="35" state="hidden" r:id="rId15"/>
  </sheets>
  <definedNames>
    <definedName name="_xlnm.Print_Area" localSheetId="6">'Complete Streets'!$A$1:$P$38</definedName>
    <definedName name="_xlnm.Print_Area" localSheetId="10">'Green Infrastructure Programs'!$A$1:$P$47</definedName>
    <definedName name="_xlnm.Print_Area" localSheetId="1">'Local Stormwater Capture 1'!$A$1:$I$41</definedName>
    <definedName name="_xlnm.Print_Area" localSheetId="2">'Local Stormwater Capture 2'!$A$1:$P$45</definedName>
    <definedName name="_xlnm.Print_Area" localSheetId="4">'Low Impact Development'!$A$1:$P$47</definedName>
    <definedName name="_xlnm.Print_Area" localSheetId="12">'Regional Impact Programs 1'!$A$1:$I$42</definedName>
    <definedName name="_xlnm.Print_Area" localSheetId="13">'Regional Impact Programs 2'!$A$1:$P$56</definedName>
    <definedName name="_xlnm.Print_Area" localSheetId="8">'Stormwater Policies'!$A$1:$P$51</definedName>
  </definedNames>
  <calcPr calcId="152511"/>
</workbook>
</file>

<file path=xl/calcChain.xml><?xml version="1.0" encoding="utf-8"?>
<calcChain xmlns="http://schemas.openxmlformats.org/spreadsheetml/2006/main">
  <c r="N6" i="34" l="1"/>
  <c r="B34" i="34" l="1"/>
  <c r="B18" i="32" s="1"/>
  <c r="N3" i="34"/>
  <c r="B16" i="32" l="1"/>
  <c r="E40" i="33" l="1"/>
  <c r="B30" i="32"/>
  <c r="B22" i="32"/>
  <c r="E19" i="33"/>
  <c r="E32" i="33"/>
  <c r="E25" i="34"/>
  <c r="E11" i="34"/>
  <c r="E24" i="34"/>
  <c r="B11" i="34"/>
  <c r="B10" i="34"/>
  <c r="C6" i="35" l="1"/>
  <c r="E6" i="35" s="1"/>
  <c r="E4" i="35"/>
  <c r="E5" i="35"/>
  <c r="E3" i="35"/>
  <c r="C4" i="35"/>
  <c r="C5" i="35"/>
  <c r="C3" i="35"/>
  <c r="B13" i="34"/>
  <c r="B22" i="34" s="1"/>
  <c r="D23" i="33"/>
  <c r="E23" i="33"/>
  <c r="E28" i="33" s="1"/>
  <c r="E7" i="35" l="1"/>
  <c r="E8" i="35" s="1"/>
  <c r="E9" i="35" s="1"/>
  <c r="E20" i="34"/>
  <c r="B20" i="34"/>
  <c r="E22" i="34"/>
  <c r="B12" i="34"/>
  <c r="E12" i="34" s="1"/>
  <c r="E23" i="34"/>
  <c r="B19" i="33"/>
  <c r="N32" i="34"/>
  <c r="P32" i="34" s="1"/>
  <c r="N4" i="34"/>
  <c r="N5" i="34"/>
  <c r="E33" i="34"/>
  <c r="B29" i="34"/>
  <c r="E29" i="34" s="1"/>
  <c r="E13" i="34" l="1"/>
  <c r="E15" i="34"/>
  <c r="B18" i="34"/>
  <c r="E18" i="34" s="1"/>
  <c r="B14" i="34"/>
  <c r="E14" i="34" s="1"/>
  <c r="B21" i="34"/>
  <c r="E21" i="34" s="1"/>
  <c r="B19" i="34"/>
  <c r="E19" i="34" s="1"/>
  <c r="E10" i="34"/>
  <c r="B26" i="32" l="1"/>
  <c r="B28" i="34" l="1"/>
  <c r="E20" i="33"/>
  <c r="D20" i="27" l="1"/>
  <c r="D19" i="27"/>
  <c r="D11" i="27"/>
  <c r="D10" i="27"/>
  <c r="D34" i="29"/>
  <c r="D33" i="29"/>
  <c r="D18" i="29"/>
  <c r="D17" i="29"/>
  <c r="D16" i="31" l="1"/>
  <c r="D15" i="31"/>
  <c r="D14" i="31"/>
  <c r="D13" i="31"/>
  <c r="D12" i="31"/>
  <c r="D11" i="31"/>
  <c r="D10" i="31"/>
  <c r="D30" i="31"/>
  <c r="D29" i="31"/>
  <c r="D28" i="31"/>
  <c r="D27" i="31"/>
  <c r="D26" i="31"/>
  <c r="D25" i="31"/>
  <c r="D24" i="31"/>
  <c r="D30" i="15"/>
  <c r="D29" i="15"/>
  <c r="D28" i="15"/>
  <c r="D27" i="15"/>
  <c r="D26" i="15"/>
  <c r="D25" i="15"/>
  <c r="D24" i="15"/>
  <c r="D16" i="15"/>
  <c r="D15" i="15"/>
  <c r="D14" i="15"/>
  <c r="D13" i="15"/>
  <c r="D12" i="15"/>
  <c r="D11" i="15"/>
  <c r="D10" i="15"/>
  <c r="D32" i="29" l="1"/>
  <c r="D31" i="29"/>
  <c r="D30" i="29"/>
  <c r="D29" i="29"/>
  <c r="D28" i="29"/>
  <c r="D27" i="29"/>
  <c r="D26" i="29"/>
  <c r="D16" i="29"/>
  <c r="D15" i="29"/>
  <c r="D14" i="29"/>
  <c r="D13" i="29"/>
  <c r="D12" i="29"/>
  <c r="D11" i="29"/>
  <c r="D10" i="29"/>
  <c r="D26" i="33" l="1"/>
  <c r="D25" i="33"/>
  <c r="D24" i="33"/>
  <c r="D13" i="33"/>
  <c r="D12" i="33"/>
  <c r="D11" i="33"/>
  <c r="D10" i="33"/>
  <c r="D26" i="3" l="1"/>
  <c r="D25" i="3"/>
  <c r="D24" i="3"/>
  <c r="D23" i="3"/>
  <c r="D22" i="3"/>
  <c r="D10" i="3"/>
  <c r="D13" i="3"/>
  <c r="D12" i="3"/>
  <c r="D11" i="3"/>
  <c r="E31" i="3"/>
  <c r="B3" i="26" l="1"/>
  <c r="B23" i="26" l="1"/>
  <c r="B3" i="28" l="1"/>
  <c r="E35" i="15" l="1"/>
  <c r="E26" i="33" l="1"/>
  <c r="D14" i="33"/>
  <c r="D27" i="33" s="1"/>
  <c r="E27" i="33" s="1"/>
  <c r="B20" i="32"/>
  <c r="E34" i="34"/>
  <c r="E35" i="34" s="1"/>
  <c r="E28" i="34"/>
  <c r="E25" i="33"/>
  <c r="E24" i="33"/>
  <c r="E14" i="33"/>
  <c r="E13" i="33"/>
  <c r="E15" i="33" s="1"/>
  <c r="E12" i="33"/>
  <c r="E11" i="33"/>
  <c r="E10" i="33"/>
  <c r="E18" i="33"/>
  <c r="E30" i="31"/>
  <c r="E32" i="29"/>
  <c r="E29" i="31"/>
  <c r="E27" i="31"/>
  <c r="E26" i="31"/>
  <c r="E25" i="31"/>
  <c r="E24" i="31"/>
  <c r="E31" i="29"/>
  <c r="E27" i="29"/>
  <c r="E29" i="29"/>
  <c r="E28" i="31"/>
  <c r="E20" i="31"/>
  <c r="E21" i="31" s="1"/>
  <c r="E35" i="31" s="1"/>
  <c r="B11" i="30" s="1"/>
  <c r="E16" i="31"/>
  <c r="E15" i="31"/>
  <c r="E14" i="31"/>
  <c r="E13" i="31"/>
  <c r="E12" i="31"/>
  <c r="E11" i="31"/>
  <c r="E10" i="31"/>
  <c r="B25" i="30"/>
  <c r="B25" i="28"/>
  <c r="B11" i="28"/>
  <c r="E34" i="29"/>
  <c r="E33" i="29"/>
  <c r="E30" i="29"/>
  <c r="E28" i="29"/>
  <c r="E26" i="29"/>
  <c r="E18" i="29"/>
  <c r="E17" i="29"/>
  <c r="E16" i="29"/>
  <c r="E15" i="29"/>
  <c r="E14" i="29"/>
  <c r="E13" i="29"/>
  <c r="E12" i="29"/>
  <c r="E11" i="29"/>
  <c r="E10" i="29"/>
  <c r="E22" i="29"/>
  <c r="E23" i="29"/>
  <c r="E39" i="29" s="1"/>
  <c r="B9" i="26"/>
  <c r="E25" i="27"/>
  <c r="E11" i="27"/>
  <c r="E10" i="27"/>
  <c r="E20" i="27"/>
  <c r="E19" i="27"/>
  <c r="E15" i="27"/>
  <c r="E16" i="27" s="1"/>
  <c r="E30" i="34" l="1"/>
  <c r="B12" i="32"/>
  <c r="E12" i="27"/>
  <c r="E23" i="27" s="1"/>
  <c r="E31" i="27" s="1"/>
  <c r="D37" i="34"/>
  <c r="E37" i="34" s="1"/>
  <c r="E21" i="27"/>
  <c r="E27" i="27" s="1"/>
  <c r="E33" i="27" s="1"/>
  <c r="E31" i="31"/>
  <c r="E37" i="31" s="1"/>
  <c r="E35" i="29"/>
  <c r="E19" i="29"/>
  <c r="E37" i="29" s="1"/>
  <c r="E38" i="34" l="1"/>
  <c r="D40" i="34" s="1"/>
  <c r="B7" i="26"/>
  <c r="E45" i="29"/>
  <c r="B9" i="28"/>
  <c r="E29" i="27"/>
  <c r="E37" i="27"/>
  <c r="B25" i="26" s="1"/>
  <c r="E41" i="29"/>
  <c r="E47" i="29" s="1"/>
  <c r="B13" i="28" s="1"/>
  <c r="E43" i="31"/>
  <c r="B13" i="30" s="1"/>
  <c r="E43" i="29" l="1"/>
  <c r="B7" i="28" s="1"/>
  <c r="B31" i="28" s="1"/>
  <c r="E40" i="34"/>
  <c r="E51" i="29"/>
  <c r="B27" i="28" s="1"/>
  <c r="B11" i="26"/>
  <c r="B5" i="26"/>
  <c r="E30" i="15"/>
  <c r="E29" i="15"/>
  <c r="E28" i="15"/>
  <c r="E27" i="15"/>
  <c r="E26" i="15"/>
  <c r="E25" i="15"/>
  <c r="E24" i="15"/>
  <c r="E20" i="15"/>
  <c r="E21" i="15" s="1"/>
  <c r="B11" i="19" s="1"/>
  <c r="B16" i="18"/>
  <c r="E14" i="25"/>
  <c r="E15" i="25" s="1"/>
  <c r="B10" i="25"/>
  <c r="E10" i="25" s="1"/>
  <c r="E41" i="34" l="1"/>
  <c r="D49" i="34" s="1"/>
  <c r="B23" i="28"/>
  <c r="E31" i="15"/>
  <c r="E37" i="15" s="1"/>
  <c r="E43" i="15" s="1"/>
  <c r="B29" i="26"/>
  <c r="B21" i="26"/>
  <c r="B14" i="18"/>
  <c r="E11" i="25"/>
  <c r="D17" i="25" s="1"/>
  <c r="E17" i="25" s="1"/>
  <c r="E24" i="3"/>
  <c r="E25" i="3"/>
  <c r="E23" i="3"/>
  <c r="E22" i="3"/>
  <c r="E18" i="3"/>
  <c r="D14" i="3"/>
  <c r="E26" i="3" s="1"/>
  <c r="D45" i="34" l="1"/>
  <c r="D44" i="34"/>
  <c r="E44" i="34" s="1"/>
  <c r="D48" i="34"/>
  <c r="E48" i="34" s="1"/>
  <c r="E49" i="34"/>
  <c r="D47" i="34"/>
  <c r="D46" i="34" s="1"/>
  <c r="E46" i="34" s="1"/>
  <c r="E45" i="34"/>
  <c r="N37" i="34"/>
  <c r="E34" i="33" s="1"/>
  <c r="E38" i="33" s="1"/>
  <c r="E27" i="3"/>
  <c r="E33" i="3" s="1"/>
  <c r="E37" i="3" s="1"/>
  <c r="E47" i="34" l="1"/>
  <c r="E50" i="34" s="1"/>
  <c r="E18" i="25"/>
  <c r="D53" i="34" l="1"/>
  <c r="E53" i="34" s="1"/>
  <c r="B14" i="32"/>
  <c r="D20" i="25"/>
  <c r="E20" i="25" s="1"/>
  <c r="E54" i="34" l="1"/>
  <c r="E56" i="34" s="1"/>
  <c r="E30" i="33" s="1"/>
  <c r="E36" i="33" s="1"/>
  <c r="E42" i="33" s="1"/>
  <c r="E21" i="25"/>
  <c r="D25" i="25" s="1"/>
  <c r="E25" i="25" s="1"/>
  <c r="B8" i="32" l="1"/>
  <c r="D28" i="25"/>
  <c r="E28" i="25" s="1"/>
  <c r="D24" i="25"/>
  <c r="E24" i="25" s="1"/>
  <c r="D29" i="25"/>
  <c r="E29" i="25" s="1"/>
  <c r="D27" i="25"/>
  <c r="E27" i="25" s="1"/>
  <c r="D26" i="25" l="1"/>
  <c r="E26" i="25" s="1"/>
  <c r="E30" i="25" l="1"/>
  <c r="D33" i="25" s="1"/>
  <c r="E33" i="25" s="1"/>
  <c r="E34" i="25" l="1"/>
  <c r="E36" i="25"/>
  <c r="B25" i="19"/>
  <c r="B3" i="19"/>
  <c r="B24" i="18"/>
  <c r="B4" i="18"/>
  <c r="B10" i="32" l="1"/>
  <c r="B28" i="32"/>
  <c r="B32" i="32" l="1"/>
  <c r="B24" i="32"/>
  <c r="E16" i="15"/>
  <c r="E15" i="15"/>
  <c r="E14" i="15"/>
  <c r="E13" i="15"/>
  <c r="E12" i="15"/>
  <c r="E11" i="15"/>
  <c r="E10" i="15"/>
  <c r="E17" i="15" l="1"/>
  <c r="E33" i="15" s="1"/>
  <c r="E39" i="15" s="1"/>
  <c r="E41" i="15" l="1"/>
  <c r="E47" i="15" s="1"/>
  <c r="B9" i="19"/>
  <c r="B7" i="19"/>
  <c r="B31" i="19" l="1"/>
  <c r="B23" i="19"/>
  <c r="B27" i="19"/>
  <c r="B13" i="19" l="1"/>
  <c r="E11" i="3" l="1"/>
  <c r="E14" i="3" l="1"/>
  <c r="E12" i="3"/>
  <c r="E13" i="3"/>
  <c r="B18" i="18" l="1"/>
  <c r="E10" i="3"/>
  <c r="E15" i="3" s="1"/>
  <c r="E29" i="3" s="1"/>
  <c r="E35" i="3" s="1"/>
  <c r="E41" i="3" s="1"/>
  <c r="B12" i="18" l="1"/>
  <c r="B8" i="18"/>
  <c r="E19" i="3"/>
  <c r="B26" i="18" s="1"/>
  <c r="B6" i="18" l="1"/>
  <c r="B22" i="18" s="1"/>
  <c r="B10" i="18"/>
  <c r="B30" i="18" l="1"/>
  <c r="E17" i="31" l="1"/>
  <c r="E33" i="31" s="1"/>
  <c r="E39" i="31" s="1"/>
  <c r="B7" i="30" l="1"/>
  <c r="B9" i="30"/>
  <c r="E41" i="31"/>
  <c r="E47" i="31" s="1"/>
  <c r="B27" i="30" s="1"/>
  <c r="B31" i="30" l="1"/>
  <c r="B23" i="30"/>
</calcChain>
</file>

<file path=xl/sharedStrings.xml><?xml version="1.0" encoding="utf-8"?>
<sst xmlns="http://schemas.openxmlformats.org/spreadsheetml/2006/main" count="651" uniqueCount="181">
  <si>
    <t>Description</t>
  </si>
  <si>
    <t>Quantity</t>
  </si>
  <si>
    <t>Unit</t>
  </si>
  <si>
    <t>Unit Cost</t>
  </si>
  <si>
    <t>Total Cost</t>
  </si>
  <si>
    <t>feet</t>
  </si>
  <si>
    <t>SUBTOTAL</t>
  </si>
  <si>
    <t>%</t>
  </si>
  <si>
    <t>GENERAL CONDITIONS</t>
  </si>
  <si>
    <t>LACDPW Basin Study</t>
  </si>
  <si>
    <t>Wetland Construction</t>
  </si>
  <si>
    <t>acres</t>
  </si>
  <si>
    <t>Habitat Improvements</t>
  </si>
  <si>
    <t>Recreation Improvements</t>
  </si>
  <si>
    <t>Landscaped Trail</t>
  </si>
  <si>
    <t>Property Acquisition</t>
  </si>
  <si>
    <t>Engineering, Legal, Permitting</t>
  </si>
  <si>
    <t>Legal</t>
  </si>
  <si>
    <t>Permitting</t>
  </si>
  <si>
    <t>Construction Management</t>
  </si>
  <si>
    <t>Contingency</t>
  </si>
  <si>
    <t>Total Project Estimated Cost</t>
  </si>
  <si>
    <t>Project Management</t>
  </si>
  <si>
    <t>Annual Operating Cost</t>
  </si>
  <si>
    <t>Annual Recharge (acre-ft)</t>
  </si>
  <si>
    <t>Annual Volume of Stormwater Conserved (acre-ft/yr)</t>
  </si>
  <si>
    <t>Operations and Maintenance costs ($/yr)</t>
  </si>
  <si>
    <t>Energy Consumption (kw-hr/yr)</t>
  </si>
  <si>
    <t>Recreation Opportunities (linear feet of trail)</t>
  </si>
  <si>
    <t>Habitat Improvements (acres)</t>
  </si>
  <si>
    <t>Mobilization/Demobilization</t>
  </si>
  <si>
    <t>Local Stormwater Capture</t>
  </si>
  <si>
    <t>Capital Costs</t>
  </si>
  <si>
    <t>ac-ft</t>
  </si>
  <si>
    <t>Infiltration in Caltrans right-of-way</t>
  </si>
  <si>
    <t>Low Impact Development</t>
  </si>
  <si>
    <t>LID on High-Density SFR (25% LID implementation)</t>
  </si>
  <si>
    <t>25% permeable pavement, 40% infiltration, 35% direct use</t>
  </si>
  <si>
    <t>LID on Low-Density SFR (20% LID implementation)</t>
  </si>
  <si>
    <t>17% permeable pavement, 40% infiltration, 43% direct use</t>
  </si>
  <si>
    <t>LID on Low-Density SFR (5% LID implementation)</t>
  </si>
  <si>
    <t>LID on MFR (25% LID implementation)</t>
  </si>
  <si>
    <t>LID on Commercial (35% LID implementation)</t>
  </si>
  <si>
    <t>22% permeable pavement, 45% complex bioretention, 33% direct use</t>
  </si>
  <si>
    <t>LID on Institutional (80% LID implementation)</t>
  </si>
  <si>
    <t>2% permeable pavement, 3% complex bioretention, 47% direct use, 48% infiltration</t>
  </si>
  <si>
    <t>LID on Transportation (65% LID implementation)</t>
  </si>
  <si>
    <t>LID on Secondary Roads (60% LID implementation)</t>
  </si>
  <si>
    <t>Complete Streets</t>
  </si>
  <si>
    <t>LID on Industrial (60% LID Implementation)</t>
  </si>
  <si>
    <t>25% permeable pavement, 45% complex bioretention, 30% direct use</t>
  </si>
  <si>
    <t>Stormwater Policies</t>
  </si>
  <si>
    <t>Green Infrastructure Programs</t>
  </si>
  <si>
    <t>Total Project Costs ($)</t>
  </si>
  <si>
    <t>Regional Impact Programs</t>
  </si>
  <si>
    <t xml:space="preserve">Cost Estimate of Local Stormwater Capture </t>
  </si>
  <si>
    <t>Cost Estimate of Low Impact Development</t>
  </si>
  <si>
    <t>Cost Estimate of Complete Streets</t>
  </si>
  <si>
    <t>Cost Estimate of Stormwater Policies</t>
  </si>
  <si>
    <t>Cost Estimate of Green Infrastructure Programs</t>
  </si>
  <si>
    <t>Cost Estimate of Regional Impact Programs</t>
  </si>
  <si>
    <t>Feasibility Studies, Surveys &amp; Design Data</t>
  </si>
  <si>
    <t xml:space="preserve">Engineering Designs &amp; Specifications </t>
  </si>
  <si>
    <t>Permitting assumed to be less for local projects</t>
  </si>
  <si>
    <t>W. Hsu and N. Summerville</t>
  </si>
  <si>
    <t>Includes Construction Costs, General Conditions, Engineering, Legal, Permitting, and Contingency</t>
  </si>
  <si>
    <t>Land Costs</t>
  </si>
  <si>
    <t>Total Estimated Capital Cost</t>
  </si>
  <si>
    <t>Total Estimated Land Cost</t>
  </si>
  <si>
    <t>Underground infiltration at new parks and private open space</t>
  </si>
  <si>
    <t xml:space="preserve">Underground infiltration at golf courses </t>
  </si>
  <si>
    <t xml:space="preserve">Underground infiltration at existing parks </t>
  </si>
  <si>
    <t xml:space="preserve">Underground infiltration on public parcels </t>
  </si>
  <si>
    <t>Based on Underground Infiltration, See Figure 17 from SCMP</t>
  </si>
  <si>
    <t>Based on Caltrans Corridor Study</t>
  </si>
  <si>
    <t>Based on Modeling Results from Mid 2 Future Weather Scenario</t>
  </si>
  <si>
    <t>Cost of Recharge ($/acre-ft)</t>
  </si>
  <si>
    <t>Cost per acre-ft Recharged ($-acft)</t>
  </si>
  <si>
    <t>Capital Costs ($)</t>
  </si>
  <si>
    <t>Land Costs ($)</t>
  </si>
  <si>
    <t>Total Habitat and Recreation Estimated Cost</t>
  </si>
  <si>
    <t>Includes Habitat and Recreation</t>
  </si>
  <si>
    <t>Unit cost includes management and acquisition costs and contingency</t>
  </si>
  <si>
    <t>Annual Capital and Land Cost</t>
  </si>
  <si>
    <t>Based on 3.375% annual discount rate and 50 yr project life</t>
  </si>
  <si>
    <t>Total Estimated Operations Cost</t>
  </si>
  <si>
    <t>Based on yearly O&amp;M at 5% of capital costs discounted to present value at 3.375%</t>
  </si>
  <si>
    <t>Cost for Stormwater Conservation ($/acre-ft)</t>
  </si>
  <si>
    <t>Annual Conservation (acre-ft)</t>
  </si>
  <si>
    <t>Operations Costs</t>
  </si>
  <si>
    <t>Cost per acre-ft Conserved ($/yr)</t>
  </si>
  <si>
    <t>Present value of total life-cycle operations costs</t>
  </si>
  <si>
    <t>Includes Capital, Land and O&amp;M</t>
  </si>
  <si>
    <t>LID on High-Density SFR (38% LID implementation)</t>
  </si>
  <si>
    <t>LID on Low-Density SFR (30% LID implementation)</t>
  </si>
  <si>
    <t>LID on Low-Density SFR (8% LID implementation)</t>
  </si>
  <si>
    <t>LID on MFR (38% LID implementation)</t>
  </si>
  <si>
    <t>LID on Commercial (53% LID implementation)</t>
  </si>
  <si>
    <t>LID on Institutional (88% LID implementation)</t>
  </si>
  <si>
    <t>LID on Industrial (75% LID Implementation)</t>
  </si>
  <si>
    <t>LID on Transportation (81% LID implementation)</t>
  </si>
  <si>
    <t>LID on Secondary Roads (75% LID implementation)</t>
  </si>
  <si>
    <t>LID on High-Density SFR (50% LID implementation)</t>
  </si>
  <si>
    <t>LID on Low-Density SFR (50% LID implementation)</t>
  </si>
  <si>
    <t>LID on MFR (50% LID implementation)</t>
  </si>
  <si>
    <t>Annual Volume of Stormwater Conserved-Low (acre-ft/yr)</t>
  </si>
  <si>
    <t>Annual Volume of Stormwater Conserved-Mid (acre-ft/yr)</t>
  </si>
  <si>
    <t>Annual Volume of Stormwater Conserved-High (acre-ft/yr)</t>
  </si>
  <si>
    <t>Cost per acre-ft Conserved ($/acre-ft)</t>
  </si>
  <si>
    <t>Annual Conservation-Mid (acre-ft)</t>
  </si>
  <si>
    <t>Breakdown of BMPs per Table 7 and Unit Costs Per 25 Perecentile of Figure 17 of Stormwater Capture Master Plan</t>
  </si>
  <si>
    <t>25% permeable pavement w/ run-on, 17% rain garden, 8% complex bioretention, 50% ROW bulbout</t>
  </si>
  <si>
    <t>Property Acquisition; Infiltration Projects</t>
  </si>
  <si>
    <t>Property Acquisition; River Widening and Reconstruction</t>
  </si>
  <si>
    <t>Includes Infiltration Projects only</t>
  </si>
  <si>
    <t>Length</t>
  </si>
  <si>
    <t>ROW</t>
  </si>
  <si>
    <t>Habitat</t>
  </si>
  <si>
    <t>Total Area</t>
  </si>
  <si>
    <t>Average Depth</t>
  </si>
  <si>
    <t>miles</t>
  </si>
  <si>
    <t>Demolish Existing Concrete Channel</t>
  </si>
  <si>
    <t>ft^2</t>
  </si>
  <si>
    <t>Excavation and disposal</t>
  </si>
  <si>
    <t>yd^3</t>
  </si>
  <si>
    <t>Replace fencing</t>
  </si>
  <si>
    <t>Demolish Concrete Channel</t>
  </si>
  <si>
    <t>Demolish Structures</t>
  </si>
  <si>
    <t>EA</t>
  </si>
  <si>
    <t>Assumes an average of 6 structures/acrce</t>
  </si>
  <si>
    <t>Excavate Low Flow Channel</t>
  </si>
  <si>
    <t>Gravel Maintenance Roads</t>
  </si>
  <si>
    <t>Based on a 3 foot channel with a width of 1/3 the bottom width of a channel with 3:1 Side Slopes</t>
  </si>
  <si>
    <t>Based on a 25ft average road width along both sides toped with 6" gravel</t>
  </si>
  <si>
    <t>Habitat/Wetlands Construction in River</t>
  </si>
  <si>
    <t>Wetland Construction at New Parks</t>
  </si>
  <si>
    <t>Landscaped River Trail</t>
  </si>
  <si>
    <t>Landscaped Trail/Park Area</t>
  </si>
  <si>
    <t>New  Channel Section</t>
  </si>
  <si>
    <t>Values used to calculate quantities</t>
  </si>
  <si>
    <t>Operations</t>
  </si>
  <si>
    <t>Power</t>
  </si>
  <si>
    <t>Power Cost</t>
  </si>
  <si>
    <t>Annual Cost</t>
  </si>
  <si>
    <t>(hp)</t>
  </si>
  <si>
    <t>(kw-hr)</t>
  </si>
  <si>
    <t>($/kw-hr)</t>
  </si>
  <si>
    <t>($)</t>
  </si>
  <si>
    <t>O&amp;M Costs</t>
  </si>
  <si>
    <t>Project Life</t>
  </si>
  <si>
    <t>% Construction</t>
  </si>
  <si>
    <t>(yrs)</t>
  </si>
  <si>
    <t>LS</t>
  </si>
  <si>
    <t>Demolish Roads</t>
  </si>
  <si>
    <t>Demolish Bridges</t>
  </si>
  <si>
    <t>Reconstruct Bridges</t>
  </si>
  <si>
    <t>Construct Pedestrian Bridges</t>
  </si>
  <si>
    <t>Based on 1 walkway overpass every 5 miles being constructed</t>
  </si>
  <si>
    <t>Based on 1 Bridge every 2 miles being removed</t>
  </si>
  <si>
    <t>$/acre</t>
  </si>
  <si>
    <t>Total Estimated Cost</t>
  </si>
  <si>
    <t>Price</t>
  </si>
  <si>
    <t>Size (SQFT)</t>
  </si>
  <si>
    <t>$/sqft</t>
  </si>
  <si>
    <t>Total Estimated Cost Including Transaction Fees (Estimated 30%)</t>
  </si>
  <si>
    <t>Adjusted Size (SQFT)</t>
  </si>
  <si>
    <t>Weight</t>
  </si>
  <si>
    <t>Weighted Cost/SQFT</t>
  </si>
  <si>
    <t xml:space="preserve">Unit cost includes management and acquisition costs and contingency and is an approximate weighted average of residential and industrial land based on proposed locations of improvements and available price data. </t>
  </si>
  <si>
    <t>N. Summerville</t>
  </si>
  <si>
    <t xml:space="preserve">Road and Utility Repair </t>
  </si>
  <si>
    <t>Relocate Utilities Crossing River</t>
  </si>
  <si>
    <t>Based on length of river improvement with additional amount to account for looping areas and rest areas</t>
  </si>
  <si>
    <t>Implementation Ratio</t>
  </si>
  <si>
    <t>Total Values</t>
  </si>
  <si>
    <t>Average Width (concrete)</t>
  </si>
  <si>
    <t>Based on approximately 10% of Capital costs</t>
  </si>
  <si>
    <t>Permitting assumed to be more rigorous than other local projects</t>
  </si>
  <si>
    <t>Total Floodplain Buyback, Habitat, and Recreation Estimated Cost</t>
  </si>
  <si>
    <t>Average width (vegetated)</t>
  </si>
  <si>
    <t>Includes Capital Costs From Sheet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</si>
</sst>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wrapText="1"/>
    </xf>
    <xf numFmtId="0" fontId="3" fillId="0" borderId="1" xfId="0" applyFont="1" applyFill="1" applyBorder="1"/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9" fontId="0" fillId="0" borderId="0" xfId="0" applyNumberForma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3" xfId="0" applyNumberFormat="1" applyBorder="1"/>
    <xf numFmtId="0" fontId="2" fillId="0" borderId="1" xfId="0" applyFont="1" applyFill="1" applyBorder="1"/>
    <xf numFmtId="0" fontId="3" fillId="0" borderId="0" xfId="0" applyFont="1"/>
    <xf numFmtId="0" fontId="3" fillId="0" borderId="3" xfId="0" applyFont="1" applyFill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 applyBorder="1"/>
    <xf numFmtId="3" fontId="0" fillId="0" borderId="4" xfId="0" applyNumberFormat="1" applyBorder="1"/>
    <xf numFmtId="164" fontId="0" fillId="0" borderId="4" xfId="0" applyNumberFormat="1" applyBorder="1"/>
    <xf numFmtId="3" fontId="0" fillId="0" borderId="3" xfId="0" applyNumberFormat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vertical="center"/>
    </xf>
    <xf numFmtId="1" fontId="0" fillId="0" borderId="3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6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5" fontId="3" fillId="0" borderId="0" xfId="0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166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Border="1"/>
    <xf numFmtId="164" fontId="0" fillId="0" borderId="0" xfId="0" applyNumberFormat="1" applyFill="1"/>
    <xf numFmtId="0" fontId="7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1" xfId="0" applyNumberForma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5" fontId="3" fillId="0" borderId="0" xfId="0" applyNumberFormat="1" applyFont="1" applyFill="1" applyBorder="1"/>
    <xf numFmtId="0" fontId="2" fillId="0" borderId="0" xfId="0" applyFont="1" applyFill="1"/>
    <xf numFmtId="9" fontId="0" fillId="0" borderId="0" xfId="0" applyNumberFormat="1" applyFill="1" applyBorder="1" applyAlignment="1">
      <alignment horizontal="center"/>
    </xf>
    <xf numFmtId="6" fontId="0" fillId="0" borderId="0" xfId="0" applyNumberForma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 applyBorder="1"/>
    <xf numFmtId="3" fontId="0" fillId="0" borderId="0" xfId="0" applyNumberFormat="1" applyFill="1"/>
    <xf numFmtId="165" fontId="0" fillId="0" borderId="0" xfId="0" applyNumberFormat="1"/>
    <xf numFmtId="1" fontId="0" fillId="0" borderId="0" xfId="0" applyNumberFormat="1"/>
    <xf numFmtId="0" fontId="3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8" fontId="0" fillId="0" borderId="0" xfId="0" applyNumberFormat="1"/>
    <xf numFmtId="164" fontId="0" fillId="0" borderId="0" xfId="0" applyNumberFormat="1" applyBorder="1" applyAlignment="1">
      <alignment horizontal="center"/>
    </xf>
    <xf numFmtId="0" fontId="3" fillId="0" borderId="4" xfId="0" applyFont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6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3" fontId="0" fillId="0" borderId="4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5" fontId="0" fillId="0" borderId="0" xfId="0" applyNumberFormat="1"/>
    <xf numFmtId="1" fontId="0" fillId="0" borderId="1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3" fontId="1" fillId="0" borderId="0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" fontId="0" fillId="0" borderId="1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6" fontId="0" fillId="0" borderId="0" xfId="0" applyNumberFormat="1"/>
    <xf numFmtId="167" fontId="0" fillId="0" borderId="0" xfId="1" applyNumberFormat="1" applyFont="1"/>
    <xf numFmtId="166" fontId="0" fillId="0" borderId="4" xfId="0" applyNumberFormat="1" applyBorder="1"/>
    <xf numFmtId="166" fontId="0" fillId="0" borderId="0" xfId="0" applyNumberFormat="1" applyBorder="1"/>
    <xf numFmtId="166" fontId="0" fillId="0" borderId="1" xfId="0" applyNumberFormat="1" applyBorder="1"/>
    <xf numFmtId="168" fontId="0" fillId="0" borderId="4" xfId="2" applyNumberFormat="1" applyFont="1" applyBorder="1"/>
    <xf numFmtId="168" fontId="0" fillId="0" borderId="0" xfId="2" applyNumberFormat="1" applyFont="1" applyBorder="1"/>
    <xf numFmtId="168" fontId="0" fillId="0" borderId="1" xfId="2" applyNumberFormat="1" applyFont="1" applyBorder="1"/>
    <xf numFmtId="1" fontId="0" fillId="0" borderId="1" xfId="0" applyNumberFormat="1" applyBorder="1"/>
    <xf numFmtId="165" fontId="0" fillId="0" borderId="0" xfId="0" applyNumberFormat="1" applyFill="1"/>
    <xf numFmtId="165" fontId="0" fillId="0" borderId="1" xfId="0" applyNumberFormat="1" applyBorder="1"/>
    <xf numFmtId="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0"/>
  <sheetViews>
    <sheetView view="pageLayout" topLeftCell="A5" zoomScaleNormal="100" workbookViewId="0">
      <selection activeCell="A39" sqref="A39"/>
    </sheetView>
  </sheetViews>
  <sheetFormatPr defaultRowHeight="13.2" x14ac:dyDescent="0.25"/>
  <cols>
    <col min="1" max="1" width="56.109375" bestFit="1" customWidth="1"/>
    <col min="2" max="2" width="14.6640625" bestFit="1" customWidth="1"/>
    <col min="4" max="4" width="56.109375" bestFit="1" customWidth="1"/>
    <col min="5" max="5" width="18.88671875" customWidth="1"/>
    <col min="7" max="7" width="48.5546875" customWidth="1"/>
    <col min="8" max="8" width="18.88671875" customWidth="1"/>
  </cols>
  <sheetData>
    <row r="1" spans="1:8" ht="17.399999999999999" x14ac:dyDescent="0.3">
      <c r="A1" s="64" t="s">
        <v>55</v>
      </c>
    </row>
    <row r="4" spans="1:8" ht="39.6" x14ac:dyDescent="0.25">
      <c r="A4" s="54"/>
      <c r="B4" s="57" t="str">
        <f>'Local Stormwater Capture 1'!$A$5</f>
        <v>Local Stormwater Capture</v>
      </c>
    </row>
    <row r="5" spans="1:8" x14ac:dyDescent="0.25">
      <c r="A5" s="55"/>
      <c r="B5" s="13"/>
      <c r="G5" s="56"/>
      <c r="H5" s="52"/>
    </row>
    <row r="6" spans="1:8" x14ac:dyDescent="0.25">
      <c r="A6" s="56" t="s">
        <v>53</v>
      </c>
      <c r="B6" s="48">
        <f>ROUND(SUM('Local Stormwater Capture 1'!E29:E33)/1000000,0)*1000000</f>
        <v>8240000000</v>
      </c>
      <c r="G6" s="55"/>
      <c r="H6" s="13"/>
    </row>
    <row r="7" spans="1:8" x14ac:dyDescent="0.25">
      <c r="A7" s="55"/>
      <c r="B7" s="13"/>
      <c r="G7" s="56"/>
      <c r="H7" s="48"/>
    </row>
    <row r="8" spans="1:8" x14ac:dyDescent="0.25">
      <c r="A8" s="56" t="s">
        <v>78</v>
      </c>
      <c r="B8" s="48">
        <f>ROUND('Local Stormwater Capture 1'!E29/1000000,0)*1000000</f>
        <v>3086000000</v>
      </c>
      <c r="G8" s="55"/>
      <c r="H8" s="13"/>
    </row>
    <row r="9" spans="1:8" x14ac:dyDescent="0.25">
      <c r="G9" s="56"/>
      <c r="H9" s="48"/>
    </row>
    <row r="10" spans="1:8" x14ac:dyDescent="0.25">
      <c r="A10" s="56" t="s">
        <v>79</v>
      </c>
      <c r="B10" s="48">
        <f>ROUND('Local Stormwater Capture 1'!E31/1000000,0)*1000000</f>
        <v>1328000000</v>
      </c>
      <c r="G10" s="55"/>
      <c r="H10" s="13"/>
    </row>
    <row r="11" spans="1:8" x14ac:dyDescent="0.25">
      <c r="A11" s="56"/>
      <c r="G11" s="56"/>
      <c r="H11" s="13"/>
    </row>
    <row r="12" spans="1:8" x14ac:dyDescent="0.25">
      <c r="A12" s="56" t="s">
        <v>26</v>
      </c>
      <c r="B12" s="48">
        <f>ROUND('Local Stormwater Capture 1'!E37/1000000,0)*1000000</f>
        <v>159000000</v>
      </c>
      <c r="G12" s="55"/>
      <c r="H12" s="13"/>
    </row>
    <row r="13" spans="1:8" x14ac:dyDescent="0.25">
      <c r="A13" s="55"/>
      <c r="B13" s="13"/>
      <c r="G13" s="56"/>
      <c r="H13" s="52"/>
    </row>
    <row r="14" spans="1:8" x14ac:dyDescent="0.25">
      <c r="A14" s="56" t="s">
        <v>29</v>
      </c>
      <c r="B14" s="13">
        <f>'Local Stormwater Capture 2'!B10</f>
        <v>265.5</v>
      </c>
      <c r="G14" s="55"/>
      <c r="H14" s="52"/>
    </row>
    <row r="15" spans="1:8" x14ac:dyDescent="0.25">
      <c r="A15" s="55"/>
      <c r="B15" s="13"/>
      <c r="G15" s="56"/>
      <c r="H15" s="52"/>
    </row>
    <row r="16" spans="1:8" x14ac:dyDescent="0.25">
      <c r="A16" s="56" t="s">
        <v>28</v>
      </c>
      <c r="B16" s="52">
        <f>ROUND('Local Stormwater Capture 2'!B14/1000,0)*1000</f>
        <v>1077000</v>
      </c>
      <c r="G16" s="55"/>
      <c r="H16" s="13"/>
    </row>
    <row r="17" spans="1:8" x14ac:dyDescent="0.25">
      <c r="A17" s="55"/>
      <c r="B17" s="52"/>
      <c r="G17" s="1"/>
      <c r="H17" s="48"/>
    </row>
    <row r="18" spans="1:8" x14ac:dyDescent="0.25">
      <c r="A18" s="56" t="s">
        <v>27</v>
      </c>
      <c r="B18" s="52">
        <f>'Local Stormwater Capture 1'!H22</f>
        <v>0</v>
      </c>
    </row>
    <row r="19" spans="1:8" x14ac:dyDescent="0.25">
      <c r="A19" s="55"/>
      <c r="B19" s="13"/>
    </row>
    <row r="20" spans="1:8" x14ac:dyDescent="0.25">
      <c r="A20" s="99" t="s">
        <v>105</v>
      </c>
      <c r="B20" s="100">
        <v>23917</v>
      </c>
    </row>
    <row r="21" spans="1:8" x14ac:dyDescent="0.25">
      <c r="A21" s="97"/>
      <c r="B21" s="96"/>
    </row>
    <row r="22" spans="1:8" x14ac:dyDescent="0.25">
      <c r="A22" s="6" t="s">
        <v>108</v>
      </c>
      <c r="B22" s="98">
        <f>ROUND(-PMT(0.03375,50,$B$6)/B20/100,0)*100</f>
        <v>14400</v>
      </c>
    </row>
    <row r="24" spans="1:8" x14ac:dyDescent="0.25">
      <c r="A24" s="99" t="s">
        <v>106</v>
      </c>
      <c r="B24" s="102">
        <f>'Local Stormwater Capture 1'!E39</f>
        <v>31123</v>
      </c>
    </row>
    <row r="25" spans="1:8" x14ac:dyDescent="0.25">
      <c r="A25" s="15"/>
      <c r="B25" s="15"/>
    </row>
    <row r="26" spans="1:8" x14ac:dyDescent="0.25">
      <c r="A26" s="6" t="s">
        <v>108</v>
      </c>
      <c r="B26" s="101">
        <f>ROUND('Local Stormwater Capture 1'!E41/100,0)*100</f>
        <v>11000</v>
      </c>
    </row>
    <row r="28" spans="1:8" x14ac:dyDescent="0.25">
      <c r="A28" s="99" t="s">
        <v>107</v>
      </c>
      <c r="B28" s="100">
        <v>39179</v>
      </c>
    </row>
    <row r="29" spans="1:8" x14ac:dyDescent="0.25">
      <c r="A29" s="15"/>
      <c r="B29" s="15"/>
    </row>
    <row r="30" spans="1:8" x14ac:dyDescent="0.25">
      <c r="A30" s="6" t="s">
        <v>108</v>
      </c>
      <c r="B30" s="98">
        <f>ROUND(-PMT(0.03375,50,$B$6)/B28/100,0)*100</f>
        <v>8800</v>
      </c>
    </row>
  </sheetData>
  <pageMargins left="0.7" right="0.7" top="0.75" bottom="0.75" header="0.3" footer="0.3"/>
  <pageSetup orientation="portrait"/>
  <headerFooter>
    <oddFooter>&amp;LLA Basin Stormwater Conservation Study_Project Costs&amp;R&amp;D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31"/>
  <sheetViews>
    <sheetView view="pageLayout" topLeftCell="A10" zoomScaleNormal="100" workbookViewId="0">
      <selection activeCell="B37" sqref="B37"/>
    </sheetView>
  </sheetViews>
  <sheetFormatPr defaultRowHeight="13.2" x14ac:dyDescent="0.25"/>
  <cols>
    <col min="1" max="1" width="54" bestFit="1" customWidth="1"/>
    <col min="2" max="2" width="19" customWidth="1"/>
    <col min="4" max="4" width="56.109375" bestFit="1" customWidth="1"/>
    <col min="5" max="6" width="18.88671875" customWidth="1"/>
    <col min="7" max="7" width="17.88671875" customWidth="1"/>
    <col min="8" max="8" width="17.5546875" customWidth="1"/>
    <col min="9" max="9" width="24.33203125" customWidth="1"/>
    <col min="10" max="10" width="20.6640625" customWidth="1"/>
  </cols>
  <sheetData>
    <row r="1" spans="1:10" ht="17.399999999999999" x14ac:dyDescent="0.3">
      <c r="A1" s="64" t="s">
        <v>59</v>
      </c>
    </row>
    <row r="3" spans="1:10" ht="39.6" x14ac:dyDescent="0.25">
      <c r="A3" s="54"/>
      <c r="B3" s="57" t="s">
        <v>52</v>
      </c>
    </row>
    <row r="5" spans="1:10" x14ac:dyDescent="0.25">
      <c r="G5" s="57"/>
      <c r="H5" s="57"/>
      <c r="I5" s="57"/>
      <c r="J5" s="57"/>
    </row>
    <row r="6" spans="1:10" x14ac:dyDescent="0.25">
      <c r="A6" s="55"/>
      <c r="B6" s="13"/>
    </row>
    <row r="7" spans="1:10" x14ac:dyDescent="0.25">
      <c r="A7" s="56" t="s">
        <v>53</v>
      </c>
      <c r="B7" s="48">
        <f>ROUND('Green Infrastructure Programs'!E39/1000000,0)*1000000</f>
        <v>26052000000</v>
      </c>
      <c r="G7" s="52"/>
      <c r="H7" s="52"/>
      <c r="I7" s="52"/>
      <c r="J7" s="52"/>
    </row>
    <row r="8" spans="1:10" x14ac:dyDescent="0.25">
      <c r="A8" s="55"/>
      <c r="B8" s="13"/>
      <c r="G8" s="13"/>
      <c r="H8" s="13"/>
      <c r="I8" s="13"/>
      <c r="J8" s="13"/>
    </row>
    <row r="9" spans="1:10" x14ac:dyDescent="0.25">
      <c r="A9" s="56" t="s">
        <v>78</v>
      </c>
      <c r="B9" s="48">
        <f>ROUND('Green Infrastructure Programs'!E33/1000000,0)*1000000</f>
        <v>12508000000</v>
      </c>
      <c r="G9" s="48"/>
      <c r="H9" s="48"/>
      <c r="I9" s="48"/>
      <c r="J9" s="48"/>
    </row>
    <row r="10" spans="1:10" x14ac:dyDescent="0.25">
      <c r="G10" s="13"/>
      <c r="H10" s="13"/>
      <c r="I10" s="13"/>
      <c r="J10" s="13"/>
    </row>
    <row r="11" spans="1:10" x14ac:dyDescent="0.25">
      <c r="A11" s="56" t="s">
        <v>79</v>
      </c>
      <c r="B11" s="48">
        <f>'Green Infrastructure Programs'!E35</f>
        <v>0</v>
      </c>
      <c r="G11" s="48"/>
      <c r="H11" s="48"/>
      <c r="I11" s="48"/>
      <c r="J11" s="48"/>
    </row>
    <row r="12" spans="1:10" x14ac:dyDescent="0.25">
      <c r="G12" s="13"/>
      <c r="H12" s="13"/>
      <c r="I12" s="13"/>
      <c r="J12" s="13"/>
    </row>
    <row r="13" spans="1:10" x14ac:dyDescent="0.25">
      <c r="A13" s="56" t="s">
        <v>26</v>
      </c>
      <c r="B13" s="48">
        <f>ROUND('Green Infrastructure Programs'!E43/1000000,0)*1000000</f>
        <v>564000000</v>
      </c>
      <c r="G13" s="13"/>
      <c r="H13" s="13"/>
      <c r="I13" s="13"/>
      <c r="J13" s="13"/>
    </row>
    <row r="14" spans="1:10" x14ac:dyDescent="0.25">
      <c r="A14" s="55"/>
      <c r="B14" s="13"/>
      <c r="G14" s="13"/>
      <c r="H14" s="13"/>
      <c r="I14" s="13"/>
      <c r="J14" s="13"/>
    </row>
    <row r="15" spans="1:10" x14ac:dyDescent="0.25">
      <c r="A15" s="56" t="s">
        <v>29</v>
      </c>
      <c r="B15" s="13">
        <v>0</v>
      </c>
      <c r="G15" s="52"/>
      <c r="H15" s="52"/>
      <c r="I15" s="52"/>
      <c r="J15" s="52"/>
    </row>
    <row r="16" spans="1:10" x14ac:dyDescent="0.25">
      <c r="A16" s="55"/>
      <c r="B16" s="13"/>
      <c r="G16" s="52"/>
      <c r="H16" s="52"/>
      <c r="I16" s="52"/>
      <c r="J16" s="52"/>
    </row>
    <row r="17" spans="1:10" x14ac:dyDescent="0.25">
      <c r="A17" s="56" t="s">
        <v>28</v>
      </c>
      <c r="B17" s="52">
        <v>0</v>
      </c>
      <c r="G17" s="52"/>
      <c r="H17" s="52"/>
      <c r="I17" s="52"/>
      <c r="J17" s="52"/>
    </row>
    <row r="18" spans="1:10" x14ac:dyDescent="0.25">
      <c r="A18" s="55"/>
      <c r="B18" s="52"/>
      <c r="G18" s="13"/>
      <c r="H18" s="13"/>
      <c r="I18" s="13"/>
      <c r="J18" s="13"/>
    </row>
    <row r="19" spans="1:10" x14ac:dyDescent="0.25">
      <c r="A19" s="56" t="s">
        <v>27</v>
      </c>
      <c r="B19" s="52">
        <v>0</v>
      </c>
      <c r="G19" s="48"/>
      <c r="H19" s="48"/>
      <c r="I19" s="48"/>
      <c r="J19" s="48"/>
    </row>
    <row r="20" spans="1:10" x14ac:dyDescent="0.25">
      <c r="A20" s="55"/>
      <c r="B20" s="13"/>
    </row>
    <row r="21" spans="1:10" x14ac:dyDescent="0.25">
      <c r="A21" s="99" t="s">
        <v>25</v>
      </c>
      <c r="B21" s="102">
        <v>99741.133146579436</v>
      </c>
    </row>
    <row r="22" spans="1:10" x14ac:dyDescent="0.25">
      <c r="A22" s="15"/>
      <c r="B22" s="15"/>
    </row>
    <row r="23" spans="1:10" x14ac:dyDescent="0.25">
      <c r="A23" s="6" t="s">
        <v>90</v>
      </c>
      <c r="B23" s="101">
        <f>ROUND(-PMT(0.03375,50,$B$7)/B21/100,0)*100</f>
        <v>10900</v>
      </c>
    </row>
    <row r="25" spans="1:10" x14ac:dyDescent="0.25">
      <c r="A25" s="99" t="s">
        <v>25</v>
      </c>
      <c r="B25" s="102">
        <f>'Green Infrastructure Programs'!E45</f>
        <v>123510.27986146144</v>
      </c>
    </row>
    <row r="26" spans="1:10" x14ac:dyDescent="0.25">
      <c r="A26" s="15"/>
      <c r="B26" s="15"/>
    </row>
    <row r="27" spans="1:10" x14ac:dyDescent="0.25">
      <c r="A27" s="6" t="s">
        <v>90</v>
      </c>
      <c r="B27" s="101">
        <f>ROUND('Green Infrastructure Programs'!E47/100,0)*100</f>
        <v>8800</v>
      </c>
    </row>
    <row r="29" spans="1:10" x14ac:dyDescent="0.25">
      <c r="A29" s="99" t="s">
        <v>25</v>
      </c>
      <c r="B29" s="102">
        <v>145295.02648112402</v>
      </c>
    </row>
    <row r="30" spans="1:10" x14ac:dyDescent="0.25">
      <c r="A30" s="15"/>
      <c r="B30" s="15"/>
    </row>
    <row r="31" spans="1:10" x14ac:dyDescent="0.25">
      <c r="A31" s="6" t="s">
        <v>90</v>
      </c>
      <c r="B31" s="101">
        <f>ROUND(-PMT(0.03375,50,$B$7)/B29/100,0)*100</f>
        <v>7500</v>
      </c>
    </row>
  </sheetData>
  <pageMargins left="0.7" right="0.7" top="0.75" bottom="0.75" header="0.3" footer="0.3"/>
  <pageSetup orientation="portrait"/>
  <headerFooter>
    <oddFooter>&amp;LLA Basin Stormwater Conservation Study_Project Costs&amp;R&amp;D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51"/>
  <sheetViews>
    <sheetView view="pageBreakPreview" topLeftCell="A5" zoomScaleNormal="100" zoomScaleSheetLayoutView="100" workbookViewId="0">
      <selection activeCell="B13" sqref="B13"/>
    </sheetView>
  </sheetViews>
  <sheetFormatPr defaultRowHeight="13.2" x14ac:dyDescent="0.25"/>
  <cols>
    <col min="1" max="1" width="54.6640625" customWidth="1"/>
    <col min="4" max="4" width="14.6640625" customWidth="1"/>
    <col min="5" max="5" width="16.88671875" customWidth="1"/>
    <col min="7" max="7" width="8.44140625" customWidth="1"/>
    <col min="9" max="9" width="10.109375" customWidth="1"/>
    <col min="10" max="12" width="0" hidden="1" customWidth="1"/>
    <col min="13" max="13" width="17" customWidth="1"/>
    <col min="14" max="14" width="14" customWidth="1"/>
    <col min="15" max="15" width="11.88671875" customWidth="1"/>
    <col min="16" max="16" width="11.5546875" customWidth="1"/>
    <col min="17" max="17" width="14.88671875" customWidth="1"/>
    <col min="20" max="20" width="15" customWidth="1"/>
    <col min="21" max="21" width="26.33203125" customWidth="1"/>
    <col min="23" max="23" width="28.6640625" customWidth="1"/>
  </cols>
  <sheetData>
    <row r="1" spans="1:21" x14ac:dyDescent="0.25">
      <c r="A1" s="1" t="s">
        <v>9</v>
      </c>
    </row>
    <row r="2" spans="1:21" x14ac:dyDescent="0.25">
      <c r="A2" s="1" t="s">
        <v>64</v>
      </c>
    </row>
    <row r="3" spans="1:21" x14ac:dyDescent="0.25">
      <c r="A3" s="16">
        <v>42257</v>
      </c>
    </row>
    <row r="5" spans="1:21" ht="13.8" thickBot="1" x14ac:dyDescent="0.3">
      <c r="A5" s="19" t="s">
        <v>52</v>
      </c>
      <c r="B5" s="20"/>
      <c r="C5" s="20"/>
      <c r="D5" s="20"/>
      <c r="E5" s="20"/>
    </row>
    <row r="6" spans="1:21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21" x14ac:dyDescent="0.25">
      <c r="A7" s="73" t="s">
        <v>0</v>
      </c>
      <c r="B7" s="76" t="s">
        <v>1</v>
      </c>
      <c r="C7" s="76" t="s">
        <v>2</v>
      </c>
      <c r="D7" s="77" t="s">
        <v>3</v>
      </c>
      <c r="E7" s="77" t="s">
        <v>4</v>
      </c>
      <c r="F7" s="61"/>
      <c r="G7" s="61"/>
      <c r="H7" s="61"/>
      <c r="I7" s="61"/>
    </row>
    <row r="8" spans="1:21" x14ac:dyDescent="0.25">
      <c r="A8" s="73"/>
      <c r="B8" s="73"/>
      <c r="C8" s="73"/>
      <c r="D8" s="78"/>
      <c r="E8" s="78"/>
      <c r="F8" s="61"/>
      <c r="G8" s="61"/>
      <c r="H8" s="61"/>
      <c r="I8" s="61"/>
    </row>
    <row r="9" spans="1:21" x14ac:dyDescent="0.25">
      <c r="A9" s="17" t="s">
        <v>32</v>
      </c>
      <c r="B9" s="7"/>
      <c r="C9" s="7"/>
      <c r="D9" s="8"/>
      <c r="E9" s="8"/>
      <c r="F9" s="61" t="s">
        <v>110</v>
      </c>
    </row>
    <row r="10" spans="1:21" ht="12.75" customHeight="1" x14ac:dyDescent="0.25">
      <c r="A10" s="9" t="s">
        <v>102</v>
      </c>
      <c r="B10" s="60">
        <v>3151.3803448875519</v>
      </c>
      <c r="C10" s="10" t="s">
        <v>33</v>
      </c>
      <c r="D10" s="11">
        <f>(41.25*0.25+18*0.4+22.1875*0.35)*43560</f>
        <v>1101115.125</v>
      </c>
      <c r="E10" s="2">
        <f t="shared" ref="E10:E15" si="0">+B10*D10</f>
        <v>3470032562.3834</v>
      </c>
      <c r="F10" t="s">
        <v>37</v>
      </c>
    </row>
    <row r="11" spans="1:21" x14ac:dyDescent="0.25">
      <c r="A11" s="9" t="s">
        <v>103</v>
      </c>
      <c r="B11" s="60">
        <v>83.724003666223979</v>
      </c>
      <c r="C11" s="10" t="s">
        <v>33</v>
      </c>
      <c r="D11" s="11">
        <f>(41.25*0.17+18*0.4+22.1875*0.43)*43560</f>
        <v>1034686.125</v>
      </c>
      <c r="E11" s="2">
        <f t="shared" si="0"/>
        <v>86628064.92289108</v>
      </c>
      <c r="F11" s="32" t="s">
        <v>39</v>
      </c>
      <c r="T11" s="32"/>
      <c r="U11" s="41"/>
    </row>
    <row r="12" spans="1:21" x14ac:dyDescent="0.25">
      <c r="A12" s="9" t="s">
        <v>103</v>
      </c>
      <c r="B12" s="60">
        <v>53.595836419173438</v>
      </c>
      <c r="C12" s="10" t="s">
        <v>33</v>
      </c>
      <c r="D12" s="11">
        <f>(41.25*0.17+18*0.4+22.1875*0.43)*43560</f>
        <v>1034686.125</v>
      </c>
      <c r="E12" s="2">
        <f t="shared" si="0"/>
        <v>55454868.300688438</v>
      </c>
      <c r="F12" s="32" t="s">
        <v>39</v>
      </c>
      <c r="T12" s="32"/>
      <c r="U12" s="41"/>
    </row>
    <row r="13" spans="1:21" x14ac:dyDescent="0.25">
      <c r="A13" s="9" t="s">
        <v>104</v>
      </c>
      <c r="B13" s="60">
        <v>1770.9462889905158</v>
      </c>
      <c r="C13" s="10" t="s">
        <v>33</v>
      </c>
      <c r="D13" s="11">
        <f>(41.25*0.25+18*0.4+22.1875*0.35)*43560</f>
        <v>1101115.125</v>
      </c>
      <c r="E13" s="2">
        <f t="shared" si="0"/>
        <v>1950015744.3700778</v>
      </c>
      <c r="F13" t="s">
        <v>37</v>
      </c>
      <c r="Q13" s="42"/>
      <c r="T13" s="13"/>
      <c r="U13" s="48"/>
    </row>
    <row r="14" spans="1:21" x14ac:dyDescent="0.25">
      <c r="A14" s="12" t="s">
        <v>42</v>
      </c>
      <c r="B14" s="60">
        <v>1259.4472827953709</v>
      </c>
      <c r="C14" s="10" t="s">
        <v>33</v>
      </c>
      <c r="D14" s="11">
        <f>(41.25*0.22+30*0.45+22.1875*0.33)*43560</f>
        <v>1302307.875</v>
      </c>
      <c r="E14" s="2">
        <f t="shared" si="0"/>
        <v>1640188114.5317636</v>
      </c>
      <c r="F14" s="32" t="s">
        <v>43</v>
      </c>
      <c r="Q14" s="42"/>
      <c r="T14" s="13"/>
      <c r="U14" s="48"/>
    </row>
    <row r="15" spans="1:21" x14ac:dyDescent="0.25">
      <c r="A15" s="12" t="s">
        <v>44</v>
      </c>
      <c r="B15" s="60">
        <v>1741.8588987777421</v>
      </c>
      <c r="C15" s="10" t="s">
        <v>33</v>
      </c>
      <c r="D15" s="11">
        <f>(41.25*0.02+30*0.03+22.1875*0.47+18*0.48)*43560</f>
        <v>905748.52500000002</v>
      </c>
      <c r="E15" s="2">
        <f t="shared" si="0"/>
        <v>1577686128.3260641</v>
      </c>
      <c r="F15" s="32" t="s">
        <v>45</v>
      </c>
      <c r="T15" s="13"/>
      <c r="U15" s="48"/>
    </row>
    <row r="16" spans="1:21" x14ac:dyDescent="0.25">
      <c r="A16" s="12" t="s">
        <v>49</v>
      </c>
      <c r="B16" s="60">
        <v>2808.5408248825865</v>
      </c>
      <c r="C16" s="59" t="s">
        <v>33</v>
      </c>
      <c r="D16" s="62">
        <f>(41.25*0.25+30*0.45+22.1875*0.3)*43560</f>
        <v>1327218.75</v>
      </c>
      <c r="E16" s="63">
        <f>+B16*D16</f>
        <v>3727548042.9246354</v>
      </c>
      <c r="F16" s="32" t="s">
        <v>50</v>
      </c>
      <c r="G16" s="61"/>
      <c r="H16" s="61"/>
      <c r="I16" s="61"/>
      <c r="J16" s="61"/>
      <c r="K16" s="61"/>
      <c r="L16" s="61"/>
      <c r="T16" s="13"/>
      <c r="U16" s="48"/>
    </row>
    <row r="17" spans="1:21" x14ac:dyDescent="0.25">
      <c r="A17" s="86" t="s">
        <v>6</v>
      </c>
      <c r="B17" s="87"/>
      <c r="C17" s="87"/>
      <c r="D17" s="39"/>
      <c r="E17" s="39">
        <f>SUM(E10:E16)</f>
        <v>12507553525.75952</v>
      </c>
      <c r="T17" s="13"/>
      <c r="U17" s="48"/>
    </row>
    <row r="18" spans="1:21" x14ac:dyDescent="0.25">
      <c r="T18" s="13"/>
      <c r="U18" s="48"/>
    </row>
    <row r="19" spans="1:21" x14ac:dyDescent="0.25">
      <c r="A19" s="31" t="s">
        <v>66</v>
      </c>
      <c r="B19" s="67"/>
      <c r="C19" s="59"/>
      <c r="D19" s="62"/>
      <c r="E19" s="62"/>
      <c r="T19" s="13"/>
      <c r="U19" s="48"/>
    </row>
    <row r="20" spans="1:21" x14ac:dyDescent="0.25">
      <c r="A20" s="18" t="s">
        <v>15</v>
      </c>
      <c r="B20" s="58">
        <v>0</v>
      </c>
      <c r="C20" s="29" t="s">
        <v>11</v>
      </c>
      <c r="D20" s="30">
        <v>500000</v>
      </c>
      <c r="E20" s="30">
        <f t="shared" ref="E20" si="1">+B20*D20</f>
        <v>0</v>
      </c>
      <c r="F20" s="32" t="s">
        <v>82</v>
      </c>
      <c r="G20" s="42"/>
      <c r="T20" s="13"/>
      <c r="U20" s="48"/>
    </row>
    <row r="21" spans="1:21" x14ac:dyDescent="0.25">
      <c r="A21" s="61" t="s">
        <v>6</v>
      </c>
      <c r="B21" s="68"/>
      <c r="C21" s="68"/>
      <c r="D21" s="63"/>
      <c r="E21" s="63">
        <f>SUM(E20:E20)</f>
        <v>0</v>
      </c>
      <c r="G21" s="42"/>
      <c r="T21" s="13"/>
      <c r="U21" s="48"/>
    </row>
    <row r="22" spans="1:21" x14ac:dyDescent="0.25">
      <c r="T22" s="13"/>
      <c r="U22" s="48"/>
    </row>
    <row r="23" spans="1:21" x14ac:dyDescent="0.25">
      <c r="A23" s="94" t="s">
        <v>89</v>
      </c>
      <c r="B23" s="80"/>
      <c r="C23" s="80"/>
      <c r="D23" s="69"/>
      <c r="E23" s="69"/>
      <c r="F23" s="61" t="s">
        <v>110</v>
      </c>
      <c r="T23" s="13"/>
      <c r="U23" s="48"/>
    </row>
    <row r="24" spans="1:21" x14ac:dyDescent="0.25">
      <c r="A24" s="9" t="s">
        <v>36</v>
      </c>
      <c r="B24" s="60">
        <v>3151.3803448875519</v>
      </c>
      <c r="C24" s="10" t="s">
        <v>33</v>
      </c>
      <c r="D24" s="11">
        <f>(20*0.25+21.25*0.4+30.63*0.35)*43560</f>
        <v>1055044.98</v>
      </c>
      <c r="E24" s="2">
        <f t="shared" ref="E24:E29" si="2">+B24*D24</f>
        <v>3324848012.9442801</v>
      </c>
      <c r="F24" t="s">
        <v>37</v>
      </c>
      <c r="T24" s="13"/>
      <c r="U24" s="48"/>
    </row>
    <row r="25" spans="1:21" x14ac:dyDescent="0.25">
      <c r="A25" s="9" t="s">
        <v>38</v>
      </c>
      <c r="B25" s="60">
        <v>83.724003666223979</v>
      </c>
      <c r="C25" s="10" t="s">
        <v>33</v>
      </c>
      <c r="D25" s="11">
        <f>(20*0.17+21.25*0.4+30.63*0.43)*43560</f>
        <v>1092088.4040000001</v>
      </c>
      <c r="E25" s="2">
        <f t="shared" si="2"/>
        <v>91434013.540336698</v>
      </c>
      <c r="F25" s="32" t="s">
        <v>39</v>
      </c>
      <c r="T25" s="13"/>
      <c r="U25" s="48"/>
    </row>
    <row r="26" spans="1:21" x14ac:dyDescent="0.25">
      <c r="A26" s="9" t="s">
        <v>40</v>
      </c>
      <c r="B26" s="60">
        <v>53.595836419173438</v>
      </c>
      <c r="C26" s="10" t="s">
        <v>33</v>
      </c>
      <c r="D26" s="11">
        <f>(20*0.17+21.25*0.4+30.63*0.43)*43560</f>
        <v>1092088.4040000001</v>
      </c>
      <c r="E26" s="2">
        <f t="shared" si="2"/>
        <v>58531391.456060201</v>
      </c>
      <c r="F26" s="32" t="s">
        <v>39</v>
      </c>
      <c r="T26" s="13"/>
      <c r="U26" s="48"/>
    </row>
    <row r="27" spans="1:21" x14ac:dyDescent="0.25">
      <c r="A27" s="9" t="s">
        <v>41</v>
      </c>
      <c r="B27" s="60">
        <v>1770.9462889905158</v>
      </c>
      <c r="C27" s="10" t="s">
        <v>33</v>
      </c>
      <c r="D27" s="11">
        <f>(20*0.25+21.25*0.4+30.63*0.35)*43560</f>
        <v>1055044.98</v>
      </c>
      <c r="E27" s="2">
        <f t="shared" si="2"/>
        <v>1868427992.049073</v>
      </c>
      <c r="F27" t="s">
        <v>37</v>
      </c>
      <c r="T27" s="13"/>
      <c r="U27" s="48"/>
    </row>
    <row r="28" spans="1:21" x14ac:dyDescent="0.25">
      <c r="A28" s="12" t="s">
        <v>42</v>
      </c>
      <c r="B28" s="60">
        <v>1259.4472827953709</v>
      </c>
      <c r="C28" s="10" t="s">
        <v>33</v>
      </c>
      <c r="D28" s="11">
        <f>(20*0.22+46*0.45+30.63*0.33)*43560</f>
        <v>1533656.1240000001</v>
      </c>
      <c r="E28" s="2">
        <f t="shared" si="2"/>
        <v>1931559038.1142805</v>
      </c>
      <c r="F28" s="32" t="s">
        <v>43</v>
      </c>
      <c r="T28" s="13"/>
      <c r="U28" s="48"/>
    </row>
    <row r="29" spans="1:21" x14ac:dyDescent="0.25">
      <c r="A29" s="12" t="s">
        <v>44</v>
      </c>
      <c r="B29" s="60">
        <v>1741.8588987777421</v>
      </c>
      <c r="C29" s="10" t="s">
        <v>33</v>
      </c>
      <c r="D29" s="11">
        <f>(20*0.02+46*0.03+30.63*0.47+21.25*0.48)*43560</f>
        <v>1148942.916</v>
      </c>
      <c r="E29" s="2">
        <f t="shared" si="2"/>
        <v>2001296442.4222476</v>
      </c>
      <c r="F29" s="32" t="s">
        <v>45</v>
      </c>
      <c r="T29" s="13"/>
      <c r="U29" s="48"/>
    </row>
    <row r="30" spans="1:21" x14ac:dyDescent="0.25">
      <c r="A30" s="12" t="s">
        <v>49</v>
      </c>
      <c r="B30" s="60">
        <v>2808.5408248825865</v>
      </c>
      <c r="C30" s="59" t="s">
        <v>33</v>
      </c>
      <c r="D30" s="62">
        <f>(20*0.25+46*0.45+30.63*0.3)*43560</f>
        <v>1519764.8399999999</v>
      </c>
      <c r="E30" s="63">
        <f>+B30*D30</f>
        <v>4268321597.3611517</v>
      </c>
      <c r="F30" s="32" t="s">
        <v>50</v>
      </c>
      <c r="Q30" s="42"/>
      <c r="T30" s="13"/>
      <c r="U30" s="48"/>
    </row>
    <row r="31" spans="1:21" x14ac:dyDescent="0.25">
      <c r="A31" s="86" t="s">
        <v>6</v>
      </c>
      <c r="B31" s="87"/>
      <c r="C31" s="87"/>
      <c r="D31" s="39"/>
      <c r="E31" s="39">
        <f>SUM(E24:E30)</f>
        <v>13544418487.887428</v>
      </c>
      <c r="T31" s="13"/>
      <c r="U31" s="48"/>
    </row>
    <row r="32" spans="1:21" x14ac:dyDescent="0.25">
      <c r="T32" s="13"/>
      <c r="U32" s="48"/>
    </row>
    <row r="33" spans="1:21" x14ac:dyDescent="0.25">
      <c r="A33" s="70" t="s">
        <v>67</v>
      </c>
      <c r="E33" s="2">
        <f>E17</f>
        <v>12507553525.75952</v>
      </c>
      <c r="T33" s="13"/>
      <c r="U33" s="48"/>
    </row>
    <row r="34" spans="1:21" x14ac:dyDescent="0.25">
      <c r="T34" s="13"/>
      <c r="U34" s="48"/>
    </row>
    <row r="35" spans="1:21" x14ac:dyDescent="0.25">
      <c r="A35" s="70" t="s">
        <v>68</v>
      </c>
      <c r="E35" s="2">
        <f>E21</f>
        <v>0</v>
      </c>
      <c r="T35" s="13"/>
      <c r="U35" s="48"/>
    </row>
    <row r="36" spans="1:21" x14ac:dyDescent="0.25">
      <c r="A36" s="61"/>
      <c r="T36" s="13"/>
      <c r="U36" s="48"/>
    </row>
    <row r="37" spans="1:21" x14ac:dyDescent="0.25">
      <c r="A37" s="70" t="s">
        <v>85</v>
      </c>
      <c r="E37" s="2">
        <f>E31</f>
        <v>13544418487.887428</v>
      </c>
      <c r="G37" s="61"/>
      <c r="H37" s="61"/>
      <c r="I37" s="61"/>
      <c r="T37" s="13"/>
      <c r="U37" s="48"/>
    </row>
    <row r="38" spans="1:21" x14ac:dyDescent="0.25">
      <c r="A38" s="61"/>
      <c r="B38" s="59"/>
      <c r="C38" s="59"/>
      <c r="D38" s="62"/>
      <c r="E38" s="62"/>
      <c r="F38" s="61"/>
      <c r="G38" s="61"/>
      <c r="H38" s="61"/>
      <c r="I38" s="61"/>
      <c r="T38" s="13"/>
      <c r="U38" s="48"/>
    </row>
    <row r="39" spans="1:21" x14ac:dyDescent="0.25">
      <c r="A39" s="70" t="s">
        <v>21</v>
      </c>
      <c r="B39" s="59"/>
      <c r="C39" s="59"/>
      <c r="D39" s="62"/>
      <c r="E39" s="72">
        <f>SUM(E33:E37)</f>
        <v>26051972013.64695</v>
      </c>
      <c r="F39" s="61" t="s">
        <v>92</v>
      </c>
      <c r="G39" s="61"/>
      <c r="H39" s="61"/>
      <c r="I39" s="61"/>
      <c r="T39" s="13"/>
      <c r="U39" s="48"/>
    </row>
    <row r="40" spans="1:21" x14ac:dyDescent="0.25">
      <c r="A40" s="12"/>
      <c r="B40" s="59"/>
      <c r="C40" s="59"/>
      <c r="D40" s="62"/>
      <c r="E40" s="62"/>
      <c r="F40" s="61"/>
      <c r="G40" s="61"/>
      <c r="H40" s="61"/>
      <c r="I40" s="61"/>
      <c r="T40" s="13"/>
      <c r="U40" s="48"/>
    </row>
    <row r="41" spans="1:21" x14ac:dyDescent="0.25">
      <c r="A41" s="70" t="s">
        <v>83</v>
      </c>
      <c r="B41" s="74"/>
      <c r="C41" s="59"/>
      <c r="D41" s="62"/>
      <c r="E41" s="75">
        <f>+PMT(0.03375,50,-E33-E35,0)</f>
        <v>521280540.16737688</v>
      </c>
      <c r="F41" s="65" t="s">
        <v>84</v>
      </c>
      <c r="G41" s="61"/>
      <c r="H41" s="61"/>
      <c r="I41" s="61"/>
      <c r="T41" s="13"/>
      <c r="U41" s="48"/>
    </row>
    <row r="42" spans="1:21" x14ac:dyDescent="0.25">
      <c r="A42" s="61"/>
      <c r="B42" s="59"/>
      <c r="C42" s="59"/>
      <c r="D42" s="62"/>
      <c r="E42" s="62"/>
      <c r="G42" s="61"/>
      <c r="H42" s="61"/>
      <c r="I42" s="61"/>
      <c r="T42" s="13"/>
      <c r="U42" s="48"/>
    </row>
    <row r="43" spans="1:21" x14ac:dyDescent="0.25">
      <c r="A43" s="73" t="s">
        <v>23</v>
      </c>
      <c r="B43" s="81"/>
      <c r="C43" s="81"/>
      <c r="D43" s="62"/>
      <c r="E43" s="75">
        <f>+PMT(0.03375,50,-E37,0)</f>
        <v>564494229.11346042</v>
      </c>
      <c r="F43" s="65" t="s">
        <v>84</v>
      </c>
      <c r="G43" s="61"/>
      <c r="H43" s="61"/>
      <c r="I43" s="61"/>
      <c r="T43" s="13"/>
      <c r="U43" s="48"/>
    </row>
    <row r="44" spans="1:21" x14ac:dyDescent="0.25">
      <c r="A44" s="70"/>
      <c r="B44" s="59"/>
      <c r="C44" s="59"/>
      <c r="D44" s="62"/>
      <c r="E44" s="62"/>
      <c r="F44" s="61"/>
      <c r="G44" s="61"/>
      <c r="H44" s="61"/>
      <c r="I44" s="61"/>
      <c r="T44" s="13"/>
      <c r="U44" s="48"/>
    </row>
    <row r="45" spans="1:21" x14ac:dyDescent="0.25">
      <c r="A45" s="73" t="s">
        <v>88</v>
      </c>
      <c r="B45" s="61"/>
      <c r="C45" s="61"/>
      <c r="D45" s="61"/>
      <c r="E45" s="82">
        <v>123510.27986146144</v>
      </c>
      <c r="F45" s="61"/>
      <c r="T45" s="13"/>
      <c r="U45" s="48"/>
    </row>
    <row r="46" spans="1:21" x14ac:dyDescent="0.25">
      <c r="A46" s="15"/>
      <c r="B46" s="10"/>
      <c r="C46" s="10"/>
      <c r="D46" s="11"/>
      <c r="E46" s="11"/>
      <c r="G46" s="83"/>
      <c r="H46" s="84"/>
      <c r="T46" s="13"/>
      <c r="U46" s="48"/>
    </row>
    <row r="47" spans="1:21" x14ac:dyDescent="0.25">
      <c r="A47" s="22" t="s">
        <v>87</v>
      </c>
      <c r="B47" s="10"/>
      <c r="C47" s="10"/>
      <c r="D47" s="11"/>
      <c r="E47" s="11">
        <f>+(E41+E43)/E45</f>
        <v>8790.9667964377149</v>
      </c>
      <c r="T47" s="13"/>
      <c r="U47" s="48"/>
    </row>
    <row r="48" spans="1:21" x14ac:dyDescent="0.25">
      <c r="T48" s="13"/>
      <c r="U48" s="48"/>
    </row>
    <row r="49" spans="20:21" x14ac:dyDescent="0.25">
      <c r="T49" s="13"/>
      <c r="U49" s="48"/>
    </row>
    <row r="50" spans="20:21" x14ac:dyDescent="0.25">
      <c r="T50" s="13"/>
      <c r="U50" s="48"/>
    </row>
    <row r="51" spans="20:21" x14ac:dyDescent="0.25">
      <c r="T51" s="13"/>
      <c r="U51" s="48"/>
    </row>
  </sheetData>
  <pageMargins left="0.7" right="0.7" top="0.75" bottom="0.75" header="0.3" footer="0.3"/>
  <pageSetup scale="64" orientation="landscape"/>
  <headerFooter>
    <oddFooter>&amp;LLA Basin Stormwater Conservation Study_Project Costs&amp;R&amp;D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32"/>
  <sheetViews>
    <sheetView tabSelected="1" view="pageLayout" zoomScaleNormal="100" workbookViewId="0">
      <selection activeCell="A30" sqref="A30"/>
    </sheetView>
  </sheetViews>
  <sheetFormatPr defaultRowHeight="13.2" x14ac:dyDescent="0.25"/>
  <cols>
    <col min="1" max="1" width="56.109375" bestFit="1" customWidth="1"/>
    <col min="2" max="2" width="15.77734375" customWidth="1"/>
    <col min="4" max="4" width="56.109375" bestFit="1" customWidth="1"/>
    <col min="5" max="5" width="18.88671875" customWidth="1"/>
    <col min="7" max="7" width="48.5546875" customWidth="1"/>
    <col min="8" max="8" width="18.88671875" customWidth="1"/>
  </cols>
  <sheetData>
    <row r="1" spans="1:8" ht="17.399999999999999" x14ac:dyDescent="0.3">
      <c r="A1" s="64" t="s">
        <v>60</v>
      </c>
    </row>
    <row r="4" spans="1:8" ht="26.4" x14ac:dyDescent="0.25">
      <c r="A4" s="54"/>
      <c r="B4" s="57" t="s">
        <v>54</v>
      </c>
    </row>
    <row r="5" spans="1:8" x14ac:dyDescent="0.25">
      <c r="G5" s="54"/>
      <c r="H5" s="57"/>
    </row>
    <row r="7" spans="1:8" x14ac:dyDescent="0.25">
      <c r="A7" s="55"/>
      <c r="B7" s="13"/>
      <c r="G7" s="56"/>
      <c r="H7" s="52"/>
    </row>
    <row r="8" spans="1:8" x14ac:dyDescent="0.25">
      <c r="A8" s="56" t="s">
        <v>53</v>
      </c>
      <c r="B8" s="48">
        <f>ROUND(SUM('Regional Impact Programs 1'!E30:E34)/1000000,0)*1000000</f>
        <v>96055000000</v>
      </c>
      <c r="G8" s="55"/>
      <c r="H8" s="13"/>
    </row>
    <row r="9" spans="1:8" x14ac:dyDescent="0.25">
      <c r="A9" s="55"/>
      <c r="B9" s="13"/>
      <c r="G9" s="56"/>
      <c r="H9" s="48"/>
    </row>
    <row r="10" spans="1:8" x14ac:dyDescent="0.25">
      <c r="A10" s="56" t="s">
        <v>78</v>
      </c>
      <c r="B10" s="48">
        <f>ROUND('Regional Impact Programs 1'!E30/1000000,0)*1000000</f>
        <v>50129000000</v>
      </c>
      <c r="G10" s="55"/>
      <c r="H10" s="13"/>
    </row>
    <row r="11" spans="1:8" x14ac:dyDescent="0.25">
      <c r="G11" s="56"/>
      <c r="H11" s="48"/>
    </row>
    <row r="12" spans="1:8" x14ac:dyDescent="0.25">
      <c r="A12" s="56" t="s">
        <v>79</v>
      </c>
      <c r="B12" s="48">
        <f>ROUND('Regional Impact Programs 1'!E32/1000000,0)*1000000</f>
        <v>20596000000</v>
      </c>
      <c r="G12" s="55"/>
      <c r="H12" s="13"/>
    </row>
    <row r="13" spans="1:8" x14ac:dyDescent="0.25">
      <c r="A13" s="56"/>
      <c r="G13" s="56"/>
      <c r="H13" s="13"/>
    </row>
    <row r="14" spans="1:8" x14ac:dyDescent="0.25">
      <c r="A14" s="56" t="s">
        <v>26</v>
      </c>
      <c r="B14" s="48">
        <f>ROUND('Regional Impact Programs 1'!E38/1000000,0)*1000000</f>
        <v>1056000000</v>
      </c>
      <c r="G14" s="55"/>
      <c r="H14" s="13"/>
    </row>
    <row r="15" spans="1:8" x14ac:dyDescent="0.25">
      <c r="A15" s="55"/>
      <c r="B15" s="13"/>
      <c r="G15" s="56"/>
      <c r="H15" s="52"/>
    </row>
    <row r="16" spans="1:8" x14ac:dyDescent="0.25">
      <c r="A16" s="56" t="s">
        <v>29</v>
      </c>
      <c r="B16" s="52">
        <f>'Regional Impact Programs 2'!B28+'Regional Impact Programs 2'!B29</f>
        <v>5206.216370230215</v>
      </c>
      <c r="G16" s="55"/>
      <c r="H16" s="52"/>
    </row>
    <row r="17" spans="1:8" x14ac:dyDescent="0.25">
      <c r="A17" s="55"/>
      <c r="B17" s="13"/>
      <c r="G17" s="56"/>
      <c r="H17" s="52"/>
    </row>
    <row r="18" spans="1:8" x14ac:dyDescent="0.25">
      <c r="A18" s="56" t="s">
        <v>28</v>
      </c>
      <c r="B18" s="52">
        <f>ROUND(('Regional Impact Programs 2'!B33+'Regional Impact Programs 2'!B34)/1000,0)*1000</f>
        <v>2780000</v>
      </c>
      <c r="G18" s="55"/>
      <c r="H18" s="13"/>
    </row>
    <row r="19" spans="1:8" x14ac:dyDescent="0.25">
      <c r="A19" s="55"/>
      <c r="B19" s="52"/>
      <c r="G19" s="1"/>
      <c r="H19" s="48"/>
    </row>
    <row r="20" spans="1:8" x14ac:dyDescent="0.25">
      <c r="A20" s="56" t="s">
        <v>27</v>
      </c>
      <c r="B20" s="52">
        <f>'Regional Impact Programs 1'!H22</f>
        <v>0</v>
      </c>
    </row>
    <row r="21" spans="1:8" x14ac:dyDescent="0.25">
      <c r="A21" s="55"/>
      <c r="B21" s="13"/>
    </row>
    <row r="22" spans="1:8" x14ac:dyDescent="0.25">
      <c r="A22" s="99" t="s">
        <v>25</v>
      </c>
      <c r="B22" s="102">
        <f>245280*0.75*0.5</f>
        <v>91980</v>
      </c>
      <c r="C22" s="84"/>
    </row>
    <row r="23" spans="1:8" x14ac:dyDescent="0.25">
      <c r="A23" s="15"/>
      <c r="B23" s="15"/>
      <c r="C23" s="84"/>
    </row>
    <row r="24" spans="1:8" x14ac:dyDescent="0.25">
      <c r="A24" s="6" t="s">
        <v>77</v>
      </c>
      <c r="B24" s="101">
        <f>ROUND(-PMT(0.03375,50,$B$8)/B22/100,0)*100</f>
        <v>43500</v>
      </c>
      <c r="C24" s="84"/>
    </row>
    <row r="25" spans="1:8" x14ac:dyDescent="0.25">
      <c r="C25" s="84"/>
    </row>
    <row r="26" spans="1:8" x14ac:dyDescent="0.25">
      <c r="A26" s="99" t="s">
        <v>25</v>
      </c>
      <c r="B26" s="102">
        <f>'Regional Impact Programs 1'!E40</f>
        <v>145395</v>
      </c>
      <c r="C26" s="84"/>
    </row>
    <row r="27" spans="1:8" x14ac:dyDescent="0.25">
      <c r="A27" s="15"/>
      <c r="B27" s="15"/>
      <c r="C27" s="84"/>
    </row>
    <row r="28" spans="1:8" x14ac:dyDescent="0.25">
      <c r="A28" s="6" t="s">
        <v>77</v>
      </c>
      <c r="B28" s="101">
        <f>ROUND('Regional Impact Programs 1'!E42/100,0)*100</f>
        <v>27500</v>
      </c>
      <c r="C28" s="84"/>
    </row>
    <row r="29" spans="1:8" x14ac:dyDescent="0.25">
      <c r="C29" s="84"/>
    </row>
    <row r="30" spans="1:8" x14ac:dyDescent="0.25">
      <c r="A30" s="99" t="s">
        <v>25</v>
      </c>
      <c r="B30" s="102">
        <f>520991*0.75*0.5</f>
        <v>195371.625</v>
      </c>
      <c r="C30" s="84"/>
    </row>
    <row r="31" spans="1:8" x14ac:dyDescent="0.25">
      <c r="A31" s="15"/>
      <c r="B31" s="15"/>
      <c r="C31" s="84"/>
    </row>
    <row r="32" spans="1:8" x14ac:dyDescent="0.25">
      <c r="A32" s="6" t="s">
        <v>77</v>
      </c>
      <c r="B32" s="101">
        <f>ROUND(-PMT(0.03375,50,$B$8)/B30/100,0)*100</f>
        <v>20500</v>
      </c>
      <c r="C32" s="84"/>
    </row>
  </sheetData>
  <pageMargins left="0.7" right="0.7" top="0.75" bottom="0.75" header="0.3" footer="0.3"/>
  <pageSetup orientation="portrait"/>
  <headerFooter>
    <oddFooter>&amp;LLA Basin Stormwater Conservation Study_Project Costs&amp;R&amp;D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O42"/>
  <sheetViews>
    <sheetView view="pageBreakPreview" topLeftCell="A5" zoomScale="80" zoomScaleNormal="80" zoomScaleSheetLayoutView="80" zoomScalePageLayoutView="40" workbookViewId="0">
      <selection activeCell="G34" sqref="G34"/>
    </sheetView>
  </sheetViews>
  <sheetFormatPr defaultRowHeight="13.2" x14ac:dyDescent="0.25"/>
  <cols>
    <col min="1" max="1" width="54.6640625" customWidth="1"/>
    <col min="4" max="4" width="13.88671875" bestFit="1" customWidth="1"/>
    <col min="5" max="5" width="16.88671875" customWidth="1"/>
    <col min="6" max="6" width="11.109375" bestFit="1" customWidth="1"/>
    <col min="7" max="7" width="42.44140625" customWidth="1"/>
    <col min="8" max="8" width="15.6640625" customWidth="1"/>
    <col min="9" max="9" width="19.6640625" customWidth="1"/>
    <col min="10" max="10" width="16.6640625" customWidth="1"/>
    <col min="11" max="11" width="13.33203125" customWidth="1"/>
    <col min="12" max="12" width="9.6640625" customWidth="1"/>
    <col min="13" max="13" width="13.109375" customWidth="1"/>
    <col min="14" max="14" width="17.33203125" customWidth="1"/>
    <col min="15" max="15" width="26.33203125" customWidth="1"/>
    <col min="17" max="17" width="28.6640625" customWidth="1"/>
  </cols>
  <sheetData>
    <row r="1" spans="1:15" x14ac:dyDescent="0.25">
      <c r="A1" s="1" t="s">
        <v>9</v>
      </c>
    </row>
    <row r="2" spans="1:15" x14ac:dyDescent="0.25">
      <c r="A2" s="1" t="s">
        <v>64</v>
      </c>
    </row>
    <row r="3" spans="1:15" x14ac:dyDescent="0.25">
      <c r="A3" s="16">
        <v>42331</v>
      </c>
    </row>
    <row r="5" spans="1:15" ht="13.8" thickBot="1" x14ac:dyDescent="0.3">
      <c r="A5" s="19" t="s">
        <v>54</v>
      </c>
      <c r="B5" s="20"/>
      <c r="C5" s="20"/>
      <c r="D5" s="20"/>
      <c r="E5" s="20"/>
    </row>
    <row r="7" spans="1:15" x14ac:dyDescent="0.25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</row>
    <row r="8" spans="1:15" x14ac:dyDescent="0.25">
      <c r="A8" s="1"/>
      <c r="B8" s="1"/>
      <c r="C8" s="1"/>
      <c r="D8" s="5"/>
      <c r="E8" s="5"/>
    </row>
    <row r="9" spans="1:15" x14ac:dyDescent="0.25">
      <c r="A9" s="17" t="s">
        <v>32</v>
      </c>
      <c r="B9" s="7"/>
      <c r="C9" s="7"/>
      <c r="D9" s="8"/>
      <c r="E9" s="8"/>
    </row>
    <row r="10" spans="1:15" ht="12.75" customHeight="1" x14ac:dyDescent="0.25">
      <c r="A10" s="9" t="s">
        <v>69</v>
      </c>
      <c r="B10" s="60">
        <v>1574</v>
      </c>
      <c r="C10" s="10" t="s">
        <v>33</v>
      </c>
      <c r="D10" s="62">
        <f>15.5*43560</f>
        <v>675180</v>
      </c>
      <c r="E10" s="2">
        <f t="shared" ref="E10:E14" si="0">+B10*D10</f>
        <v>1062733320</v>
      </c>
      <c r="F10" s="65" t="s">
        <v>73</v>
      </c>
    </row>
    <row r="11" spans="1:15" x14ac:dyDescent="0.25">
      <c r="A11" s="12" t="s">
        <v>70</v>
      </c>
      <c r="B11" s="60">
        <v>877</v>
      </c>
      <c r="C11" s="10" t="s">
        <v>33</v>
      </c>
      <c r="D11" s="62">
        <f>15.5*43560</f>
        <v>675180</v>
      </c>
      <c r="E11" s="2">
        <f t="shared" si="0"/>
        <v>592132860</v>
      </c>
      <c r="F11" s="65" t="s">
        <v>73</v>
      </c>
      <c r="N11" s="32"/>
      <c r="O11" s="41"/>
    </row>
    <row r="12" spans="1:15" x14ac:dyDescent="0.25">
      <c r="A12" s="12" t="s">
        <v>71</v>
      </c>
      <c r="B12" s="60">
        <v>1685</v>
      </c>
      <c r="C12" s="10" t="s">
        <v>33</v>
      </c>
      <c r="D12" s="62">
        <f>15.5*43560</f>
        <v>675180</v>
      </c>
      <c r="E12" s="2">
        <f t="shared" si="0"/>
        <v>1137678300</v>
      </c>
      <c r="F12" s="65" t="s">
        <v>73</v>
      </c>
      <c r="N12" s="32"/>
      <c r="O12" s="41"/>
    </row>
    <row r="13" spans="1:15" x14ac:dyDescent="0.25">
      <c r="A13" s="9" t="s">
        <v>72</v>
      </c>
      <c r="B13" s="60">
        <v>2564</v>
      </c>
      <c r="C13" s="10" t="s">
        <v>33</v>
      </c>
      <c r="D13" s="62">
        <f>15.5*43560</f>
        <v>675180</v>
      </c>
      <c r="E13" s="2">
        <f t="shared" si="0"/>
        <v>1731161520</v>
      </c>
      <c r="F13" s="65" t="s">
        <v>73</v>
      </c>
      <c r="N13" s="13"/>
      <c r="O13" s="48"/>
    </row>
    <row r="14" spans="1:15" x14ac:dyDescent="0.25">
      <c r="A14" s="12" t="s">
        <v>34</v>
      </c>
      <c r="B14" s="60">
        <v>11.805410640495866</v>
      </c>
      <c r="C14" s="10" t="s">
        <v>33</v>
      </c>
      <c r="D14" s="62">
        <f>21*43560</f>
        <v>914760</v>
      </c>
      <c r="E14" s="2">
        <f t="shared" si="0"/>
        <v>10799117.437499998</v>
      </c>
      <c r="F14" s="65" t="s">
        <v>74</v>
      </c>
      <c r="N14" s="13"/>
      <c r="O14" s="48"/>
    </row>
    <row r="15" spans="1:15" x14ac:dyDescent="0.25">
      <c r="A15" s="86" t="s">
        <v>6</v>
      </c>
      <c r="B15" s="87"/>
      <c r="C15" s="87"/>
      <c r="D15" s="39"/>
      <c r="E15" s="39">
        <f>SUM(E10:E14)</f>
        <v>4534505117.4375</v>
      </c>
      <c r="F15" s="32" t="s">
        <v>65</v>
      </c>
      <c r="N15" s="13"/>
      <c r="O15" s="48"/>
    </row>
    <row r="16" spans="1:15" x14ac:dyDescent="0.25">
      <c r="H16" s="42"/>
      <c r="I16" s="42"/>
      <c r="J16" s="13"/>
      <c r="N16" s="13"/>
      <c r="O16" s="48"/>
    </row>
    <row r="17" spans="1:15" x14ac:dyDescent="0.25">
      <c r="A17" s="31" t="s">
        <v>66</v>
      </c>
      <c r="B17" s="67"/>
      <c r="C17" s="59"/>
      <c r="D17" s="62"/>
      <c r="E17" s="62"/>
      <c r="H17" s="42"/>
      <c r="I17" s="42"/>
      <c r="J17" s="13"/>
      <c r="N17" s="13"/>
      <c r="O17" s="48"/>
    </row>
    <row r="18" spans="1:15" x14ac:dyDescent="0.25">
      <c r="A18" s="90" t="s">
        <v>112</v>
      </c>
      <c r="B18" s="107">
        <v>2655</v>
      </c>
      <c r="C18" s="106" t="s">
        <v>11</v>
      </c>
      <c r="D18" s="39">
        <v>500000</v>
      </c>
      <c r="E18" s="39">
        <f t="shared" ref="E18" si="1">+B18*D18</f>
        <v>1327500000</v>
      </c>
      <c r="F18" s="32" t="s">
        <v>82</v>
      </c>
      <c r="H18" s="13"/>
      <c r="I18" s="13"/>
      <c r="J18" s="13"/>
      <c r="N18" s="13"/>
      <c r="O18" s="48"/>
    </row>
    <row r="19" spans="1:15" ht="13.2" customHeight="1" x14ac:dyDescent="0.25">
      <c r="A19" s="18" t="s">
        <v>113</v>
      </c>
      <c r="B19" s="104">
        <f>'Regional Impact Programs 2'!N4</f>
        <v>4940.716370230215</v>
      </c>
      <c r="C19" s="26" t="s">
        <v>11</v>
      </c>
      <c r="D19" s="8">
        <v>3900000</v>
      </c>
      <c r="E19" s="126">
        <f>+B19*D19</f>
        <v>19268793843.897839</v>
      </c>
      <c r="F19" s="128" t="s">
        <v>168</v>
      </c>
      <c r="G19" s="128"/>
      <c r="H19" s="128"/>
      <c r="I19" s="128"/>
      <c r="J19" s="13"/>
      <c r="N19" s="13"/>
      <c r="O19" s="48"/>
    </row>
    <row r="20" spans="1:15" x14ac:dyDescent="0.25">
      <c r="A20" s="90" t="s">
        <v>6</v>
      </c>
      <c r="B20" s="127"/>
      <c r="C20" s="68"/>
      <c r="D20" s="63"/>
      <c r="E20" s="63">
        <f>SUM(E18:E19)</f>
        <v>20596293843.897839</v>
      </c>
      <c r="F20" s="128"/>
      <c r="G20" s="128"/>
      <c r="H20" s="128"/>
      <c r="I20" s="128"/>
      <c r="J20" s="13"/>
      <c r="N20" s="13"/>
      <c r="O20" s="48"/>
    </row>
    <row r="21" spans="1:15" x14ac:dyDescent="0.25">
      <c r="J21" s="48"/>
      <c r="N21" s="13"/>
      <c r="O21" s="48"/>
    </row>
    <row r="22" spans="1:15" x14ac:dyDescent="0.25">
      <c r="A22" s="95" t="s">
        <v>89</v>
      </c>
      <c r="B22" s="80"/>
      <c r="C22" s="80"/>
      <c r="D22" s="69"/>
      <c r="E22" s="69"/>
      <c r="F22" s="65" t="s">
        <v>73</v>
      </c>
      <c r="J22" s="13"/>
      <c r="N22" s="13"/>
      <c r="O22" s="48"/>
    </row>
    <row r="23" spans="1:15" x14ac:dyDescent="0.25">
      <c r="A23" s="85" t="s">
        <v>69</v>
      </c>
      <c r="B23" s="107">
        <v>1574</v>
      </c>
      <c r="C23" s="59" t="s">
        <v>33</v>
      </c>
      <c r="D23" s="62">
        <f>20*43560</f>
        <v>871200</v>
      </c>
      <c r="E23" s="63">
        <f t="shared" ref="E23:E27" si="2">+B23*D23</f>
        <v>1371268800</v>
      </c>
      <c r="F23" s="65" t="s">
        <v>73</v>
      </c>
      <c r="K23" s="42"/>
      <c r="N23" s="13"/>
      <c r="O23" s="48"/>
    </row>
    <row r="24" spans="1:15" x14ac:dyDescent="0.25">
      <c r="A24" s="12" t="s">
        <v>70</v>
      </c>
      <c r="B24" s="60">
        <v>877</v>
      </c>
      <c r="C24" s="59" t="s">
        <v>33</v>
      </c>
      <c r="D24" s="62">
        <f>20*43560</f>
        <v>871200</v>
      </c>
      <c r="E24" s="63">
        <f t="shared" si="2"/>
        <v>764042400</v>
      </c>
      <c r="F24" s="65" t="s">
        <v>73</v>
      </c>
      <c r="K24" s="42"/>
      <c r="N24" s="13"/>
      <c r="O24" s="48"/>
    </row>
    <row r="25" spans="1:15" x14ac:dyDescent="0.25">
      <c r="A25" s="12" t="s">
        <v>71</v>
      </c>
      <c r="B25" s="60">
        <v>1685</v>
      </c>
      <c r="C25" s="59" t="s">
        <v>33</v>
      </c>
      <c r="D25" s="62">
        <f>20*43560</f>
        <v>871200</v>
      </c>
      <c r="E25" s="63">
        <f t="shared" si="2"/>
        <v>1467972000</v>
      </c>
      <c r="F25" s="65" t="s">
        <v>73</v>
      </c>
      <c r="N25" s="13"/>
      <c r="O25" s="48"/>
    </row>
    <row r="26" spans="1:15" x14ac:dyDescent="0.25">
      <c r="A26" s="9" t="s">
        <v>72</v>
      </c>
      <c r="B26" s="60">
        <v>2564</v>
      </c>
      <c r="C26" s="59" t="s">
        <v>33</v>
      </c>
      <c r="D26" s="62">
        <f>20*43560</f>
        <v>871200</v>
      </c>
      <c r="E26" s="63">
        <f t="shared" si="2"/>
        <v>2233756800</v>
      </c>
      <c r="F26" s="65" t="s">
        <v>73</v>
      </c>
      <c r="N26" s="13"/>
      <c r="O26" s="48"/>
    </row>
    <row r="27" spans="1:15" x14ac:dyDescent="0.25">
      <c r="A27" s="12" t="s">
        <v>34</v>
      </c>
      <c r="B27" s="104">
        <v>11.805410640495866</v>
      </c>
      <c r="C27" s="59" t="s">
        <v>33</v>
      </c>
      <c r="D27" s="62">
        <f>PV(0.03375,50,-0.05*D14)</f>
        <v>1097433.0309309147</v>
      </c>
      <c r="E27" s="63">
        <f t="shared" si="2"/>
        <v>12955647.580583449</v>
      </c>
      <c r="F27" s="65" t="s">
        <v>86</v>
      </c>
      <c r="N27" s="13"/>
      <c r="O27" s="48"/>
    </row>
    <row r="28" spans="1:15" x14ac:dyDescent="0.25">
      <c r="A28" s="86" t="s">
        <v>6</v>
      </c>
      <c r="B28" s="60"/>
      <c r="C28" s="92"/>
      <c r="D28" s="93"/>
      <c r="E28" s="93">
        <f>SUM(E23:E27)</f>
        <v>5849995647.5805836</v>
      </c>
      <c r="F28" s="65" t="s">
        <v>91</v>
      </c>
      <c r="N28" s="13"/>
      <c r="O28" s="48"/>
    </row>
    <row r="29" spans="1:15" x14ac:dyDescent="0.25">
      <c r="A29" s="61"/>
      <c r="B29" s="61"/>
      <c r="C29" s="61"/>
      <c r="D29" s="61"/>
      <c r="E29" s="61"/>
      <c r="N29" s="13"/>
      <c r="O29" s="48"/>
    </row>
    <row r="30" spans="1:15" x14ac:dyDescent="0.25">
      <c r="A30" s="70" t="s">
        <v>67</v>
      </c>
      <c r="B30" s="59"/>
      <c r="C30" s="59"/>
      <c r="D30" s="62"/>
      <c r="E30" s="72">
        <f>E15+'Regional Impact Programs 2'!E56</f>
        <v>50129158027.262169</v>
      </c>
      <c r="F30" s="65" t="s">
        <v>180</v>
      </c>
      <c r="N30" s="13"/>
      <c r="O30" s="48"/>
    </row>
    <row r="31" spans="1:15" x14ac:dyDescent="0.25">
      <c r="F31" s="61"/>
      <c r="N31" s="13"/>
      <c r="O31" s="48"/>
    </row>
    <row r="32" spans="1:15" x14ac:dyDescent="0.25">
      <c r="A32" s="70" t="s">
        <v>68</v>
      </c>
      <c r="B32" s="59"/>
      <c r="C32" s="59"/>
      <c r="D32" s="62"/>
      <c r="E32" s="72">
        <f>E20</f>
        <v>20596293843.897839</v>
      </c>
      <c r="F32" s="61"/>
      <c r="N32" s="13"/>
      <c r="O32" s="48"/>
    </row>
    <row r="33" spans="1:8" x14ac:dyDescent="0.25">
      <c r="A33" s="61"/>
      <c r="B33" s="59"/>
      <c r="C33" s="59"/>
      <c r="D33" s="62"/>
      <c r="E33" s="62"/>
      <c r="F33" s="61"/>
    </row>
    <row r="34" spans="1:8" x14ac:dyDescent="0.25">
      <c r="A34" s="70" t="s">
        <v>85</v>
      </c>
      <c r="E34" s="72">
        <f>E28+-PV(0.03375,'Regional Impact Programs 2'!O37,'Regional Impact Programs 2'!N37)</f>
        <v>25329938223.815895</v>
      </c>
      <c r="H34" s="72"/>
    </row>
    <row r="36" spans="1:8" x14ac:dyDescent="0.25">
      <c r="A36" s="70" t="s">
        <v>83</v>
      </c>
      <c r="E36" s="50">
        <f>PMT(0.03375,50,-SUM(E30:E32))</f>
        <v>2947642932.6526756</v>
      </c>
      <c r="F36" s="65" t="s">
        <v>84</v>
      </c>
    </row>
    <row r="38" spans="1:8" x14ac:dyDescent="0.25">
      <c r="A38" s="1" t="s">
        <v>23</v>
      </c>
      <c r="B38" s="15"/>
      <c r="C38" s="15"/>
      <c r="D38" s="11"/>
      <c r="E38" s="75">
        <f>+PMT(0.03375,50,-E34,0)</f>
        <v>1055682380.4529932</v>
      </c>
      <c r="F38" s="65" t="s">
        <v>84</v>
      </c>
      <c r="H38" s="75"/>
    </row>
    <row r="40" spans="1:8" x14ac:dyDescent="0.25">
      <c r="A40" s="1" t="s">
        <v>24</v>
      </c>
      <c r="E40" s="52">
        <f>387720*0.75*0.5</f>
        <v>145395</v>
      </c>
      <c r="F40" s="32" t="s">
        <v>75</v>
      </c>
    </row>
    <row r="41" spans="1:8" x14ac:dyDescent="0.25">
      <c r="A41" s="15"/>
      <c r="B41" s="10"/>
      <c r="C41" s="10"/>
      <c r="D41" s="11"/>
      <c r="E41" s="11"/>
    </row>
    <row r="42" spans="1:8" x14ac:dyDescent="0.25">
      <c r="A42" s="22" t="s">
        <v>76</v>
      </c>
      <c r="B42" s="10"/>
      <c r="C42" s="10"/>
      <c r="D42" s="11"/>
      <c r="E42" s="89">
        <f>+(E36+E38)/E40</f>
        <v>27534.133313426657</v>
      </c>
    </row>
  </sheetData>
  <mergeCells count="1">
    <mergeCell ref="F19:I20"/>
  </mergeCells>
  <pageMargins left="0.7" right="0.7" top="0.75" bottom="0.75" header="0.3" footer="0.3"/>
  <pageSetup scale="64" orientation="landscape"/>
  <headerFooter>
    <oddFooter>&amp;LLA Basin Stormwater Conservation Study_Project Costs&amp;R&amp;D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U63"/>
  <sheetViews>
    <sheetView view="pageBreakPreview" topLeftCell="A33" zoomScale="90" zoomScaleNormal="100" zoomScaleSheetLayoutView="90" workbookViewId="0">
      <selection activeCell="G56" sqref="G56"/>
    </sheetView>
  </sheetViews>
  <sheetFormatPr defaultRowHeight="13.2" x14ac:dyDescent="0.25"/>
  <cols>
    <col min="1" max="1" width="54.6640625" customWidth="1"/>
    <col min="2" max="2" width="10" bestFit="1" customWidth="1"/>
    <col min="4" max="4" width="13.88671875" bestFit="1" customWidth="1"/>
    <col min="5" max="5" width="15.44140625" customWidth="1"/>
    <col min="7" max="7" width="17.44140625" bestFit="1" customWidth="1"/>
    <col min="10" max="12" width="0" hidden="1" customWidth="1"/>
    <col min="13" max="13" width="22.33203125" customWidth="1"/>
    <col min="14" max="14" width="17" customWidth="1"/>
    <col min="15" max="15" width="11.88671875" customWidth="1"/>
    <col min="16" max="16" width="11.5546875" customWidth="1"/>
    <col min="17" max="17" width="13.33203125" customWidth="1"/>
    <col min="20" max="20" width="15" customWidth="1"/>
    <col min="21" max="21" width="26.33203125" customWidth="1"/>
    <col min="23" max="23" width="28.6640625" customWidth="1"/>
  </cols>
  <sheetData>
    <row r="1" spans="1:21" x14ac:dyDescent="0.25">
      <c r="A1" s="1" t="s">
        <v>9</v>
      </c>
    </row>
    <row r="2" spans="1:21" x14ac:dyDescent="0.25">
      <c r="A2" s="1" t="s">
        <v>169</v>
      </c>
      <c r="M2" s="32" t="s">
        <v>139</v>
      </c>
      <c r="Q2" t="s">
        <v>174</v>
      </c>
      <c r="R2" s="32" t="s">
        <v>173</v>
      </c>
    </row>
    <row r="3" spans="1:21" x14ac:dyDescent="0.25">
      <c r="A3" s="16">
        <v>42346</v>
      </c>
      <c r="M3" t="s">
        <v>115</v>
      </c>
      <c r="N3" s="111">
        <f>Q3*$R$3</f>
        <v>263.25</v>
      </c>
      <c r="O3" t="s">
        <v>120</v>
      </c>
      <c r="Q3" s="116">
        <v>351</v>
      </c>
      <c r="R3">
        <v>0.75</v>
      </c>
    </row>
    <row r="4" spans="1:21" x14ac:dyDescent="0.25">
      <c r="M4" t="s">
        <v>116</v>
      </c>
      <c r="N4" s="111">
        <f t="shared" ref="N4:N6" si="0">Q4*$R$3</f>
        <v>4940.716370230215</v>
      </c>
      <c r="O4" t="s">
        <v>11</v>
      </c>
      <c r="Q4" s="116">
        <v>6587.62182697362</v>
      </c>
    </row>
    <row r="5" spans="1:21" ht="13.8" thickBot="1" x14ac:dyDescent="0.3">
      <c r="A5" s="19" t="s">
        <v>54</v>
      </c>
      <c r="B5" s="20"/>
      <c r="C5" s="20"/>
      <c r="D5" s="20"/>
      <c r="E5" s="20"/>
      <c r="M5" t="s">
        <v>117</v>
      </c>
      <c r="N5" s="111">
        <f t="shared" si="0"/>
        <v>4940.716370230215</v>
      </c>
      <c r="O5" t="s">
        <v>11</v>
      </c>
      <c r="Q5" s="116">
        <v>6587.62182697362</v>
      </c>
    </row>
    <row r="6" spans="1:21" x14ac:dyDescent="0.25">
      <c r="M6" t="s">
        <v>118</v>
      </c>
      <c r="N6" s="111">
        <f>Q6*$R$3</f>
        <v>7411.0745553453071</v>
      </c>
      <c r="O6" t="s">
        <v>11</v>
      </c>
      <c r="Q6" s="116">
        <v>9881.4327404604101</v>
      </c>
    </row>
    <row r="7" spans="1:21" ht="14.4" x14ac:dyDescent="0.3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  <c r="M7" s="32" t="s">
        <v>175</v>
      </c>
      <c r="N7" s="108">
        <v>80</v>
      </c>
      <c r="O7" s="32" t="s">
        <v>5</v>
      </c>
    </row>
    <row r="8" spans="1:21" ht="14.4" x14ac:dyDescent="0.3">
      <c r="A8" s="1"/>
      <c r="B8" s="3"/>
      <c r="C8" s="3"/>
      <c r="D8" s="4"/>
      <c r="E8" s="4"/>
      <c r="M8" s="32" t="s">
        <v>179</v>
      </c>
      <c r="N8" s="108">
        <v>240</v>
      </c>
      <c r="O8" s="32" t="s">
        <v>5</v>
      </c>
    </row>
    <row r="9" spans="1:21" ht="14.4" x14ac:dyDescent="0.3">
      <c r="A9" s="79" t="s">
        <v>121</v>
      </c>
      <c r="B9" s="80"/>
      <c r="C9" s="80"/>
      <c r="D9" s="69"/>
      <c r="E9" s="69"/>
      <c r="F9" s="61"/>
      <c r="M9" s="32" t="s">
        <v>119</v>
      </c>
      <c r="N9" s="108">
        <v>15</v>
      </c>
      <c r="O9" s="32" t="s">
        <v>5</v>
      </c>
      <c r="T9" s="13"/>
      <c r="U9" s="48"/>
    </row>
    <row r="10" spans="1:21" x14ac:dyDescent="0.25">
      <c r="A10" s="12" t="s">
        <v>126</v>
      </c>
      <c r="B10" s="60">
        <f>(N8+2*N9)*N3*5280</f>
        <v>375289200</v>
      </c>
      <c r="C10" s="66" t="s">
        <v>122</v>
      </c>
      <c r="D10" s="62">
        <v>9</v>
      </c>
      <c r="E10" s="63">
        <f>+B10*D10</f>
        <v>3377602800</v>
      </c>
      <c r="F10" s="65"/>
      <c r="M10" s="42"/>
      <c r="N10" s="115"/>
      <c r="O10" s="42"/>
      <c r="P10" s="13"/>
      <c r="T10" s="13"/>
      <c r="U10" s="48"/>
    </row>
    <row r="11" spans="1:21" x14ac:dyDescent="0.25">
      <c r="A11" s="12" t="s">
        <v>127</v>
      </c>
      <c r="B11" s="110">
        <f>N4/6</f>
        <v>823.45272837170251</v>
      </c>
      <c r="C11" s="66" t="s">
        <v>128</v>
      </c>
      <c r="D11" s="62">
        <v>100000</v>
      </c>
      <c r="E11" s="125">
        <f>+B11*D11</f>
        <v>82345272.837170243</v>
      </c>
      <c r="F11" s="65" t="s">
        <v>129</v>
      </c>
      <c r="M11" s="42"/>
      <c r="N11" s="42"/>
      <c r="O11" s="42"/>
      <c r="P11" s="13"/>
      <c r="T11" s="13"/>
      <c r="U11" s="48"/>
    </row>
    <row r="12" spans="1:21" x14ac:dyDescent="0.25">
      <c r="A12" s="12" t="s">
        <v>153</v>
      </c>
      <c r="B12" s="110">
        <f>30/43.56*N4*43560</f>
        <v>148221491.10690644</v>
      </c>
      <c r="C12" s="66" t="s">
        <v>122</v>
      </c>
      <c r="D12" s="62">
        <v>7</v>
      </c>
      <c r="E12" s="63">
        <f>+B12*D12</f>
        <v>1037550437.7483451</v>
      </c>
      <c r="F12" s="65"/>
      <c r="M12" s="42"/>
      <c r="N12" s="42"/>
      <c r="O12" s="42"/>
      <c r="P12" s="13"/>
      <c r="T12" s="13"/>
      <c r="U12" s="48"/>
    </row>
    <row r="13" spans="1:21" x14ac:dyDescent="0.25">
      <c r="A13" s="12" t="s">
        <v>154</v>
      </c>
      <c r="B13" s="110">
        <f>N3/2</f>
        <v>131.625</v>
      </c>
      <c r="C13" s="66" t="s">
        <v>128</v>
      </c>
      <c r="D13" s="62">
        <v>10000000</v>
      </c>
      <c r="E13" s="63">
        <f>+B13*D13</f>
        <v>1316250000</v>
      </c>
      <c r="F13" s="65" t="s">
        <v>158</v>
      </c>
      <c r="M13" s="42"/>
      <c r="N13" s="42"/>
      <c r="O13" s="42"/>
      <c r="P13" s="13"/>
      <c r="T13" s="13"/>
      <c r="U13" s="48"/>
    </row>
    <row r="14" spans="1:21" x14ac:dyDescent="0.25">
      <c r="A14" s="18" t="s">
        <v>123</v>
      </c>
      <c r="B14" s="104">
        <f>(N8-N7)*N9/27*N3*5280</f>
        <v>123552000</v>
      </c>
      <c r="C14" s="109" t="s">
        <v>124</v>
      </c>
      <c r="D14" s="69">
        <v>25</v>
      </c>
      <c r="E14" s="69">
        <f>+B14*D14</f>
        <v>3088800000</v>
      </c>
      <c r="F14" s="65"/>
      <c r="H14" s="32"/>
      <c r="M14" s="13"/>
      <c r="N14" s="43"/>
      <c r="O14" s="24"/>
      <c r="P14" s="13"/>
      <c r="T14" s="13"/>
      <c r="U14" s="48"/>
    </row>
    <row r="15" spans="1:21" x14ac:dyDescent="0.25">
      <c r="A15" s="61" t="s">
        <v>6</v>
      </c>
      <c r="B15" s="68"/>
      <c r="C15" s="68"/>
      <c r="D15" s="63"/>
      <c r="E15" s="63">
        <f>SUM(E10:E14)</f>
        <v>8902548510.5855141</v>
      </c>
      <c r="F15" s="61"/>
      <c r="M15" s="13"/>
      <c r="N15" s="13"/>
      <c r="O15" s="13"/>
      <c r="P15" s="13"/>
      <c r="T15" s="13"/>
      <c r="U15" s="48"/>
    </row>
    <row r="16" spans="1:21" x14ac:dyDescent="0.25">
      <c r="A16" s="61"/>
      <c r="B16" s="68"/>
      <c r="C16" s="68"/>
      <c r="D16" s="63"/>
      <c r="E16" s="63"/>
      <c r="F16" s="61"/>
      <c r="M16" s="13"/>
      <c r="N16" s="13"/>
      <c r="O16" s="13"/>
      <c r="P16" s="13"/>
      <c r="T16" s="13"/>
      <c r="U16" s="48"/>
    </row>
    <row r="17" spans="1:21" x14ac:dyDescent="0.25">
      <c r="A17" s="79" t="s">
        <v>138</v>
      </c>
      <c r="B17" s="80"/>
      <c r="C17" s="80"/>
      <c r="D17" s="69"/>
      <c r="E17" s="69"/>
      <c r="F17" s="61"/>
      <c r="M17" s="13"/>
      <c r="N17" s="13"/>
      <c r="O17" s="13"/>
      <c r="P17" s="13"/>
      <c r="T17" s="13"/>
      <c r="U17" s="48"/>
    </row>
    <row r="18" spans="1:21" x14ac:dyDescent="0.25">
      <c r="A18" s="12" t="s">
        <v>130</v>
      </c>
      <c r="B18" s="60">
        <f>(N8-2*N9*3)/3*3*N3*5280/27</f>
        <v>7722000</v>
      </c>
      <c r="C18" s="66" t="s">
        <v>124</v>
      </c>
      <c r="D18" s="62">
        <v>25</v>
      </c>
      <c r="E18" s="63">
        <f>+B18*D18</f>
        <v>193050000</v>
      </c>
      <c r="F18" s="65" t="s">
        <v>132</v>
      </c>
      <c r="H18" s="32"/>
      <c r="M18" s="13"/>
      <c r="N18" s="13"/>
      <c r="O18" s="42"/>
      <c r="P18" s="42"/>
      <c r="T18" s="13"/>
      <c r="U18" s="48"/>
    </row>
    <row r="19" spans="1:21" x14ac:dyDescent="0.25">
      <c r="A19" s="12" t="s">
        <v>131</v>
      </c>
      <c r="B19" s="60">
        <f>6/12*25*2*N3*5280/27</f>
        <v>1287000</v>
      </c>
      <c r="C19" s="66" t="s">
        <v>124</v>
      </c>
      <c r="D19" s="62">
        <v>100</v>
      </c>
      <c r="E19" s="63">
        <f>+B19*D19</f>
        <v>128700000</v>
      </c>
      <c r="F19" s="65" t="s">
        <v>133</v>
      </c>
      <c r="M19" s="13"/>
      <c r="N19" s="13"/>
      <c r="O19" s="13"/>
      <c r="P19" s="13"/>
      <c r="T19" s="13"/>
      <c r="U19" s="48"/>
    </row>
    <row r="20" spans="1:21" x14ac:dyDescent="0.25">
      <c r="A20" s="12" t="s">
        <v>156</v>
      </c>
      <c r="B20" s="60">
        <f>N3/5</f>
        <v>52.65</v>
      </c>
      <c r="C20" s="66" t="s">
        <v>128</v>
      </c>
      <c r="D20" s="62">
        <v>2000000</v>
      </c>
      <c r="E20" s="63">
        <f>+B20*D20</f>
        <v>105300000</v>
      </c>
      <c r="F20" s="65" t="s">
        <v>157</v>
      </c>
      <c r="M20" s="13"/>
      <c r="N20" s="13"/>
      <c r="O20" s="13"/>
      <c r="P20" s="13"/>
      <c r="T20" s="13"/>
      <c r="U20" s="48"/>
    </row>
    <row r="21" spans="1:21" x14ac:dyDescent="0.25">
      <c r="A21" s="12" t="s">
        <v>125</v>
      </c>
      <c r="B21" s="60">
        <f>N3*5280*2</f>
        <v>2779920</v>
      </c>
      <c r="C21" s="66" t="s">
        <v>5</v>
      </c>
      <c r="D21" s="62">
        <v>25</v>
      </c>
      <c r="E21" s="62">
        <f>+B21*D21</f>
        <v>69498000</v>
      </c>
      <c r="F21" s="61"/>
      <c r="M21" s="13"/>
      <c r="N21" s="13"/>
      <c r="O21" s="47"/>
      <c r="P21" s="48"/>
      <c r="T21" s="13"/>
      <c r="U21" s="48"/>
    </row>
    <row r="22" spans="1:21" x14ac:dyDescent="0.25">
      <c r="A22" s="12" t="s">
        <v>155</v>
      </c>
      <c r="B22" s="60">
        <f>B13</f>
        <v>131.625</v>
      </c>
      <c r="C22" s="66" t="s">
        <v>128</v>
      </c>
      <c r="D22" s="62">
        <v>20000000</v>
      </c>
      <c r="E22" s="62">
        <f>+B22*D22</f>
        <v>2632500000</v>
      </c>
      <c r="F22" s="65" t="s">
        <v>158</v>
      </c>
      <c r="M22" s="13"/>
      <c r="N22" s="13"/>
      <c r="O22" s="47"/>
      <c r="P22" s="48"/>
      <c r="T22" s="13"/>
      <c r="U22" s="48"/>
    </row>
    <row r="23" spans="1:21" x14ac:dyDescent="0.25">
      <c r="A23" s="12" t="s">
        <v>171</v>
      </c>
      <c r="B23" s="60">
        <v>1</v>
      </c>
      <c r="C23" s="66" t="s">
        <v>152</v>
      </c>
      <c r="D23" s="62">
        <v>1226400000</v>
      </c>
      <c r="E23" s="62">
        <f>D23*B23</f>
        <v>1226400000</v>
      </c>
      <c r="F23" s="65" t="s">
        <v>176</v>
      </c>
      <c r="M23" s="13"/>
      <c r="N23" s="13"/>
      <c r="O23" s="47"/>
      <c r="P23" s="48"/>
      <c r="T23" s="13"/>
      <c r="U23" s="48"/>
    </row>
    <row r="24" spans="1:21" x14ac:dyDescent="0.25">
      <c r="A24" s="18" t="s">
        <v>170</v>
      </c>
      <c r="B24" s="104">
        <v>1</v>
      </c>
      <c r="C24" s="109" t="s">
        <v>152</v>
      </c>
      <c r="D24" s="69">
        <v>1226400000</v>
      </c>
      <c r="E24" s="69">
        <f>D24*B24</f>
        <v>1226400000</v>
      </c>
      <c r="F24" s="65" t="s">
        <v>176</v>
      </c>
      <c r="M24" s="13"/>
      <c r="N24" s="13"/>
      <c r="O24" s="47"/>
      <c r="P24" s="48"/>
      <c r="T24" s="13"/>
      <c r="U24" s="48"/>
    </row>
    <row r="25" spans="1:21" x14ac:dyDescent="0.25">
      <c r="A25" s="61" t="s">
        <v>6</v>
      </c>
      <c r="B25" s="68"/>
      <c r="C25" s="68"/>
      <c r="D25" s="63"/>
      <c r="E25" s="63">
        <f>SUM(E18:E24)</f>
        <v>5581848000</v>
      </c>
      <c r="F25" s="61"/>
      <c r="M25" s="13"/>
      <c r="N25" s="13"/>
      <c r="O25" s="13"/>
      <c r="P25" s="13"/>
      <c r="T25" s="13"/>
      <c r="U25" s="48"/>
    </row>
    <row r="26" spans="1:21" x14ac:dyDescent="0.25">
      <c r="A26" s="12"/>
      <c r="B26" s="59"/>
      <c r="C26" s="59"/>
      <c r="D26" s="62"/>
      <c r="E26" s="63"/>
      <c r="F26" s="61"/>
      <c r="T26" s="13"/>
      <c r="U26" s="48"/>
    </row>
    <row r="27" spans="1:21" x14ac:dyDescent="0.25">
      <c r="A27" s="17" t="s">
        <v>12</v>
      </c>
      <c r="B27" s="14"/>
      <c r="C27" s="14"/>
      <c r="D27" s="8"/>
      <c r="E27" s="8"/>
      <c r="M27" s="46" t="s">
        <v>140</v>
      </c>
      <c r="N27" s="13"/>
      <c r="O27" s="13"/>
      <c r="P27" s="13"/>
      <c r="T27" s="13"/>
      <c r="U27" s="48"/>
    </row>
    <row r="28" spans="1:21" x14ac:dyDescent="0.25">
      <c r="A28" s="9" t="s">
        <v>135</v>
      </c>
      <c r="B28" s="59">
        <f>'Regional Impact Programs 1'!B18*0.1</f>
        <v>265.5</v>
      </c>
      <c r="C28" s="25" t="s">
        <v>11</v>
      </c>
      <c r="D28" s="11">
        <v>35000</v>
      </c>
      <c r="E28" s="11">
        <f>+B28*D28</f>
        <v>9292500</v>
      </c>
      <c r="F28" s="32" t="s">
        <v>114</v>
      </c>
      <c r="M28" s="13"/>
      <c r="N28" s="13"/>
      <c r="O28" s="13"/>
      <c r="P28" s="13"/>
      <c r="T28" s="13"/>
      <c r="U28" s="48"/>
    </row>
    <row r="29" spans="1:21" x14ac:dyDescent="0.25">
      <c r="A29" s="12" t="s">
        <v>134</v>
      </c>
      <c r="B29" s="96">
        <f>N5</f>
        <v>4940.716370230215</v>
      </c>
      <c r="C29" s="25" t="s">
        <v>11</v>
      </c>
      <c r="D29" s="11">
        <v>35000</v>
      </c>
      <c r="E29" s="11">
        <f>+B29*D29</f>
        <v>172925072.95805752</v>
      </c>
      <c r="F29" s="32"/>
      <c r="M29" s="112" t="s">
        <v>141</v>
      </c>
      <c r="N29" s="113"/>
      <c r="O29" s="42" t="s">
        <v>142</v>
      </c>
      <c r="P29" s="42" t="s">
        <v>143</v>
      </c>
      <c r="T29" s="13"/>
      <c r="U29" s="48"/>
    </row>
    <row r="30" spans="1:21" x14ac:dyDescent="0.25">
      <c r="A30" s="86" t="s">
        <v>6</v>
      </c>
      <c r="B30" s="87"/>
      <c r="C30" s="87"/>
      <c r="D30" s="39"/>
      <c r="E30" s="39">
        <f>SUM(E28:E29)</f>
        <v>182217572.95805752</v>
      </c>
      <c r="M30" s="42" t="s">
        <v>144</v>
      </c>
      <c r="N30" s="42" t="s">
        <v>145</v>
      </c>
      <c r="O30" s="42" t="s">
        <v>146</v>
      </c>
      <c r="P30" s="42" t="s">
        <v>147</v>
      </c>
      <c r="T30" s="13"/>
      <c r="U30" s="48"/>
    </row>
    <row r="31" spans="1:21" x14ac:dyDescent="0.25">
      <c r="G31" s="2"/>
      <c r="M31" s="13"/>
      <c r="N31" s="13"/>
      <c r="O31" s="13"/>
      <c r="P31" s="13"/>
      <c r="T31" s="13"/>
      <c r="U31" s="48"/>
    </row>
    <row r="32" spans="1:21" x14ac:dyDescent="0.25">
      <c r="A32" s="31" t="s">
        <v>13</v>
      </c>
      <c r="B32" s="14"/>
      <c r="C32" s="14"/>
      <c r="D32" s="8"/>
      <c r="E32" s="8"/>
      <c r="M32" s="13">
        <v>0</v>
      </c>
      <c r="N32" s="43">
        <f>0.746*M32*3*30.4*24</f>
        <v>0</v>
      </c>
      <c r="O32" s="47">
        <v>0.15</v>
      </c>
      <c r="P32" s="48">
        <f>+N32*O32</f>
        <v>0</v>
      </c>
      <c r="T32" s="13"/>
      <c r="U32" s="48"/>
    </row>
    <row r="33" spans="1:21" x14ac:dyDescent="0.25">
      <c r="A33" s="90" t="s">
        <v>137</v>
      </c>
      <c r="B33" s="105">
        <v>1076698</v>
      </c>
      <c r="C33" s="106" t="s">
        <v>5</v>
      </c>
      <c r="D33" s="39">
        <v>25</v>
      </c>
      <c r="E33" s="39">
        <f>+B33*D33</f>
        <v>26917450</v>
      </c>
      <c r="M33" s="13"/>
      <c r="N33" s="13"/>
      <c r="O33" s="13"/>
      <c r="P33" s="13"/>
      <c r="T33" s="13"/>
      <c r="U33" s="48"/>
    </row>
    <row r="34" spans="1:21" x14ac:dyDescent="0.25">
      <c r="A34" s="18" t="s">
        <v>136</v>
      </c>
      <c r="B34" s="114">
        <f>N3*5280+313262</f>
        <v>1703222</v>
      </c>
      <c r="C34" s="26" t="s">
        <v>5</v>
      </c>
      <c r="D34" s="8">
        <v>25</v>
      </c>
      <c r="E34" s="8">
        <f>+B34*D34</f>
        <v>42580550</v>
      </c>
      <c r="F34" s="128" t="s">
        <v>172</v>
      </c>
      <c r="G34" s="128"/>
      <c r="H34" s="128"/>
      <c r="I34" s="128"/>
      <c r="M34" s="42" t="s">
        <v>148</v>
      </c>
      <c r="N34" s="42" t="s">
        <v>143</v>
      </c>
      <c r="O34" s="42" t="s">
        <v>149</v>
      </c>
      <c r="T34" s="13"/>
      <c r="U34" s="48"/>
    </row>
    <row r="35" spans="1:21" x14ac:dyDescent="0.25">
      <c r="A35" t="s">
        <v>6</v>
      </c>
      <c r="B35" s="43"/>
      <c r="C35" s="13"/>
      <c r="D35" s="2"/>
      <c r="E35" s="2">
        <f>SUM(E33:E34)</f>
        <v>69498000</v>
      </c>
      <c r="F35" s="128"/>
      <c r="G35" s="128"/>
      <c r="H35" s="128"/>
      <c r="I35" s="128"/>
      <c r="M35" s="42" t="s">
        <v>150</v>
      </c>
      <c r="N35" s="42" t="s">
        <v>147</v>
      </c>
      <c r="O35" s="42" t="s">
        <v>151</v>
      </c>
      <c r="T35" s="13"/>
      <c r="U35" s="48"/>
    </row>
    <row r="36" spans="1:21" x14ac:dyDescent="0.25">
      <c r="B36" s="13"/>
      <c r="C36" s="13"/>
      <c r="D36" s="2"/>
      <c r="E36" s="2"/>
      <c r="F36" s="32"/>
      <c r="M36" s="13"/>
      <c r="N36" s="13"/>
      <c r="O36" s="13"/>
      <c r="T36" s="13"/>
      <c r="U36" s="48"/>
    </row>
    <row r="37" spans="1:21" x14ac:dyDescent="0.25">
      <c r="A37" s="6" t="s">
        <v>30</v>
      </c>
      <c r="B37" s="14">
        <v>10</v>
      </c>
      <c r="C37" s="14" t="s">
        <v>7</v>
      </c>
      <c r="D37" s="36">
        <f>SUM(E28:E35)/2</f>
        <v>251715572.95805752</v>
      </c>
      <c r="E37" s="8">
        <f>D37*B37/100</f>
        <v>25171557.295805749</v>
      </c>
      <c r="M37" s="49">
        <v>0.05</v>
      </c>
      <c r="N37" s="47">
        <f>+M37*SUM(E10:E41)/2</f>
        <v>811870600.24616587</v>
      </c>
      <c r="O37" s="13">
        <v>50</v>
      </c>
      <c r="T37" s="13"/>
      <c r="U37" s="48"/>
    </row>
    <row r="38" spans="1:21" x14ac:dyDescent="0.25">
      <c r="A38" s="32" t="s">
        <v>30</v>
      </c>
      <c r="B38" s="13"/>
      <c r="C38" s="13"/>
      <c r="D38" s="2"/>
      <c r="E38" s="2">
        <f>SUM(E37)</f>
        <v>25171557.295805749</v>
      </c>
      <c r="G38" s="83"/>
      <c r="T38" s="13"/>
      <c r="U38" s="48"/>
    </row>
    <row r="39" spans="1:21" x14ac:dyDescent="0.25">
      <c r="B39" s="13"/>
      <c r="C39" s="13"/>
      <c r="D39" s="2"/>
      <c r="E39" s="2"/>
      <c r="T39" s="13"/>
      <c r="U39" s="48"/>
    </row>
    <row r="40" spans="1:21" x14ac:dyDescent="0.25">
      <c r="A40" s="6" t="s">
        <v>8</v>
      </c>
      <c r="B40" s="14">
        <v>10</v>
      </c>
      <c r="C40" s="14" t="s">
        <v>7</v>
      </c>
      <c r="D40" s="36">
        <f>SUM(E10:E38)/2</f>
        <v>14761283640.839378</v>
      </c>
      <c r="E40" s="8">
        <f>D40*B40/100</f>
        <v>1476128364.0839379</v>
      </c>
      <c r="G40" s="83"/>
      <c r="T40" s="13"/>
      <c r="U40" s="48"/>
    </row>
    <row r="41" spans="1:21" x14ac:dyDescent="0.25">
      <c r="A41" t="s">
        <v>6</v>
      </c>
      <c r="B41" s="13"/>
      <c r="C41" s="13"/>
      <c r="D41" s="37"/>
      <c r="E41" s="2">
        <f>SUM(E40)</f>
        <v>1476128364.0839379</v>
      </c>
      <c r="T41" s="13"/>
      <c r="U41" s="48"/>
    </row>
    <row r="42" spans="1:21" x14ac:dyDescent="0.25">
      <c r="B42" s="13"/>
      <c r="C42" s="13"/>
      <c r="D42" s="2"/>
      <c r="E42" s="2"/>
      <c r="F42" s="32"/>
      <c r="T42" s="13"/>
      <c r="U42" s="48"/>
    </row>
    <row r="43" spans="1:21" x14ac:dyDescent="0.25">
      <c r="A43" s="6" t="s">
        <v>16</v>
      </c>
      <c r="B43" s="14"/>
      <c r="C43" s="14"/>
      <c r="D43" s="11"/>
      <c r="E43" s="11"/>
      <c r="T43" s="13"/>
      <c r="U43" s="48"/>
    </row>
    <row r="44" spans="1:21" x14ac:dyDescent="0.25">
      <c r="A44" s="12" t="s">
        <v>61</v>
      </c>
      <c r="B44" s="59">
        <v>10</v>
      </c>
      <c r="C44" s="66" t="s">
        <v>7</v>
      </c>
      <c r="D44" s="38">
        <f>SUM(E10:E41)/2</f>
        <v>16237412004.923317</v>
      </c>
      <c r="E44" s="39">
        <f t="shared" ref="E44:E49" si="1">D44*B44/100</f>
        <v>1623741200.4923315</v>
      </c>
      <c r="T44" s="13"/>
      <c r="U44" s="48"/>
    </row>
    <row r="45" spans="1:21" x14ac:dyDescent="0.25">
      <c r="A45" s="12" t="s">
        <v>62</v>
      </c>
      <c r="B45" s="59">
        <v>15</v>
      </c>
      <c r="C45" s="66" t="s">
        <v>7</v>
      </c>
      <c r="D45" s="37">
        <f>SUM(E10:E41)/2</f>
        <v>16237412004.923317</v>
      </c>
      <c r="E45" s="11">
        <f t="shared" si="1"/>
        <v>2435611800.7384977</v>
      </c>
      <c r="T45" s="13"/>
      <c r="U45" s="48"/>
    </row>
    <row r="46" spans="1:21" x14ac:dyDescent="0.25">
      <c r="A46" s="12" t="s">
        <v>22</v>
      </c>
      <c r="B46" s="59">
        <v>11</v>
      </c>
      <c r="C46" s="25" t="s">
        <v>7</v>
      </c>
      <c r="D46" s="37">
        <f>SUM(E9:E42)/2+SUM(D44:D45)+SUM(D47:D49)</f>
        <v>97424472029.539902</v>
      </c>
      <c r="E46" s="11">
        <f>D46*B46/100</f>
        <v>10716691923.24939</v>
      </c>
      <c r="T46" s="13"/>
      <c r="U46" s="48"/>
    </row>
    <row r="47" spans="1:21" x14ac:dyDescent="0.25">
      <c r="A47" s="12" t="s">
        <v>17</v>
      </c>
      <c r="B47" s="59">
        <v>5</v>
      </c>
      <c r="C47" s="25" t="s">
        <v>7</v>
      </c>
      <c r="D47" s="37">
        <f>SUM(E9:E41)/2</f>
        <v>16237412004.923317</v>
      </c>
      <c r="E47" s="11">
        <f t="shared" si="1"/>
        <v>811870600.24616575</v>
      </c>
      <c r="F47" s="65"/>
      <c r="T47" s="13"/>
      <c r="U47" s="48"/>
    </row>
    <row r="48" spans="1:21" x14ac:dyDescent="0.25">
      <c r="A48" s="9" t="s">
        <v>18</v>
      </c>
      <c r="B48" s="59">
        <v>10</v>
      </c>
      <c r="C48" s="25" t="s">
        <v>7</v>
      </c>
      <c r="D48" s="37">
        <f>SUM(E9:E41)/2</f>
        <v>16237412004.923317</v>
      </c>
      <c r="E48" s="11">
        <f t="shared" si="1"/>
        <v>1623741200.4923315</v>
      </c>
      <c r="F48" s="65" t="s">
        <v>177</v>
      </c>
      <c r="T48" s="13"/>
      <c r="U48" s="48"/>
    </row>
    <row r="49" spans="1:6" x14ac:dyDescent="0.25">
      <c r="A49" s="18" t="s">
        <v>19</v>
      </c>
      <c r="B49" s="67">
        <v>10</v>
      </c>
      <c r="C49" s="26" t="s">
        <v>7</v>
      </c>
      <c r="D49" s="36">
        <f>SUM(E9:E42)/2</f>
        <v>16237412004.923317</v>
      </c>
      <c r="E49" s="8">
        <f t="shared" si="1"/>
        <v>1623741200.4923315</v>
      </c>
    </row>
    <row r="50" spans="1:6" x14ac:dyDescent="0.25">
      <c r="A50" t="s">
        <v>6</v>
      </c>
      <c r="B50" s="13"/>
      <c r="C50" s="13"/>
      <c r="D50" s="2"/>
      <c r="E50" s="2">
        <f>SUM(E44:E49)</f>
        <v>18835397925.711048</v>
      </c>
      <c r="F50" s="32"/>
    </row>
    <row r="51" spans="1:6" x14ac:dyDescent="0.25">
      <c r="A51" s="22"/>
      <c r="B51" s="10"/>
      <c r="C51" s="10"/>
      <c r="D51" s="11"/>
      <c r="E51" s="23"/>
    </row>
    <row r="52" spans="1:6" x14ac:dyDescent="0.25">
      <c r="A52" s="6" t="s">
        <v>20</v>
      </c>
      <c r="B52" s="34"/>
      <c r="C52" s="34"/>
      <c r="D52" s="35"/>
      <c r="E52" s="35"/>
    </row>
    <row r="53" spans="1:6" x14ac:dyDescent="0.25">
      <c r="A53" s="27" t="s">
        <v>20</v>
      </c>
      <c r="B53" s="28">
        <v>30</v>
      </c>
      <c r="C53" s="29" t="s">
        <v>7</v>
      </c>
      <c r="D53" s="40">
        <f>SUM(E9:E50)/2</f>
        <v>35072809930.634361</v>
      </c>
      <c r="E53" s="30">
        <f>D53*B53/100</f>
        <v>10521842979.19031</v>
      </c>
    </row>
    <row r="54" spans="1:6" x14ac:dyDescent="0.25">
      <c r="A54" t="s">
        <v>6</v>
      </c>
      <c r="B54" s="13"/>
      <c r="C54" s="13"/>
      <c r="D54" s="2"/>
      <c r="E54" s="2">
        <f>SUM(E53)</f>
        <v>10521842979.19031</v>
      </c>
    </row>
    <row r="55" spans="1:6" x14ac:dyDescent="0.25">
      <c r="B55" s="10"/>
      <c r="C55" s="10"/>
      <c r="D55" s="11"/>
      <c r="E55" s="11"/>
    </row>
    <row r="56" spans="1:6" x14ac:dyDescent="0.25">
      <c r="A56" s="22" t="s">
        <v>178</v>
      </c>
      <c r="B56" s="10"/>
      <c r="C56" s="10"/>
      <c r="D56" s="11"/>
      <c r="E56" s="53">
        <f>SUM(E10:E54)/2</f>
        <v>45594652909.824669</v>
      </c>
    </row>
    <row r="57" spans="1:6" x14ac:dyDescent="0.25">
      <c r="A57" s="12"/>
      <c r="B57" s="10"/>
      <c r="C57" s="10"/>
      <c r="D57" s="11"/>
      <c r="E57" s="11"/>
    </row>
    <row r="58" spans="1:6" x14ac:dyDescent="0.25">
      <c r="B58" s="10"/>
      <c r="C58" s="10"/>
      <c r="D58" s="11"/>
      <c r="E58" s="11"/>
    </row>
    <row r="59" spans="1:6" x14ac:dyDescent="0.25">
      <c r="A59" s="1"/>
      <c r="B59" s="15"/>
      <c r="C59" s="15"/>
      <c r="D59" s="11"/>
      <c r="E59" s="11"/>
    </row>
    <row r="60" spans="1:6" x14ac:dyDescent="0.25">
      <c r="A60" s="22"/>
      <c r="B60" s="10"/>
      <c r="C60" s="10"/>
      <c r="D60" s="11"/>
      <c r="E60" s="11"/>
    </row>
    <row r="61" spans="1:6" x14ac:dyDescent="0.25">
      <c r="A61" s="1"/>
      <c r="E61" s="51"/>
    </row>
    <row r="62" spans="1:6" x14ac:dyDescent="0.25">
      <c r="A62" s="15"/>
      <c r="B62" s="10"/>
      <c r="C62" s="10"/>
      <c r="D62" s="11"/>
      <c r="E62" s="11"/>
    </row>
    <row r="63" spans="1:6" x14ac:dyDescent="0.25">
      <c r="A63" s="22"/>
      <c r="B63" s="10"/>
      <c r="C63" s="10"/>
      <c r="D63" s="11"/>
      <c r="E63" s="11"/>
    </row>
  </sheetData>
  <mergeCells count="1">
    <mergeCell ref="F34:I35"/>
  </mergeCells>
  <pageMargins left="0.7" right="0.7" top="0.75" bottom="0.75" header="0.3" footer="0.3"/>
  <pageSetup scale="59" orientation="landscape"/>
  <headerFooter>
    <oddFooter>&amp;LLA Basin Stormwater Conservation Study_Project Costs&amp;R&amp;D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F9"/>
  <sheetViews>
    <sheetView workbookViewId="0">
      <selection activeCell="C20" sqref="C20"/>
    </sheetView>
  </sheetViews>
  <sheetFormatPr defaultRowHeight="13.2" x14ac:dyDescent="0.25"/>
  <cols>
    <col min="1" max="1" width="17.77734375" customWidth="1"/>
    <col min="2" max="2" width="15.44140625" customWidth="1"/>
    <col min="3" max="3" width="18.88671875" customWidth="1"/>
    <col min="4" max="4" width="10.33203125" customWidth="1"/>
    <col min="5" max="5" width="20.21875" customWidth="1"/>
  </cols>
  <sheetData>
    <row r="2" spans="1:6" x14ac:dyDescent="0.25">
      <c r="A2" s="34" t="s">
        <v>161</v>
      </c>
      <c r="B2" s="34" t="s">
        <v>162</v>
      </c>
      <c r="C2" s="34" t="s">
        <v>165</v>
      </c>
      <c r="D2" s="34" t="s">
        <v>166</v>
      </c>
      <c r="E2" s="34" t="s">
        <v>167</v>
      </c>
    </row>
    <row r="3" spans="1:6" x14ac:dyDescent="0.25">
      <c r="A3" s="121">
        <v>300000</v>
      </c>
      <c r="B3" s="86">
        <v>6200</v>
      </c>
      <c r="C3" s="86">
        <f>B3/0.8</f>
        <v>7750</v>
      </c>
      <c r="D3" s="86">
        <v>0.3</v>
      </c>
      <c r="E3" s="118">
        <f>A3/C3*D3</f>
        <v>11.612903225806452</v>
      </c>
    </row>
    <row r="4" spans="1:6" x14ac:dyDescent="0.25">
      <c r="A4" s="122">
        <v>700000</v>
      </c>
      <c r="B4" s="15">
        <v>6800</v>
      </c>
      <c r="C4" s="15">
        <f t="shared" ref="C4:C5" si="0">B4/0.8</f>
        <v>8500</v>
      </c>
      <c r="D4" s="15">
        <v>0.5</v>
      </c>
      <c r="E4" s="119">
        <f t="shared" ref="E4:E6" si="1">A4/C4*D4</f>
        <v>41.176470588235297</v>
      </c>
    </row>
    <row r="5" spans="1:6" x14ac:dyDescent="0.25">
      <c r="A5" s="122">
        <v>500000</v>
      </c>
      <c r="B5" s="15">
        <v>6900</v>
      </c>
      <c r="C5" s="15">
        <f t="shared" si="0"/>
        <v>8625</v>
      </c>
      <c r="D5" s="15">
        <v>0.15</v>
      </c>
      <c r="E5" s="119">
        <f t="shared" si="1"/>
        <v>8.695652173913043</v>
      </c>
    </row>
    <row r="6" spans="1:6" x14ac:dyDescent="0.25">
      <c r="A6" s="123">
        <v>3000000</v>
      </c>
      <c r="B6" s="7">
        <v>20000</v>
      </c>
      <c r="C6" s="124">
        <f>B6/0.9</f>
        <v>22222.222222222223</v>
      </c>
      <c r="D6" s="7">
        <v>0.05</v>
      </c>
      <c r="E6" s="120">
        <f t="shared" si="1"/>
        <v>6.75</v>
      </c>
    </row>
    <row r="7" spans="1:6" x14ac:dyDescent="0.25">
      <c r="A7" s="130" t="s">
        <v>160</v>
      </c>
      <c r="B7" s="130"/>
      <c r="C7" s="130"/>
      <c r="D7" s="130"/>
      <c r="E7" s="116">
        <f>SUM(E3:E6)</f>
        <v>68.235025987954799</v>
      </c>
      <c r="F7" s="32" t="s">
        <v>163</v>
      </c>
    </row>
    <row r="8" spans="1:6" x14ac:dyDescent="0.25">
      <c r="A8" s="129" t="s">
        <v>160</v>
      </c>
      <c r="B8" s="129"/>
      <c r="C8" s="129"/>
      <c r="D8" s="129"/>
      <c r="E8" s="117">
        <f>E7*43560</f>
        <v>2972317.7320353109</v>
      </c>
      <c r="F8" t="s">
        <v>159</v>
      </c>
    </row>
    <row r="9" spans="1:6" x14ac:dyDescent="0.25">
      <c r="A9" s="129" t="s">
        <v>164</v>
      </c>
      <c r="B9" s="129"/>
      <c r="C9" s="129"/>
      <c r="D9" s="129"/>
      <c r="E9" s="117">
        <f>E8*1.3</f>
        <v>3864013.0516459043</v>
      </c>
      <c r="F9" t="s">
        <v>159</v>
      </c>
    </row>
  </sheetData>
  <mergeCells count="3">
    <mergeCell ref="A9:D9"/>
    <mergeCell ref="A8:D8"/>
    <mergeCell ref="A7:D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41"/>
  <sheetViews>
    <sheetView view="pageBreakPreview" topLeftCell="A9" zoomScale="80" zoomScaleNormal="80" zoomScaleSheetLayoutView="80" zoomScalePageLayoutView="40" workbookViewId="0">
      <selection activeCell="E29" sqref="E29"/>
    </sheetView>
  </sheetViews>
  <sheetFormatPr defaultRowHeight="13.2" x14ac:dyDescent="0.25"/>
  <cols>
    <col min="1" max="1" width="54.6640625" customWidth="1"/>
    <col min="4" max="4" width="13.88671875" bestFit="1" customWidth="1"/>
    <col min="5" max="5" width="15.44140625" customWidth="1"/>
    <col min="6" max="6" width="11.109375" bestFit="1" customWidth="1"/>
    <col min="7" max="7" width="42.44140625" customWidth="1"/>
    <col min="8" max="8" width="15.6640625" customWidth="1"/>
    <col min="9" max="9" width="19.6640625" customWidth="1"/>
    <col min="10" max="10" width="16.6640625" customWidth="1"/>
    <col min="11" max="11" width="13.33203125" customWidth="1"/>
    <col min="12" max="12" width="9.6640625" customWidth="1"/>
    <col min="13" max="13" width="13.109375" customWidth="1"/>
    <col min="14" max="14" width="17.33203125" customWidth="1"/>
    <col min="15" max="15" width="26.33203125" customWidth="1"/>
    <col min="17" max="17" width="28.6640625" customWidth="1"/>
  </cols>
  <sheetData>
    <row r="1" spans="1:15" x14ac:dyDescent="0.25">
      <c r="A1" s="1" t="s">
        <v>9</v>
      </c>
    </row>
    <row r="2" spans="1:15" x14ac:dyDescent="0.25">
      <c r="A2" s="1" t="s">
        <v>64</v>
      </c>
    </row>
    <row r="3" spans="1:15" x14ac:dyDescent="0.25">
      <c r="A3" s="16">
        <v>42257</v>
      </c>
    </row>
    <row r="5" spans="1:15" ht="13.8" thickBot="1" x14ac:dyDescent="0.3">
      <c r="A5" s="19" t="s">
        <v>31</v>
      </c>
      <c r="B5" s="20"/>
      <c r="C5" s="20"/>
      <c r="D5" s="20"/>
      <c r="E5" s="20"/>
    </row>
    <row r="7" spans="1:15" x14ac:dyDescent="0.25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</row>
    <row r="8" spans="1:15" x14ac:dyDescent="0.25">
      <c r="A8" s="1"/>
      <c r="B8" s="1"/>
      <c r="C8" s="1"/>
      <c r="D8" s="5"/>
      <c r="E8" s="5"/>
    </row>
    <row r="9" spans="1:15" x14ac:dyDescent="0.25">
      <c r="A9" s="17" t="s">
        <v>32</v>
      </c>
      <c r="B9" s="7"/>
      <c r="C9" s="7"/>
      <c r="D9" s="8"/>
      <c r="E9" s="8"/>
    </row>
    <row r="10" spans="1:15" ht="12.75" customHeight="1" x14ac:dyDescent="0.25">
      <c r="A10" s="9" t="s">
        <v>69</v>
      </c>
      <c r="B10" s="60">
        <v>934</v>
      </c>
      <c r="C10" s="10" t="s">
        <v>33</v>
      </c>
      <c r="D10" s="62">
        <f>15.5*43560</f>
        <v>675180</v>
      </c>
      <c r="E10" s="2">
        <f t="shared" ref="E10:E14" si="0">+B10*D10</f>
        <v>630618120</v>
      </c>
      <c r="F10" s="65" t="s">
        <v>73</v>
      </c>
      <c r="I10" s="84"/>
    </row>
    <row r="11" spans="1:15" x14ac:dyDescent="0.25">
      <c r="A11" s="12" t="s">
        <v>70</v>
      </c>
      <c r="B11" s="60">
        <v>739</v>
      </c>
      <c r="C11" s="10" t="s">
        <v>33</v>
      </c>
      <c r="D11" s="62">
        <f>15.5*43560</f>
        <v>675180</v>
      </c>
      <c r="E11" s="2">
        <f t="shared" si="0"/>
        <v>498958020</v>
      </c>
      <c r="F11" s="65" t="s">
        <v>73</v>
      </c>
      <c r="I11" s="84"/>
      <c r="N11" s="32"/>
      <c r="O11" s="41"/>
    </row>
    <row r="12" spans="1:15" x14ac:dyDescent="0.25">
      <c r="A12" s="12" t="s">
        <v>71</v>
      </c>
      <c r="B12" s="60">
        <v>1116</v>
      </c>
      <c r="C12" s="10" t="s">
        <v>33</v>
      </c>
      <c r="D12" s="62">
        <f>15.5*43560</f>
        <v>675180</v>
      </c>
      <c r="E12" s="2">
        <f t="shared" si="0"/>
        <v>753500880</v>
      </c>
      <c r="F12" s="65" t="s">
        <v>73</v>
      </c>
      <c r="I12" s="84"/>
      <c r="N12" s="32"/>
      <c r="O12" s="41"/>
    </row>
    <row r="13" spans="1:15" x14ac:dyDescent="0.25">
      <c r="A13" s="9" t="s">
        <v>72</v>
      </c>
      <c r="B13" s="60">
        <v>1588</v>
      </c>
      <c r="C13" s="10" t="s">
        <v>33</v>
      </c>
      <c r="D13" s="62">
        <f>15.5*43560</f>
        <v>675180</v>
      </c>
      <c r="E13" s="2">
        <f t="shared" si="0"/>
        <v>1072185840</v>
      </c>
      <c r="F13" s="65" t="s">
        <v>73</v>
      </c>
      <c r="I13" s="84"/>
      <c r="N13" s="13"/>
      <c r="O13" s="48"/>
    </row>
    <row r="14" spans="1:15" x14ac:dyDescent="0.25">
      <c r="A14" s="12" t="s">
        <v>34</v>
      </c>
      <c r="B14" s="60">
        <v>11.805410640495866</v>
      </c>
      <c r="C14" s="10" t="s">
        <v>33</v>
      </c>
      <c r="D14" s="62">
        <f>21*43560</f>
        <v>914760</v>
      </c>
      <c r="E14" s="2">
        <f t="shared" si="0"/>
        <v>10799117.437499998</v>
      </c>
      <c r="F14" s="65" t="s">
        <v>74</v>
      </c>
      <c r="I14" s="84"/>
      <c r="N14" s="13"/>
      <c r="O14" s="48"/>
    </row>
    <row r="15" spans="1:15" x14ac:dyDescent="0.25">
      <c r="A15" s="86" t="s">
        <v>6</v>
      </c>
      <c r="B15" s="105"/>
      <c r="C15" s="87"/>
      <c r="D15" s="39"/>
      <c r="E15" s="39">
        <f>SUM(E10:E14)</f>
        <v>2966061977.4375</v>
      </c>
      <c r="F15" s="32" t="s">
        <v>65</v>
      </c>
      <c r="N15" s="13"/>
      <c r="O15" s="48"/>
    </row>
    <row r="16" spans="1:15" x14ac:dyDescent="0.25">
      <c r="B16" s="13"/>
      <c r="C16" s="13"/>
      <c r="D16" s="2"/>
      <c r="E16" s="2"/>
      <c r="G16" s="44"/>
      <c r="N16" s="13"/>
      <c r="O16" s="48"/>
    </row>
    <row r="17" spans="1:15" x14ac:dyDescent="0.25">
      <c r="A17" s="31" t="s">
        <v>66</v>
      </c>
      <c r="B17" s="67"/>
      <c r="C17" s="59"/>
      <c r="D17" s="62"/>
      <c r="E17" s="62"/>
      <c r="N17" s="13"/>
      <c r="O17" s="48"/>
    </row>
    <row r="18" spans="1:15" x14ac:dyDescent="0.25">
      <c r="A18" s="18" t="s">
        <v>15</v>
      </c>
      <c r="B18" s="58">
        <v>2655</v>
      </c>
      <c r="C18" s="29" t="s">
        <v>11</v>
      </c>
      <c r="D18" s="30">
        <v>500000</v>
      </c>
      <c r="E18" s="30">
        <f t="shared" ref="E18" si="1">+B18*D18</f>
        <v>1327500000</v>
      </c>
      <c r="F18" s="32" t="s">
        <v>82</v>
      </c>
      <c r="G18" s="42"/>
      <c r="H18" s="42"/>
      <c r="I18" s="42"/>
      <c r="J18" s="13"/>
      <c r="N18" s="13"/>
      <c r="O18" s="48"/>
    </row>
    <row r="19" spans="1:15" x14ac:dyDescent="0.25">
      <c r="A19" s="61" t="s">
        <v>6</v>
      </c>
      <c r="B19" s="68"/>
      <c r="C19" s="68"/>
      <c r="D19" s="63"/>
      <c r="E19" s="63">
        <f>SUM(E18:E18)</f>
        <v>1327500000</v>
      </c>
      <c r="G19" s="42"/>
      <c r="H19" s="42"/>
      <c r="I19" s="42"/>
      <c r="J19" s="13"/>
      <c r="N19" s="13"/>
      <c r="O19" s="48"/>
    </row>
    <row r="20" spans="1:15" x14ac:dyDescent="0.25">
      <c r="A20" s="70"/>
      <c r="B20" s="59"/>
      <c r="C20" s="59"/>
      <c r="D20" s="62"/>
      <c r="E20" s="71"/>
      <c r="G20" s="13"/>
      <c r="H20" s="13"/>
      <c r="I20" s="13"/>
      <c r="J20" s="13"/>
      <c r="N20" s="13"/>
      <c r="O20" s="48"/>
    </row>
    <row r="21" spans="1:15" x14ac:dyDescent="0.25">
      <c r="A21" s="46" t="s">
        <v>89</v>
      </c>
      <c r="B21" s="7"/>
      <c r="C21" s="7"/>
      <c r="D21" s="8"/>
      <c r="E21" s="8"/>
      <c r="F21" s="61"/>
      <c r="J21" s="13"/>
      <c r="N21" s="13"/>
      <c r="O21" s="48"/>
    </row>
    <row r="22" spans="1:15" x14ac:dyDescent="0.25">
      <c r="A22" s="85" t="s">
        <v>69</v>
      </c>
      <c r="B22" s="60">
        <v>934</v>
      </c>
      <c r="C22" s="10" t="s">
        <v>33</v>
      </c>
      <c r="D22" s="62">
        <f>20*43560</f>
        <v>871200</v>
      </c>
      <c r="E22" s="2">
        <f t="shared" ref="E22:E26" si="2">+B22*D22</f>
        <v>813700800</v>
      </c>
      <c r="F22" s="65" t="s">
        <v>73</v>
      </c>
      <c r="J22" s="48"/>
      <c r="N22" s="13"/>
      <c r="O22" s="48"/>
    </row>
    <row r="23" spans="1:15" x14ac:dyDescent="0.25">
      <c r="A23" s="12" t="s">
        <v>70</v>
      </c>
      <c r="B23" s="60">
        <v>739</v>
      </c>
      <c r="C23" s="10" t="s">
        <v>33</v>
      </c>
      <c r="D23" s="62">
        <f>20*43560</f>
        <v>871200</v>
      </c>
      <c r="E23" s="2">
        <f t="shared" si="2"/>
        <v>643816800</v>
      </c>
      <c r="F23" s="65" t="s">
        <v>73</v>
      </c>
      <c r="J23" s="13"/>
      <c r="N23" s="13"/>
      <c r="O23" s="48"/>
    </row>
    <row r="24" spans="1:15" x14ac:dyDescent="0.25">
      <c r="A24" s="12" t="s">
        <v>71</v>
      </c>
      <c r="B24" s="60">
        <v>1116</v>
      </c>
      <c r="C24" s="10" t="s">
        <v>33</v>
      </c>
      <c r="D24" s="62">
        <f>20*43560</f>
        <v>871200</v>
      </c>
      <c r="E24" s="2">
        <f t="shared" si="2"/>
        <v>972259200</v>
      </c>
      <c r="F24" s="65" t="s">
        <v>73</v>
      </c>
      <c r="K24" s="42"/>
      <c r="N24" s="13"/>
      <c r="O24" s="48"/>
    </row>
    <row r="25" spans="1:15" x14ac:dyDescent="0.25">
      <c r="A25" s="9" t="s">
        <v>72</v>
      </c>
      <c r="B25" s="60">
        <v>1588</v>
      </c>
      <c r="C25" s="10" t="s">
        <v>33</v>
      </c>
      <c r="D25" s="62">
        <f>20*43560</f>
        <v>871200</v>
      </c>
      <c r="E25" s="2">
        <f t="shared" si="2"/>
        <v>1383465600</v>
      </c>
      <c r="F25" s="65" t="s">
        <v>73</v>
      </c>
      <c r="K25" s="42"/>
      <c r="N25" s="13"/>
      <c r="O25" s="48"/>
    </row>
    <row r="26" spans="1:15" x14ac:dyDescent="0.25">
      <c r="A26" s="12" t="s">
        <v>34</v>
      </c>
      <c r="B26" s="60">
        <v>11.805410640495866</v>
      </c>
      <c r="C26" s="10" t="s">
        <v>33</v>
      </c>
      <c r="D26" s="62">
        <f>PV(0.03375,50,-0.05*D14)</f>
        <v>1097433.0309309147</v>
      </c>
      <c r="E26" s="2">
        <f t="shared" si="2"/>
        <v>12955647.580583449</v>
      </c>
      <c r="F26" s="65" t="s">
        <v>86</v>
      </c>
      <c r="N26" s="13"/>
      <c r="O26" s="48"/>
    </row>
    <row r="27" spans="1:15" x14ac:dyDescent="0.25">
      <c r="A27" s="86" t="s">
        <v>6</v>
      </c>
      <c r="B27" s="87"/>
      <c r="C27" s="87"/>
      <c r="D27" s="39"/>
      <c r="E27" s="39">
        <f>SUM(E22:E26)</f>
        <v>3826198047.5805836</v>
      </c>
      <c r="F27" s="65" t="s">
        <v>91</v>
      </c>
      <c r="N27" s="13"/>
      <c r="O27" s="48"/>
    </row>
    <row r="28" spans="1:15" x14ac:dyDescent="0.25">
      <c r="F28" s="61"/>
      <c r="N28" s="13"/>
      <c r="O28" s="48"/>
    </row>
    <row r="29" spans="1:15" x14ac:dyDescent="0.25">
      <c r="A29" s="70" t="s">
        <v>67</v>
      </c>
      <c r="B29" s="59"/>
      <c r="C29" s="59"/>
      <c r="D29" s="62"/>
      <c r="E29" s="72">
        <f>E15+'Local Stormwater Capture 2'!E36</f>
        <v>3086243887.7859998</v>
      </c>
      <c r="F29" s="61" t="s">
        <v>81</v>
      </c>
      <c r="H29" s="103"/>
      <c r="N29" s="13"/>
      <c r="O29" s="48"/>
    </row>
    <row r="30" spans="1:15" x14ac:dyDescent="0.25">
      <c r="F30" s="61"/>
      <c r="N30" s="13"/>
      <c r="O30" s="48"/>
    </row>
    <row r="31" spans="1:15" x14ac:dyDescent="0.25">
      <c r="A31" s="70" t="s">
        <v>68</v>
      </c>
      <c r="B31" s="59"/>
      <c r="C31" s="59"/>
      <c r="D31" s="62"/>
      <c r="E31" s="72">
        <f>E19</f>
        <v>1327500000</v>
      </c>
      <c r="F31" s="61"/>
      <c r="H31" s="88"/>
      <c r="I31" s="88"/>
      <c r="N31" s="13"/>
      <c r="O31" s="48"/>
    </row>
    <row r="32" spans="1:15" x14ac:dyDescent="0.25">
      <c r="A32" s="61"/>
      <c r="B32" s="59"/>
      <c r="C32" s="59"/>
      <c r="D32" s="62"/>
      <c r="E32" s="62"/>
      <c r="F32" s="61"/>
      <c r="N32" s="13"/>
      <c r="O32" s="48"/>
    </row>
    <row r="33" spans="1:15" x14ac:dyDescent="0.25">
      <c r="A33" s="70" t="s">
        <v>85</v>
      </c>
      <c r="E33" s="72">
        <f>E27</f>
        <v>3826198047.5805836</v>
      </c>
      <c r="H33" s="88"/>
      <c r="N33" s="13"/>
      <c r="O33" s="48"/>
    </row>
    <row r="34" spans="1:15" x14ac:dyDescent="0.25">
      <c r="N34" s="13"/>
      <c r="O34" s="48"/>
    </row>
    <row r="35" spans="1:15" x14ac:dyDescent="0.25">
      <c r="A35" s="70" t="s">
        <v>83</v>
      </c>
      <c r="E35" s="88">
        <f>PMT(0.03375,50,-SUM(E29:E31))</f>
        <v>183952744.4953171</v>
      </c>
      <c r="F35" s="65" t="s">
        <v>84</v>
      </c>
    </row>
    <row r="37" spans="1:15" x14ac:dyDescent="0.25">
      <c r="A37" s="1" t="s">
        <v>23</v>
      </c>
      <c r="B37" s="15"/>
      <c r="C37" s="15"/>
      <c r="D37" s="11"/>
      <c r="E37" s="75">
        <f>+PMT(0.03375,50,-E33,0)</f>
        <v>159465444.69487306</v>
      </c>
      <c r="F37" s="65" t="s">
        <v>84</v>
      </c>
    </row>
    <row r="39" spans="1:15" x14ac:dyDescent="0.25">
      <c r="A39" s="1" t="s">
        <v>24</v>
      </c>
      <c r="E39" s="52">
        <v>31123</v>
      </c>
      <c r="F39" s="32" t="s">
        <v>75</v>
      </c>
    </row>
    <row r="40" spans="1:15" x14ac:dyDescent="0.25">
      <c r="A40" s="15"/>
      <c r="B40" s="10"/>
      <c r="C40" s="10"/>
      <c r="D40" s="11"/>
      <c r="E40" s="11"/>
    </row>
    <row r="41" spans="1:15" x14ac:dyDescent="0.25">
      <c r="A41" s="22" t="s">
        <v>76</v>
      </c>
      <c r="B41" s="10"/>
      <c r="C41" s="10"/>
      <c r="D41" s="11"/>
      <c r="E41" s="89">
        <f>+(E35+E37)/E39</f>
        <v>11034.225145075674</v>
      </c>
    </row>
  </sheetData>
  <phoneticPr fontId="0" type="noConversion"/>
  <pageMargins left="0.7" right="0.7" top="0.75" bottom="0.75" header="0.3" footer="0.3"/>
  <pageSetup scale="64" orientation="landscape"/>
  <headerFooter>
    <oddFooter>&amp;LLA Basin Stormwater Conservation Study_Project Costs&amp;R&amp;D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51"/>
  <sheetViews>
    <sheetView view="pageBreakPreview" topLeftCell="A17" zoomScale="90" zoomScaleNormal="100" zoomScaleSheetLayoutView="90" workbookViewId="0">
      <selection activeCell="A25" sqref="A25"/>
    </sheetView>
  </sheetViews>
  <sheetFormatPr defaultRowHeight="13.2" x14ac:dyDescent="0.25"/>
  <cols>
    <col min="1" max="1" width="54.6640625" customWidth="1"/>
    <col min="4" max="4" width="13.88671875" bestFit="1" customWidth="1"/>
    <col min="5" max="5" width="15.44140625" customWidth="1"/>
    <col min="7" max="7" width="11.109375" bestFit="1" customWidth="1"/>
    <col min="10" max="12" width="0" hidden="1" customWidth="1"/>
    <col min="13" max="13" width="17" customWidth="1"/>
    <col min="14" max="14" width="14" customWidth="1"/>
    <col min="15" max="15" width="11.88671875" customWidth="1"/>
    <col min="16" max="16" width="11.5546875" customWidth="1"/>
    <col min="17" max="17" width="13.33203125" customWidth="1"/>
    <col min="20" max="20" width="15" customWidth="1"/>
    <col min="21" max="21" width="26.33203125" customWidth="1"/>
    <col min="23" max="23" width="28.6640625" customWidth="1"/>
  </cols>
  <sheetData>
    <row r="1" spans="1:21" x14ac:dyDescent="0.25">
      <c r="A1" s="1" t="s">
        <v>9</v>
      </c>
    </row>
    <row r="2" spans="1:21" x14ac:dyDescent="0.25">
      <c r="A2" s="1" t="s">
        <v>64</v>
      </c>
    </row>
    <row r="3" spans="1:21" x14ac:dyDescent="0.25">
      <c r="A3" s="16">
        <v>42247</v>
      </c>
    </row>
    <row r="5" spans="1:21" ht="13.8" thickBot="1" x14ac:dyDescent="0.3">
      <c r="A5" s="19" t="s">
        <v>31</v>
      </c>
      <c r="B5" s="20"/>
      <c r="C5" s="20"/>
      <c r="D5" s="20"/>
      <c r="E5" s="20"/>
    </row>
    <row r="7" spans="1:21" x14ac:dyDescent="0.25">
      <c r="A7" s="1" t="s">
        <v>0</v>
      </c>
      <c r="B7" s="3" t="s">
        <v>1</v>
      </c>
      <c r="C7" s="3" t="s">
        <v>2</v>
      </c>
      <c r="D7" s="4" t="s">
        <v>3</v>
      </c>
      <c r="E7" s="4" t="s">
        <v>4</v>
      </c>
    </row>
    <row r="8" spans="1:21" x14ac:dyDescent="0.25">
      <c r="B8" s="13"/>
      <c r="C8" s="13"/>
      <c r="D8" s="2"/>
      <c r="E8" s="2"/>
      <c r="M8" s="44"/>
      <c r="T8" s="13"/>
      <c r="U8" s="48"/>
    </row>
    <row r="9" spans="1:21" x14ac:dyDescent="0.25">
      <c r="A9" s="17" t="s">
        <v>12</v>
      </c>
      <c r="B9" s="14"/>
      <c r="C9" s="14"/>
      <c r="D9" s="8"/>
      <c r="E9" s="8"/>
      <c r="T9" s="13"/>
      <c r="U9" s="48"/>
    </row>
    <row r="10" spans="1:21" x14ac:dyDescent="0.25">
      <c r="A10" s="27" t="s">
        <v>10</v>
      </c>
      <c r="B10" s="28">
        <f>'Local Stormwater Capture 1'!B18*0.1</f>
        <v>265.5</v>
      </c>
      <c r="C10" s="29" t="s">
        <v>11</v>
      </c>
      <c r="D10" s="30">
        <v>35000</v>
      </c>
      <c r="E10" s="30">
        <f>+B10*D10</f>
        <v>9292500</v>
      </c>
      <c r="M10" s="42"/>
      <c r="N10" s="42"/>
      <c r="O10" s="42"/>
      <c r="P10" s="13"/>
      <c r="T10" s="13"/>
      <c r="U10" s="48"/>
    </row>
    <row r="11" spans="1:21" x14ac:dyDescent="0.25">
      <c r="A11" t="s">
        <v>6</v>
      </c>
      <c r="B11" s="13"/>
      <c r="C11" s="13"/>
      <c r="D11" s="2"/>
      <c r="E11" s="2">
        <f>SUM(E10:E10)</f>
        <v>9292500</v>
      </c>
      <c r="M11" s="13"/>
      <c r="N11" s="13"/>
      <c r="O11" s="13"/>
      <c r="P11" s="13"/>
      <c r="T11" s="13"/>
      <c r="U11" s="48"/>
    </row>
    <row r="12" spans="1:21" x14ac:dyDescent="0.25">
      <c r="A12" s="12"/>
      <c r="B12" s="10"/>
      <c r="C12" s="10"/>
      <c r="D12" s="11"/>
      <c r="E12" s="2"/>
      <c r="H12" s="32"/>
      <c r="M12" s="13"/>
      <c r="N12" s="43"/>
      <c r="O12" s="24"/>
      <c r="P12" s="13"/>
      <c r="T12" s="13"/>
      <c r="U12" s="48"/>
    </row>
    <row r="13" spans="1:21" x14ac:dyDescent="0.25">
      <c r="A13" s="31" t="s">
        <v>13</v>
      </c>
      <c r="B13" s="14"/>
      <c r="C13" s="14"/>
      <c r="D13" s="8"/>
      <c r="E13" s="8"/>
      <c r="M13" s="13"/>
      <c r="N13" s="13"/>
      <c r="O13" s="13"/>
      <c r="P13" s="13"/>
      <c r="T13" s="13"/>
      <c r="U13" s="48"/>
    </row>
    <row r="14" spans="1:21" x14ac:dyDescent="0.25">
      <c r="A14" s="33" t="s">
        <v>14</v>
      </c>
      <c r="B14" s="45">
        <v>1076698</v>
      </c>
      <c r="C14" s="29" t="s">
        <v>5</v>
      </c>
      <c r="D14" s="30">
        <v>25</v>
      </c>
      <c r="E14" s="8">
        <f>+B14*D14</f>
        <v>26917450</v>
      </c>
      <c r="M14" s="13"/>
      <c r="N14" s="13"/>
      <c r="O14" s="13"/>
      <c r="P14" s="13"/>
      <c r="T14" s="13"/>
      <c r="U14" s="48"/>
    </row>
    <row r="15" spans="1:21" x14ac:dyDescent="0.25">
      <c r="A15" t="s">
        <v>6</v>
      </c>
      <c r="B15" s="13"/>
      <c r="C15" s="13"/>
      <c r="D15" s="2"/>
      <c r="E15" s="2">
        <f>SUM(E14)</f>
        <v>26917450</v>
      </c>
      <c r="F15" s="32"/>
      <c r="M15" s="13"/>
      <c r="N15" s="13"/>
      <c r="O15" s="13"/>
      <c r="P15" s="13"/>
      <c r="T15" s="13"/>
      <c r="U15" s="48"/>
    </row>
    <row r="16" spans="1:21" x14ac:dyDescent="0.25">
      <c r="B16" s="13"/>
      <c r="C16" s="13"/>
      <c r="D16" s="2"/>
      <c r="E16" s="2"/>
      <c r="M16" s="13"/>
      <c r="N16" s="13"/>
      <c r="O16" s="42"/>
      <c r="P16" s="42"/>
      <c r="T16" s="13"/>
      <c r="U16" s="48"/>
    </row>
    <row r="17" spans="1:21" x14ac:dyDescent="0.25">
      <c r="A17" s="6" t="s">
        <v>30</v>
      </c>
      <c r="B17" s="14">
        <v>10</v>
      </c>
      <c r="C17" s="14" t="s">
        <v>7</v>
      </c>
      <c r="D17" s="36">
        <f>SUM(E8:E15)/2</f>
        <v>36209950</v>
      </c>
      <c r="E17" s="8">
        <f>D17*B17/100</f>
        <v>3620995</v>
      </c>
      <c r="F17" s="32"/>
      <c r="H17" s="32"/>
      <c r="M17" s="13"/>
      <c r="N17" s="13"/>
      <c r="O17" s="42"/>
      <c r="P17" s="42"/>
      <c r="T17" s="13"/>
      <c r="U17" s="48"/>
    </row>
    <row r="18" spans="1:21" x14ac:dyDescent="0.25">
      <c r="A18" s="32" t="s">
        <v>30</v>
      </c>
      <c r="B18" s="13"/>
      <c r="C18" s="13"/>
      <c r="D18" s="2"/>
      <c r="E18" s="2">
        <f>SUM(E17)</f>
        <v>3620995</v>
      </c>
      <c r="M18" s="13"/>
      <c r="N18" s="13"/>
      <c r="O18" s="13"/>
      <c r="P18" s="13"/>
      <c r="T18" s="13"/>
      <c r="U18" s="48"/>
    </row>
    <row r="19" spans="1:21" x14ac:dyDescent="0.25">
      <c r="B19" s="13"/>
      <c r="C19" s="13"/>
      <c r="D19" s="2"/>
      <c r="E19" s="2"/>
      <c r="M19" s="13"/>
      <c r="N19" s="13"/>
      <c r="O19" s="47"/>
      <c r="P19" s="48"/>
      <c r="T19" s="13"/>
      <c r="U19" s="48"/>
    </row>
    <row r="20" spans="1:21" x14ac:dyDescent="0.25">
      <c r="A20" s="6" t="s">
        <v>8</v>
      </c>
      <c r="B20" s="14">
        <v>10</v>
      </c>
      <c r="C20" s="14" t="s">
        <v>7</v>
      </c>
      <c r="D20" s="36">
        <f>SUM(E8:E18)/2</f>
        <v>39830945</v>
      </c>
      <c r="E20" s="8">
        <f>D20*B20/100</f>
        <v>3983094.5</v>
      </c>
      <c r="M20" s="13"/>
      <c r="N20" s="13"/>
      <c r="O20" s="13"/>
      <c r="P20" s="13"/>
      <c r="T20" s="13"/>
      <c r="U20" s="48"/>
    </row>
    <row r="21" spans="1:21" x14ac:dyDescent="0.25">
      <c r="A21" t="s">
        <v>6</v>
      </c>
      <c r="B21" s="13"/>
      <c r="C21" s="13"/>
      <c r="D21" s="37"/>
      <c r="E21" s="2">
        <f>SUM(E20)</f>
        <v>3983094.5</v>
      </c>
      <c r="M21" s="42"/>
      <c r="N21" s="42"/>
      <c r="O21" s="42"/>
      <c r="Q21" s="42"/>
      <c r="T21" s="13"/>
      <c r="U21" s="48"/>
    </row>
    <row r="22" spans="1:21" x14ac:dyDescent="0.25">
      <c r="B22" s="13"/>
      <c r="C22" s="13"/>
      <c r="D22" s="2"/>
      <c r="E22" s="2"/>
      <c r="M22" s="42"/>
      <c r="N22" s="42"/>
      <c r="O22" s="42"/>
      <c r="Q22" s="42"/>
      <c r="T22" s="13"/>
      <c r="U22" s="48"/>
    </row>
    <row r="23" spans="1:21" x14ac:dyDescent="0.25">
      <c r="A23" s="6" t="s">
        <v>16</v>
      </c>
      <c r="B23" s="14"/>
      <c r="C23" s="14"/>
      <c r="D23" s="11"/>
      <c r="E23" s="11"/>
      <c r="F23" s="32"/>
      <c r="M23" s="13"/>
      <c r="N23" s="13"/>
      <c r="O23" s="13"/>
      <c r="T23" s="13"/>
      <c r="U23" s="48"/>
    </row>
    <row r="24" spans="1:21" x14ac:dyDescent="0.25">
      <c r="A24" s="12" t="s">
        <v>61</v>
      </c>
      <c r="B24" s="59">
        <v>10</v>
      </c>
      <c r="C24" s="66" t="s">
        <v>7</v>
      </c>
      <c r="D24" s="38">
        <f>SUM(E8:E21)/2</f>
        <v>43814039.5</v>
      </c>
      <c r="E24" s="39">
        <f t="shared" ref="E24:E29" si="0">D24*B24/100</f>
        <v>4381403.95</v>
      </c>
      <c r="M24" s="49"/>
      <c r="N24" s="48"/>
      <c r="O24" s="13"/>
      <c r="Q24" s="2"/>
      <c r="T24" s="13"/>
      <c r="U24" s="48"/>
    </row>
    <row r="25" spans="1:21" x14ac:dyDescent="0.25">
      <c r="A25" s="12" t="s">
        <v>62</v>
      </c>
      <c r="B25" s="59">
        <v>15</v>
      </c>
      <c r="C25" s="66" t="s">
        <v>7</v>
      </c>
      <c r="D25" s="37">
        <f>SUM(E8:E21)/2</f>
        <v>43814039.5</v>
      </c>
      <c r="E25" s="11">
        <f t="shared" si="0"/>
        <v>6572105.9249999998</v>
      </c>
      <c r="T25" s="13"/>
      <c r="U25" s="48"/>
    </row>
    <row r="26" spans="1:21" x14ac:dyDescent="0.25">
      <c r="A26" s="12" t="s">
        <v>22</v>
      </c>
      <c r="B26" s="59">
        <v>11</v>
      </c>
      <c r="C26" s="25" t="s">
        <v>7</v>
      </c>
      <c r="D26" s="37">
        <f>SUM(E8:E22)/2+SUM(D24:D25)+SUM(D27:D29)</f>
        <v>262884237</v>
      </c>
      <c r="E26" s="11">
        <f t="shared" si="0"/>
        <v>28917266.07</v>
      </c>
      <c r="T26" s="13"/>
      <c r="U26" s="48"/>
    </row>
    <row r="27" spans="1:21" x14ac:dyDescent="0.25">
      <c r="A27" s="12" t="s">
        <v>17</v>
      </c>
      <c r="B27" s="59">
        <v>5</v>
      </c>
      <c r="C27" s="25" t="s">
        <v>7</v>
      </c>
      <c r="D27" s="37">
        <f>SUM(E8:E21)/2</f>
        <v>43814039.5</v>
      </c>
      <c r="E27" s="11">
        <f t="shared" si="0"/>
        <v>2190701.9750000001</v>
      </c>
      <c r="T27" s="13"/>
      <c r="U27" s="48"/>
    </row>
    <row r="28" spans="1:21" x14ac:dyDescent="0.25">
      <c r="A28" s="9" t="s">
        <v>18</v>
      </c>
      <c r="B28" s="59">
        <v>5</v>
      </c>
      <c r="C28" s="25" t="s">
        <v>7</v>
      </c>
      <c r="D28" s="37">
        <f>SUM(E8:E21)/2</f>
        <v>43814039.5</v>
      </c>
      <c r="E28" s="11">
        <f t="shared" si="0"/>
        <v>2190701.9750000001</v>
      </c>
      <c r="F28" s="65" t="s">
        <v>63</v>
      </c>
      <c r="T28" s="13"/>
      <c r="U28" s="48"/>
    </row>
    <row r="29" spans="1:21" x14ac:dyDescent="0.25">
      <c r="A29" s="18" t="s">
        <v>19</v>
      </c>
      <c r="B29" s="67">
        <v>10</v>
      </c>
      <c r="C29" s="26" t="s">
        <v>7</v>
      </c>
      <c r="D29" s="36">
        <f>SUM(E8:E22)/2</f>
        <v>43814039.5</v>
      </c>
      <c r="E29" s="8">
        <f t="shared" si="0"/>
        <v>4381403.95</v>
      </c>
      <c r="T29" s="13"/>
      <c r="U29" s="48"/>
    </row>
    <row r="30" spans="1:21" x14ac:dyDescent="0.25">
      <c r="A30" t="s">
        <v>6</v>
      </c>
      <c r="B30" s="13"/>
      <c r="C30" s="13"/>
      <c r="D30" s="2"/>
      <c r="E30" s="2">
        <f>SUM(E24:E29)</f>
        <v>48633583.845000006</v>
      </c>
      <c r="T30" s="13"/>
      <c r="U30" s="48"/>
    </row>
    <row r="31" spans="1:21" x14ac:dyDescent="0.25">
      <c r="A31" s="22"/>
      <c r="B31" s="10"/>
      <c r="C31" s="10"/>
      <c r="D31" s="11"/>
      <c r="E31" s="23"/>
      <c r="F31" s="32"/>
      <c r="T31" s="13"/>
      <c r="U31" s="48"/>
    </row>
    <row r="32" spans="1:21" x14ac:dyDescent="0.25">
      <c r="A32" s="6" t="s">
        <v>20</v>
      </c>
      <c r="B32" s="34"/>
      <c r="C32" s="34"/>
      <c r="D32" s="35"/>
      <c r="E32" s="35"/>
      <c r="T32" s="13"/>
      <c r="U32" s="48"/>
    </row>
    <row r="33" spans="1:21" x14ac:dyDescent="0.25">
      <c r="A33" s="27" t="s">
        <v>20</v>
      </c>
      <c r="B33" s="28">
        <v>30</v>
      </c>
      <c r="C33" s="29" t="s">
        <v>7</v>
      </c>
      <c r="D33" s="40">
        <f>SUM(E8:E30)/2</f>
        <v>92447623.344999984</v>
      </c>
      <c r="E33" s="30">
        <f>D33*B33/100</f>
        <v>27734287.003499996</v>
      </c>
      <c r="T33" s="13"/>
      <c r="U33" s="48"/>
    </row>
    <row r="34" spans="1:21" x14ac:dyDescent="0.25">
      <c r="A34" t="s">
        <v>6</v>
      </c>
      <c r="B34" s="13"/>
      <c r="C34" s="13"/>
      <c r="D34" s="2"/>
      <c r="E34" s="2">
        <f>SUM(E33)</f>
        <v>27734287.003499996</v>
      </c>
      <c r="T34" s="13"/>
      <c r="U34" s="48"/>
    </row>
    <row r="35" spans="1:21" x14ac:dyDescent="0.25">
      <c r="B35" s="10"/>
      <c r="C35" s="10"/>
      <c r="D35" s="11"/>
      <c r="E35" s="11"/>
      <c r="G35" s="2"/>
      <c r="T35" s="13"/>
      <c r="U35" s="48"/>
    </row>
    <row r="36" spans="1:21" x14ac:dyDescent="0.25">
      <c r="A36" s="22" t="s">
        <v>80</v>
      </c>
      <c r="B36" s="10"/>
      <c r="C36" s="10"/>
      <c r="D36" s="11"/>
      <c r="E36" s="53">
        <f>SUM(E8:E34)/2</f>
        <v>120181910.34849997</v>
      </c>
      <c r="T36" s="13"/>
      <c r="U36" s="48"/>
    </row>
    <row r="37" spans="1:21" x14ac:dyDescent="0.25">
      <c r="A37" s="12"/>
      <c r="B37" s="10"/>
      <c r="C37" s="10"/>
      <c r="D37" s="11"/>
      <c r="E37" s="11"/>
      <c r="T37" s="13"/>
      <c r="U37" s="48"/>
    </row>
    <row r="38" spans="1:21" x14ac:dyDescent="0.25">
      <c r="A38" s="1"/>
      <c r="B38" s="21"/>
      <c r="C38" s="10"/>
      <c r="D38" s="11"/>
      <c r="E38" s="50"/>
      <c r="T38" s="13"/>
      <c r="U38" s="48"/>
    </row>
    <row r="39" spans="1:21" x14ac:dyDescent="0.25">
      <c r="B39" s="10"/>
      <c r="C39" s="10"/>
      <c r="D39" s="11"/>
      <c r="E39" s="11"/>
      <c r="T39" s="13"/>
      <c r="U39" s="48"/>
    </row>
    <row r="40" spans="1:21" x14ac:dyDescent="0.25">
      <c r="A40" s="1"/>
      <c r="B40" s="15"/>
      <c r="C40" s="15"/>
      <c r="D40" s="11"/>
      <c r="E40" s="11"/>
      <c r="T40" s="13"/>
      <c r="U40" s="48"/>
    </row>
    <row r="41" spans="1:21" x14ac:dyDescent="0.25">
      <c r="A41" s="22"/>
      <c r="B41" s="10"/>
      <c r="C41" s="10"/>
      <c r="D41" s="11"/>
      <c r="E41" s="11"/>
      <c r="T41" s="13"/>
      <c r="U41" s="48"/>
    </row>
    <row r="42" spans="1:21" x14ac:dyDescent="0.25">
      <c r="A42" s="1"/>
      <c r="E42" s="51"/>
      <c r="T42" s="13"/>
      <c r="U42" s="48"/>
    </row>
    <row r="43" spans="1:21" x14ac:dyDescent="0.25">
      <c r="A43" s="15"/>
      <c r="B43" s="10"/>
      <c r="C43" s="10"/>
      <c r="D43" s="11"/>
      <c r="E43" s="11"/>
      <c r="T43" s="13"/>
      <c r="U43" s="48"/>
    </row>
    <row r="44" spans="1:21" x14ac:dyDescent="0.25">
      <c r="A44" s="22"/>
      <c r="B44" s="10"/>
      <c r="C44" s="10"/>
      <c r="D44" s="11"/>
      <c r="E44" s="11"/>
      <c r="T44" s="13"/>
      <c r="U44" s="48"/>
    </row>
    <row r="45" spans="1:21" x14ac:dyDescent="0.25">
      <c r="T45" s="13"/>
      <c r="U45" s="48"/>
    </row>
    <row r="46" spans="1:21" x14ac:dyDescent="0.25">
      <c r="T46" s="13"/>
      <c r="U46" s="48"/>
    </row>
    <row r="47" spans="1:21" x14ac:dyDescent="0.25">
      <c r="T47" s="13"/>
      <c r="U47" s="48"/>
    </row>
    <row r="48" spans="1:21" x14ac:dyDescent="0.25">
      <c r="T48" s="13"/>
      <c r="U48" s="48"/>
    </row>
    <row r="49" spans="20:21" x14ac:dyDescent="0.25">
      <c r="T49" s="13"/>
      <c r="U49" s="48"/>
    </row>
    <row r="50" spans="20:21" x14ac:dyDescent="0.25">
      <c r="T50" s="13"/>
      <c r="U50" s="48"/>
    </row>
    <row r="51" spans="20:21" x14ac:dyDescent="0.25">
      <c r="T51" s="13"/>
      <c r="U51" s="48"/>
    </row>
  </sheetData>
  <pageMargins left="0.7" right="0.7" top="0.75" bottom="0.75" header="0.3" footer="0.3"/>
  <pageSetup scale="64" orientation="landscape"/>
  <headerFooter>
    <oddFooter>&amp;LLA Basin Stormwater Conservation Study_Project Costs&amp;R&amp;D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1"/>
  <sheetViews>
    <sheetView view="pageLayout" topLeftCell="A10" zoomScaleNormal="100" workbookViewId="0">
      <selection activeCell="B7" sqref="B7"/>
    </sheetView>
  </sheetViews>
  <sheetFormatPr defaultRowHeight="13.2" x14ac:dyDescent="0.25"/>
  <cols>
    <col min="1" max="1" width="54" bestFit="1" customWidth="1"/>
    <col min="2" max="2" width="19" customWidth="1"/>
    <col min="4" max="4" width="56.109375" bestFit="1" customWidth="1"/>
    <col min="5" max="6" width="18.88671875" customWidth="1"/>
    <col min="7" max="7" width="17.88671875" customWidth="1"/>
    <col min="8" max="8" width="17.5546875" customWidth="1"/>
    <col min="9" max="9" width="24.33203125" customWidth="1"/>
    <col min="10" max="10" width="20.6640625" customWidth="1"/>
  </cols>
  <sheetData>
    <row r="1" spans="1:10" ht="17.399999999999999" x14ac:dyDescent="0.3">
      <c r="A1" s="64" t="s">
        <v>56</v>
      </c>
    </row>
    <row r="3" spans="1:10" ht="26.4" x14ac:dyDescent="0.25">
      <c r="A3" s="54"/>
      <c r="B3" s="57" t="str">
        <f>'Low Impact Development'!A5</f>
        <v>Low Impact Development</v>
      </c>
    </row>
    <row r="5" spans="1:10" x14ac:dyDescent="0.25">
      <c r="G5" s="57"/>
      <c r="H5" s="57"/>
      <c r="I5" s="57"/>
      <c r="J5" s="57"/>
    </row>
    <row r="6" spans="1:10" x14ac:dyDescent="0.25">
      <c r="A6" s="55"/>
      <c r="B6" s="13"/>
    </row>
    <row r="7" spans="1:10" x14ac:dyDescent="0.25">
      <c r="A7" s="56" t="s">
        <v>53</v>
      </c>
      <c r="B7" s="48">
        <f>ROUND('Low Impact Development'!E39/1000000,0)*1000000</f>
        <v>20536000000</v>
      </c>
      <c r="G7" s="52"/>
      <c r="H7" s="52"/>
      <c r="I7" s="52"/>
      <c r="J7" s="52"/>
    </row>
    <row r="8" spans="1:10" x14ac:dyDescent="0.25">
      <c r="A8" s="55"/>
      <c r="B8" s="13"/>
      <c r="G8" s="13"/>
      <c r="H8" s="13"/>
      <c r="I8" s="13"/>
      <c r="J8" s="13"/>
    </row>
    <row r="9" spans="1:10" x14ac:dyDescent="0.25">
      <c r="A9" s="56" t="s">
        <v>78</v>
      </c>
      <c r="B9" s="48">
        <f>ROUND('Low Impact Development'!E33/1000000,0)*1000000</f>
        <v>9696000000</v>
      </c>
      <c r="G9" s="48"/>
      <c r="H9" s="48"/>
      <c r="I9" s="48"/>
      <c r="J9" s="48"/>
    </row>
    <row r="10" spans="1:10" x14ac:dyDescent="0.25">
      <c r="G10" s="13"/>
      <c r="H10" s="13"/>
      <c r="I10" s="13"/>
      <c r="J10" s="13"/>
    </row>
    <row r="11" spans="1:10" x14ac:dyDescent="0.25">
      <c r="A11" s="56" t="s">
        <v>79</v>
      </c>
      <c r="B11" s="48">
        <f>'Low Impact Development'!E35</f>
        <v>0</v>
      </c>
      <c r="G11" s="48"/>
      <c r="H11" s="48"/>
      <c r="I11" s="48"/>
      <c r="J11" s="48"/>
    </row>
    <row r="12" spans="1:10" x14ac:dyDescent="0.25">
      <c r="G12" s="13"/>
      <c r="H12" s="13"/>
      <c r="I12" s="13"/>
      <c r="J12" s="13"/>
    </row>
    <row r="13" spans="1:10" x14ac:dyDescent="0.25">
      <c r="A13" s="56" t="s">
        <v>26</v>
      </c>
      <c r="B13" s="48">
        <f>ROUND('Low Impact Development'!E43/1000000,0)*1000000</f>
        <v>452000000</v>
      </c>
      <c r="G13" s="13"/>
      <c r="H13" s="13"/>
      <c r="I13" s="13"/>
      <c r="J13" s="13"/>
    </row>
    <row r="14" spans="1:10" x14ac:dyDescent="0.25">
      <c r="A14" s="55"/>
      <c r="B14" s="13"/>
      <c r="G14" s="13"/>
      <c r="H14" s="13"/>
      <c r="I14" s="13"/>
      <c r="J14" s="13"/>
    </row>
    <row r="15" spans="1:10" x14ac:dyDescent="0.25">
      <c r="A15" s="56" t="s">
        <v>29</v>
      </c>
      <c r="B15" s="13">
        <v>0</v>
      </c>
      <c r="G15" s="52"/>
      <c r="H15" s="52"/>
      <c r="I15" s="52"/>
      <c r="J15" s="52"/>
    </row>
    <row r="16" spans="1:10" x14ac:dyDescent="0.25">
      <c r="A16" s="55"/>
      <c r="B16" s="13"/>
      <c r="G16" s="52"/>
      <c r="H16" s="52"/>
      <c r="I16" s="52"/>
      <c r="J16" s="52"/>
    </row>
    <row r="17" spans="1:10" x14ac:dyDescent="0.25">
      <c r="A17" s="56" t="s">
        <v>28</v>
      </c>
      <c r="B17" s="52">
        <v>0</v>
      </c>
      <c r="G17" s="52"/>
      <c r="H17" s="52"/>
      <c r="I17" s="52"/>
      <c r="J17" s="52"/>
    </row>
    <row r="18" spans="1:10" x14ac:dyDescent="0.25">
      <c r="A18" s="55"/>
      <c r="B18" s="52"/>
      <c r="G18" s="13"/>
      <c r="H18" s="13"/>
      <c r="I18" s="13"/>
      <c r="J18" s="13"/>
    </row>
    <row r="19" spans="1:10" x14ac:dyDescent="0.25">
      <c r="A19" s="56" t="s">
        <v>27</v>
      </c>
      <c r="B19" s="52">
        <v>0</v>
      </c>
      <c r="G19" s="48"/>
      <c r="H19" s="48"/>
      <c r="I19" s="48"/>
      <c r="J19" s="48"/>
    </row>
    <row r="20" spans="1:10" x14ac:dyDescent="0.25">
      <c r="A20" s="55"/>
      <c r="B20" s="13"/>
    </row>
    <row r="21" spans="1:10" x14ac:dyDescent="0.25">
      <c r="A21" s="99" t="s">
        <v>25</v>
      </c>
      <c r="B21" s="102">
        <v>76345.450716917709</v>
      </c>
    </row>
    <row r="23" spans="1:10" x14ac:dyDescent="0.25">
      <c r="A23" s="6" t="s">
        <v>108</v>
      </c>
      <c r="B23" s="101">
        <f>ROUND(-PMT(0.03375,50,$B$7)/B21/100,0)*100</f>
        <v>11200</v>
      </c>
    </row>
    <row r="25" spans="1:10" x14ac:dyDescent="0.25">
      <c r="A25" s="99" t="s">
        <v>25</v>
      </c>
      <c r="B25" s="102">
        <f>'Low Impact Development'!E45</f>
        <v>94533.353149818984</v>
      </c>
    </row>
    <row r="27" spans="1:10" x14ac:dyDescent="0.25">
      <c r="A27" s="6" t="s">
        <v>108</v>
      </c>
      <c r="B27" s="101">
        <f>ROUND('Low Impact Development'!E47/100,0)*100</f>
        <v>9100</v>
      </c>
    </row>
    <row r="29" spans="1:10" x14ac:dyDescent="0.25">
      <c r="A29" s="99" t="s">
        <v>25</v>
      </c>
      <c r="B29" s="102">
        <v>111270.61416668304</v>
      </c>
    </row>
    <row r="31" spans="1:10" x14ac:dyDescent="0.25">
      <c r="A31" s="6" t="s">
        <v>108</v>
      </c>
      <c r="B31" s="101">
        <f>ROUND(-PMT(0.03375,50,$B$7)/B29/100,0)*100</f>
        <v>7700</v>
      </c>
    </row>
  </sheetData>
  <pageMargins left="0.7" right="0.7" top="0.75" bottom="0.75" header="0.3" footer="0.3"/>
  <pageSetup orientation="portrait"/>
  <headerFooter>
    <oddFooter>&amp;LLA Basin Stormwater Conservation Study_Project Costs&amp;R&amp;D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U53"/>
  <sheetViews>
    <sheetView view="pageBreakPreview" topLeftCell="A7" zoomScale="70" zoomScaleNormal="100" zoomScaleSheetLayoutView="70" workbookViewId="0">
      <selection activeCell="E47" sqref="E47"/>
    </sheetView>
  </sheetViews>
  <sheetFormatPr defaultRowHeight="13.2" x14ac:dyDescent="0.25"/>
  <cols>
    <col min="1" max="1" width="54.6640625" customWidth="1"/>
    <col min="4" max="4" width="14.6640625" customWidth="1"/>
    <col min="5" max="5" width="16.88671875" customWidth="1"/>
    <col min="7" max="7" width="8.44140625" customWidth="1"/>
    <col min="9" max="9" width="10.109375" customWidth="1"/>
    <col min="10" max="12" width="0" hidden="1" customWidth="1"/>
    <col min="13" max="13" width="17" customWidth="1"/>
    <col min="14" max="14" width="14" customWidth="1"/>
    <col min="15" max="15" width="11.88671875" customWidth="1"/>
    <col min="16" max="16" width="11.5546875" customWidth="1"/>
    <col min="17" max="17" width="14.88671875" customWidth="1"/>
    <col min="20" max="20" width="15" customWidth="1"/>
    <col min="21" max="21" width="26.33203125" customWidth="1"/>
    <col min="23" max="23" width="28.6640625" customWidth="1"/>
  </cols>
  <sheetData>
    <row r="1" spans="1:21" x14ac:dyDescent="0.25">
      <c r="A1" s="1" t="s">
        <v>9</v>
      </c>
    </row>
    <row r="2" spans="1:21" x14ac:dyDescent="0.25">
      <c r="A2" s="1" t="s">
        <v>64</v>
      </c>
    </row>
    <row r="3" spans="1:21" x14ac:dyDescent="0.25">
      <c r="A3" s="16">
        <v>42257</v>
      </c>
    </row>
    <row r="5" spans="1:21" ht="13.8" thickBot="1" x14ac:dyDescent="0.3">
      <c r="A5" s="19" t="s">
        <v>35</v>
      </c>
      <c r="B5" s="20"/>
      <c r="C5" s="20"/>
      <c r="D5" s="20"/>
      <c r="E5" s="20"/>
    </row>
    <row r="6" spans="1:21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21" x14ac:dyDescent="0.25">
      <c r="A7" s="73" t="s">
        <v>0</v>
      </c>
      <c r="B7" s="76" t="s">
        <v>1</v>
      </c>
      <c r="C7" s="76" t="s">
        <v>2</v>
      </c>
      <c r="D7" s="77" t="s">
        <v>3</v>
      </c>
      <c r="E7" s="77" t="s">
        <v>4</v>
      </c>
      <c r="F7" s="61"/>
      <c r="G7" s="61"/>
      <c r="H7" s="61"/>
      <c r="I7" s="61"/>
    </row>
    <row r="8" spans="1:21" x14ac:dyDescent="0.25">
      <c r="A8" s="73"/>
      <c r="B8" s="73"/>
      <c r="C8" s="73"/>
      <c r="D8" s="78"/>
      <c r="E8" s="78"/>
      <c r="F8" s="61"/>
      <c r="G8" s="61"/>
      <c r="H8" s="61"/>
      <c r="I8" s="61"/>
    </row>
    <row r="9" spans="1:21" x14ac:dyDescent="0.25">
      <c r="A9" s="79" t="s">
        <v>32</v>
      </c>
      <c r="B9" s="80"/>
      <c r="C9" s="80"/>
      <c r="D9" s="69"/>
      <c r="E9" s="69"/>
      <c r="F9" s="61" t="s">
        <v>110</v>
      </c>
      <c r="G9" s="61"/>
      <c r="H9" s="61"/>
      <c r="I9" s="61"/>
    </row>
    <row r="10" spans="1:21" ht="12.75" customHeight="1" x14ac:dyDescent="0.25">
      <c r="A10" s="12" t="s">
        <v>36</v>
      </c>
      <c r="B10" s="60">
        <v>1575.690172443776</v>
      </c>
      <c r="C10" s="59" t="s">
        <v>33</v>
      </c>
      <c r="D10" s="62">
        <f>(41.25*0.25+18*0.4+22.19*0.35)*43560</f>
        <v>1101153.24</v>
      </c>
      <c r="E10" s="63">
        <f t="shared" ref="E10:E15" si="0">+B10*D10</f>
        <v>1735076338.6226225</v>
      </c>
      <c r="F10" s="61" t="s">
        <v>37</v>
      </c>
      <c r="G10" s="61"/>
      <c r="H10" s="61"/>
      <c r="I10" s="61"/>
    </row>
    <row r="11" spans="1:21" x14ac:dyDescent="0.25">
      <c r="A11" s="12" t="s">
        <v>38</v>
      </c>
      <c r="B11" s="60">
        <v>33.489601466489511</v>
      </c>
      <c r="C11" s="59" t="s">
        <v>33</v>
      </c>
      <c r="D11" s="62">
        <f>(41.25*0.17+18*0.4+22.19*0.43)*43560</f>
        <v>1034732.952</v>
      </c>
      <c r="E11" s="63">
        <f t="shared" si="0"/>
        <v>34652794.186724223</v>
      </c>
      <c r="F11" s="65" t="s">
        <v>39</v>
      </c>
      <c r="G11" s="61"/>
      <c r="H11" s="61"/>
      <c r="I11" s="61"/>
      <c r="T11" s="32"/>
      <c r="U11" s="41"/>
    </row>
    <row r="12" spans="1:21" x14ac:dyDescent="0.25">
      <c r="A12" s="12" t="s">
        <v>40</v>
      </c>
      <c r="B12" s="60">
        <v>5.3595836419173422</v>
      </c>
      <c r="C12" s="59" t="s">
        <v>33</v>
      </c>
      <c r="D12" s="62">
        <f>(41.25*0.17+18*0.4+22.19*0.43)*43560</f>
        <v>1034732.952</v>
      </c>
      <c r="E12" s="63">
        <f t="shared" si="0"/>
        <v>5545737.8032920426</v>
      </c>
      <c r="F12" s="65" t="s">
        <v>39</v>
      </c>
      <c r="G12" s="61"/>
      <c r="H12" s="61"/>
      <c r="I12" s="61"/>
      <c r="T12" s="32"/>
      <c r="U12" s="41"/>
    </row>
    <row r="13" spans="1:21" x14ac:dyDescent="0.25">
      <c r="A13" s="12" t="s">
        <v>41</v>
      </c>
      <c r="B13" s="60">
        <v>885.47314449525788</v>
      </c>
      <c r="C13" s="59" t="s">
        <v>33</v>
      </c>
      <c r="D13" s="62">
        <f>(41.25*0.25+18*0.4+22.19*0.35)*43560</f>
        <v>1101153.24</v>
      </c>
      <c r="E13" s="63">
        <f t="shared" si="0"/>
        <v>975041621.99394143</v>
      </c>
      <c r="F13" s="61" t="s">
        <v>37</v>
      </c>
      <c r="G13" s="61"/>
      <c r="H13" s="61"/>
      <c r="I13" s="61"/>
      <c r="Q13" s="42"/>
      <c r="T13" s="13"/>
      <c r="U13" s="48"/>
    </row>
    <row r="14" spans="1:21" x14ac:dyDescent="0.25">
      <c r="A14" s="12" t="s">
        <v>42</v>
      </c>
      <c r="B14" s="60">
        <v>1259.4472827953709</v>
      </c>
      <c r="C14" s="59" t="s">
        <v>33</v>
      </c>
      <c r="D14" s="62">
        <f>(41.25*0.22+30*0.45+22.19*0.33)*43560</f>
        <v>1302343.8119999999</v>
      </c>
      <c r="E14" s="63">
        <f t="shared" si="0"/>
        <v>1640233375.2887652</v>
      </c>
      <c r="F14" s="65" t="s">
        <v>43</v>
      </c>
      <c r="G14" s="61"/>
      <c r="H14" s="61"/>
      <c r="I14" s="61"/>
      <c r="Q14" s="42"/>
      <c r="T14" s="13"/>
      <c r="U14" s="48"/>
    </row>
    <row r="15" spans="1:21" x14ac:dyDescent="0.25">
      <c r="A15" s="12" t="s">
        <v>44</v>
      </c>
      <c r="B15" s="60">
        <v>1741.8588987777421</v>
      </c>
      <c r="C15" s="59" t="s">
        <v>33</v>
      </c>
      <c r="D15" s="62">
        <f>(41.25*0.02+30*0.03+22.19*0.47+18*0.48)*43560</f>
        <v>905799.70799999998</v>
      </c>
      <c r="E15" s="63">
        <f t="shared" si="0"/>
        <v>1577775281.8900802</v>
      </c>
      <c r="F15" s="65" t="s">
        <v>45</v>
      </c>
      <c r="G15" s="61"/>
      <c r="H15" s="61"/>
      <c r="I15" s="61"/>
      <c r="T15" s="13"/>
      <c r="U15" s="48"/>
    </row>
    <row r="16" spans="1:21" x14ac:dyDescent="0.25">
      <c r="A16" s="18" t="s">
        <v>49</v>
      </c>
      <c r="B16" s="104">
        <v>2808.5408248825865</v>
      </c>
      <c r="C16" s="67" t="s">
        <v>33</v>
      </c>
      <c r="D16" s="69">
        <f>(41.25*0.25+30*0.45+22.19*0.3)*43560</f>
        <v>1327251.42</v>
      </c>
      <c r="E16" s="69">
        <f>+B16*D16</f>
        <v>3727639797.9533839</v>
      </c>
      <c r="F16" s="65" t="s">
        <v>50</v>
      </c>
      <c r="G16" s="61"/>
      <c r="H16" s="61"/>
      <c r="I16" s="61"/>
      <c r="J16" s="61"/>
      <c r="K16" s="61"/>
      <c r="L16" s="61"/>
      <c r="T16" s="13"/>
      <c r="U16" s="48"/>
    </row>
    <row r="17" spans="1:21" x14ac:dyDescent="0.25">
      <c r="A17" s="61" t="s">
        <v>6</v>
      </c>
      <c r="B17" s="68"/>
      <c r="C17" s="68"/>
      <c r="D17" s="63"/>
      <c r="E17" s="63">
        <f>SUM(E10:E16)</f>
        <v>9695964947.7388096</v>
      </c>
      <c r="F17" s="32" t="s">
        <v>65</v>
      </c>
      <c r="G17" s="61"/>
      <c r="H17" s="61"/>
      <c r="I17" s="61"/>
      <c r="T17" s="13"/>
      <c r="U17" s="48"/>
    </row>
    <row r="18" spans="1:21" x14ac:dyDescent="0.25">
      <c r="T18" s="13"/>
      <c r="U18" s="48"/>
    </row>
    <row r="19" spans="1:21" x14ac:dyDescent="0.25">
      <c r="A19" s="31" t="s">
        <v>66</v>
      </c>
      <c r="B19" s="67"/>
      <c r="C19" s="59"/>
      <c r="D19" s="62"/>
      <c r="E19" s="62"/>
      <c r="T19" s="13"/>
      <c r="U19" s="48"/>
    </row>
    <row r="20" spans="1:21" x14ac:dyDescent="0.25">
      <c r="A20" s="18" t="s">
        <v>15</v>
      </c>
      <c r="B20" s="58">
        <v>0</v>
      </c>
      <c r="C20" s="29" t="s">
        <v>11</v>
      </c>
      <c r="D20" s="30">
        <v>500000</v>
      </c>
      <c r="E20" s="30">
        <f t="shared" ref="E20" si="1">+B20*D20</f>
        <v>0</v>
      </c>
      <c r="F20" s="32" t="s">
        <v>82</v>
      </c>
      <c r="G20" s="42"/>
      <c r="T20" s="13"/>
      <c r="U20" s="48"/>
    </row>
    <row r="21" spans="1:21" x14ac:dyDescent="0.25">
      <c r="A21" s="61" t="s">
        <v>6</v>
      </c>
      <c r="B21" s="68"/>
      <c r="C21" s="68"/>
      <c r="D21" s="63"/>
      <c r="E21" s="63">
        <f>SUM(E20:E20)</f>
        <v>0</v>
      </c>
      <c r="G21" s="42"/>
      <c r="T21" s="13"/>
      <c r="U21" s="48"/>
    </row>
    <row r="22" spans="1:21" x14ac:dyDescent="0.25">
      <c r="T22" s="13"/>
      <c r="U22" s="48"/>
    </row>
    <row r="23" spans="1:21" x14ac:dyDescent="0.25">
      <c r="A23" s="46" t="s">
        <v>89</v>
      </c>
      <c r="B23" s="80"/>
      <c r="C23" s="80"/>
      <c r="D23" s="69"/>
      <c r="E23" s="69"/>
      <c r="F23" s="61" t="s">
        <v>110</v>
      </c>
      <c r="T23" s="13"/>
      <c r="U23" s="48"/>
    </row>
    <row r="24" spans="1:21" x14ac:dyDescent="0.25">
      <c r="A24" s="90" t="s">
        <v>36</v>
      </c>
      <c r="B24" s="60">
        <v>1575.690172443776</v>
      </c>
      <c r="C24" s="59" t="s">
        <v>33</v>
      </c>
      <c r="D24" s="62">
        <f>(20*0.25+21.25*0.4+30.63*0.35)*43560</f>
        <v>1055044.98</v>
      </c>
      <c r="E24" s="63">
        <f t="shared" ref="E24:E29" si="2">+B24*D24</f>
        <v>1662424006.4721401</v>
      </c>
      <c r="F24" s="61" t="s">
        <v>37</v>
      </c>
      <c r="T24" s="13"/>
      <c r="U24" s="48"/>
    </row>
    <row r="25" spans="1:21" x14ac:dyDescent="0.25">
      <c r="A25" s="12" t="s">
        <v>38</v>
      </c>
      <c r="B25" s="60">
        <v>33.489601466489511</v>
      </c>
      <c r="C25" s="59" t="s">
        <v>33</v>
      </c>
      <c r="D25" s="62">
        <f>(20*0.17+21.25*0.4+30.63*0.43)*43560</f>
        <v>1092088.4040000001</v>
      </c>
      <c r="E25" s="63">
        <f t="shared" si="2"/>
        <v>36573605.416134596</v>
      </c>
      <c r="F25" s="65" t="s">
        <v>39</v>
      </c>
      <c r="T25" s="13"/>
      <c r="U25" s="48"/>
    </row>
    <row r="26" spans="1:21" x14ac:dyDescent="0.25">
      <c r="A26" s="12" t="s">
        <v>40</v>
      </c>
      <c r="B26" s="60">
        <v>5.3595836419173422</v>
      </c>
      <c r="C26" s="59" t="s">
        <v>33</v>
      </c>
      <c r="D26" s="62">
        <f>(20*0.17+21.25*0.4+30.63*0.43)*43560</f>
        <v>1092088.4040000001</v>
      </c>
      <c r="E26" s="63">
        <f t="shared" si="2"/>
        <v>5853139.1456060186</v>
      </c>
      <c r="F26" s="65" t="s">
        <v>39</v>
      </c>
      <c r="T26" s="13"/>
      <c r="U26" s="48"/>
    </row>
    <row r="27" spans="1:21" x14ac:dyDescent="0.25">
      <c r="A27" s="12" t="s">
        <v>41</v>
      </c>
      <c r="B27" s="60">
        <v>885.47314449525788</v>
      </c>
      <c r="C27" s="59" t="s">
        <v>33</v>
      </c>
      <c r="D27" s="62">
        <f>(20*0.25+21.25*0.4+30.63*0.35)*43560</f>
        <v>1055044.98</v>
      </c>
      <c r="E27" s="63">
        <f t="shared" si="2"/>
        <v>934213996.02453649</v>
      </c>
      <c r="F27" s="61" t="s">
        <v>37</v>
      </c>
      <c r="T27" s="13"/>
      <c r="U27" s="48"/>
    </row>
    <row r="28" spans="1:21" x14ac:dyDescent="0.25">
      <c r="A28" s="12" t="s">
        <v>42</v>
      </c>
      <c r="B28" s="60">
        <v>1259.4472827953709</v>
      </c>
      <c r="C28" s="59" t="s">
        <v>33</v>
      </c>
      <c r="D28" s="62">
        <f>(20*0.22+46*0.45+30.63*0.33)*43560</f>
        <v>1533656.1240000001</v>
      </c>
      <c r="E28" s="63">
        <f t="shared" si="2"/>
        <v>1931559038.1142805</v>
      </c>
      <c r="F28" s="65" t="s">
        <v>43</v>
      </c>
      <c r="T28" s="13"/>
      <c r="U28" s="48"/>
    </row>
    <row r="29" spans="1:21" x14ac:dyDescent="0.25">
      <c r="A29" s="12" t="s">
        <v>44</v>
      </c>
      <c r="B29" s="60">
        <v>1741.8588987777421</v>
      </c>
      <c r="C29" s="59" t="s">
        <v>33</v>
      </c>
      <c r="D29" s="62">
        <f>(20*0.02+46*0.03+30.63*0.47+21.25*0.48)*43560</f>
        <v>1148942.916</v>
      </c>
      <c r="E29" s="63">
        <f t="shared" si="2"/>
        <v>2001296442.4222476</v>
      </c>
      <c r="F29" s="65" t="s">
        <v>45</v>
      </c>
      <c r="T29" s="13"/>
      <c r="U29" s="48"/>
    </row>
    <row r="30" spans="1:21" x14ac:dyDescent="0.25">
      <c r="A30" s="12" t="s">
        <v>49</v>
      </c>
      <c r="B30" s="104">
        <v>2808.5408248825865</v>
      </c>
      <c r="C30" s="59" t="s">
        <v>33</v>
      </c>
      <c r="D30" s="62">
        <f>(20*0.25+46*0.45+30.63*0.3)*43560</f>
        <v>1519764.8399999999</v>
      </c>
      <c r="E30" s="63">
        <f>+B30*D30</f>
        <v>4268321597.3611517</v>
      </c>
      <c r="F30" s="65" t="s">
        <v>50</v>
      </c>
      <c r="T30" s="13"/>
      <c r="U30" s="48"/>
    </row>
    <row r="31" spans="1:21" x14ac:dyDescent="0.25">
      <c r="A31" s="91" t="s">
        <v>6</v>
      </c>
      <c r="B31" s="92"/>
      <c r="C31" s="92"/>
      <c r="D31" s="93"/>
      <c r="E31" s="93">
        <f>SUM(E24:E30)</f>
        <v>10840241824.956097</v>
      </c>
      <c r="F31" s="65" t="s">
        <v>91</v>
      </c>
      <c r="Q31" s="42"/>
      <c r="T31" s="13"/>
      <c r="U31" s="48"/>
    </row>
    <row r="32" spans="1:21" x14ac:dyDescent="0.25">
      <c r="T32" s="13"/>
      <c r="U32" s="48"/>
    </row>
    <row r="33" spans="1:21" x14ac:dyDescent="0.25">
      <c r="A33" s="70" t="s">
        <v>67</v>
      </c>
      <c r="E33" s="2">
        <f>E17</f>
        <v>9695964947.7388096</v>
      </c>
      <c r="T33" s="13"/>
      <c r="U33" s="48"/>
    </row>
    <row r="34" spans="1:21" x14ac:dyDescent="0.25">
      <c r="T34" s="13"/>
      <c r="U34" s="48"/>
    </row>
    <row r="35" spans="1:21" x14ac:dyDescent="0.25">
      <c r="A35" s="70" t="s">
        <v>68</v>
      </c>
      <c r="E35" s="2">
        <f>E21</f>
        <v>0</v>
      </c>
      <c r="T35" s="13"/>
      <c r="U35" s="48"/>
    </row>
    <row r="36" spans="1:21" x14ac:dyDescent="0.25">
      <c r="A36" s="61"/>
      <c r="T36" s="13"/>
      <c r="U36" s="48"/>
    </row>
    <row r="37" spans="1:21" x14ac:dyDescent="0.25">
      <c r="A37" s="70" t="s">
        <v>85</v>
      </c>
      <c r="E37" s="2">
        <f>E31</f>
        <v>10840241824.956097</v>
      </c>
      <c r="T37" s="13"/>
      <c r="U37" s="48"/>
    </row>
    <row r="38" spans="1:21" x14ac:dyDescent="0.25">
      <c r="A38" s="61"/>
      <c r="B38" s="59"/>
      <c r="C38" s="59"/>
      <c r="D38" s="62"/>
      <c r="E38" s="62"/>
      <c r="F38" s="61"/>
      <c r="G38" s="61"/>
      <c r="H38" s="61"/>
      <c r="I38" s="61"/>
      <c r="T38" s="13"/>
      <c r="U38" s="48"/>
    </row>
    <row r="39" spans="1:21" x14ac:dyDescent="0.25">
      <c r="A39" s="70" t="s">
        <v>21</v>
      </c>
      <c r="B39" s="59"/>
      <c r="C39" s="59"/>
      <c r="D39" s="62"/>
      <c r="E39" s="72">
        <f>SUM(E33:E37)</f>
        <v>20536206772.694908</v>
      </c>
      <c r="F39" s="61" t="s">
        <v>92</v>
      </c>
      <c r="G39" s="61"/>
      <c r="H39" s="61"/>
      <c r="I39" s="61"/>
      <c r="T39" s="13"/>
      <c r="U39" s="48"/>
    </row>
    <row r="40" spans="1:21" x14ac:dyDescent="0.25">
      <c r="A40" s="12"/>
      <c r="B40" s="59"/>
      <c r="C40" s="59"/>
      <c r="D40" s="62"/>
      <c r="E40" s="62"/>
      <c r="F40" s="61"/>
      <c r="G40" s="61"/>
      <c r="H40" s="61"/>
      <c r="I40" s="61"/>
      <c r="T40" s="13"/>
      <c r="U40" s="48"/>
    </row>
    <row r="41" spans="1:21" x14ac:dyDescent="0.25">
      <c r="A41" s="70" t="s">
        <v>83</v>
      </c>
      <c r="B41" s="74"/>
      <c r="C41" s="59"/>
      <c r="D41" s="62"/>
      <c r="E41" s="75">
        <f>+PMT(0.03375,50,-E33-E35,0)</f>
        <v>404101236.50414807</v>
      </c>
      <c r="F41" s="65" t="s">
        <v>84</v>
      </c>
      <c r="G41" s="61"/>
      <c r="H41" s="61"/>
      <c r="I41" s="61"/>
      <c r="T41" s="13"/>
      <c r="U41" s="48"/>
    </row>
    <row r="42" spans="1:21" x14ac:dyDescent="0.25">
      <c r="A42" s="61"/>
      <c r="B42" s="59"/>
      <c r="C42" s="59"/>
      <c r="D42" s="62"/>
      <c r="E42" s="62"/>
      <c r="G42" s="61"/>
      <c r="H42" s="61"/>
      <c r="I42" s="61"/>
      <c r="T42" s="13"/>
      <c r="U42" s="48"/>
    </row>
    <row r="43" spans="1:21" x14ac:dyDescent="0.25">
      <c r="A43" s="73" t="s">
        <v>23</v>
      </c>
      <c r="B43" s="81"/>
      <c r="C43" s="81"/>
      <c r="D43" s="62"/>
      <c r="E43" s="75">
        <f>+PMT(0.03375,50,-E37,0)</f>
        <v>451791559.58998471</v>
      </c>
      <c r="F43" s="65" t="s">
        <v>84</v>
      </c>
      <c r="G43" s="61"/>
      <c r="H43" s="61"/>
      <c r="I43" s="61"/>
      <c r="T43" s="13"/>
      <c r="U43" s="48"/>
    </row>
    <row r="44" spans="1:21" x14ac:dyDescent="0.25">
      <c r="A44" s="70"/>
      <c r="B44" s="59"/>
      <c r="C44" s="59"/>
      <c r="D44" s="62"/>
      <c r="E44" s="62"/>
      <c r="F44" s="61"/>
      <c r="G44" s="61"/>
      <c r="H44" s="61"/>
      <c r="I44" s="61"/>
      <c r="T44" s="13"/>
      <c r="U44" s="48"/>
    </row>
    <row r="45" spans="1:21" x14ac:dyDescent="0.25">
      <c r="A45" s="73" t="s">
        <v>88</v>
      </c>
      <c r="B45" s="61"/>
      <c r="C45" s="61"/>
      <c r="D45" s="61"/>
      <c r="E45" s="82">
        <v>94533.353149818984</v>
      </c>
      <c r="F45" s="61"/>
      <c r="G45" s="61"/>
      <c r="H45" s="61"/>
      <c r="I45" s="61"/>
      <c r="T45" s="13"/>
      <c r="U45" s="48"/>
    </row>
    <row r="46" spans="1:21" x14ac:dyDescent="0.25">
      <c r="A46" s="15"/>
      <c r="B46" s="10"/>
      <c r="C46" s="10"/>
      <c r="D46" s="11"/>
      <c r="E46" s="11"/>
      <c r="T46" s="13"/>
      <c r="U46" s="48"/>
    </row>
    <row r="47" spans="1:21" x14ac:dyDescent="0.25">
      <c r="A47" s="22" t="s">
        <v>87</v>
      </c>
      <c r="B47" s="10"/>
      <c r="C47" s="10"/>
      <c r="D47" s="11"/>
      <c r="E47" s="11">
        <f>+(E41+E43)/E45</f>
        <v>9053.8711214198756</v>
      </c>
      <c r="G47" s="83"/>
      <c r="H47" s="84"/>
      <c r="T47" s="13"/>
      <c r="U47" s="48"/>
    </row>
    <row r="48" spans="1:21" x14ac:dyDescent="0.25">
      <c r="T48" s="13"/>
      <c r="U48" s="48"/>
    </row>
    <row r="49" spans="20:21" x14ac:dyDescent="0.25">
      <c r="T49" s="13"/>
      <c r="U49" s="48"/>
    </row>
    <row r="50" spans="20:21" x14ac:dyDescent="0.25">
      <c r="T50" s="13"/>
      <c r="U50" s="48"/>
    </row>
    <row r="51" spans="20:21" x14ac:dyDescent="0.25">
      <c r="T51" s="13"/>
      <c r="U51" s="48"/>
    </row>
    <row r="52" spans="20:21" x14ac:dyDescent="0.25">
      <c r="T52" s="13"/>
      <c r="U52" s="48"/>
    </row>
    <row r="53" spans="20:21" x14ac:dyDescent="0.25">
      <c r="T53" s="13"/>
      <c r="U53" s="48"/>
    </row>
  </sheetData>
  <pageMargins left="0.7" right="0.7" top="0.75" bottom="0.75" header="0.3" footer="0.3"/>
  <pageSetup scale="64" orientation="landscape"/>
  <headerFooter>
    <oddFooter>&amp;LLA Basin Stormwater Conservation Study_Project Costs&amp;R&amp;D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9"/>
  <sheetViews>
    <sheetView view="pageLayout" topLeftCell="A4" zoomScaleNormal="100" workbookViewId="0">
      <selection activeCell="C23" sqref="C23"/>
    </sheetView>
  </sheetViews>
  <sheetFormatPr defaultRowHeight="13.2" x14ac:dyDescent="0.25"/>
  <cols>
    <col min="1" max="1" width="54" bestFit="1" customWidth="1"/>
    <col min="2" max="2" width="19" customWidth="1"/>
    <col min="4" max="4" width="56.109375" bestFit="1" customWidth="1"/>
    <col min="5" max="6" width="18.88671875" customWidth="1"/>
    <col min="7" max="7" width="17.88671875" customWidth="1"/>
    <col min="8" max="8" width="17.5546875" customWidth="1"/>
    <col min="9" max="9" width="24.33203125" customWidth="1"/>
    <col min="10" max="10" width="20.6640625" customWidth="1"/>
  </cols>
  <sheetData>
    <row r="1" spans="1:10" ht="17.399999999999999" x14ac:dyDescent="0.3">
      <c r="A1" s="64" t="s">
        <v>57</v>
      </c>
    </row>
    <row r="3" spans="1:10" x14ac:dyDescent="0.25">
      <c r="A3" s="54"/>
      <c r="B3" s="57" t="str">
        <f>'Complete Streets'!A5</f>
        <v>Complete Streets</v>
      </c>
    </row>
    <row r="5" spans="1:10" x14ac:dyDescent="0.25">
      <c r="A5" s="56" t="s">
        <v>53</v>
      </c>
      <c r="B5" s="48">
        <f>ROUND('Complete Streets'!E29/1000000,0)*1000000</f>
        <v>11958000000</v>
      </c>
      <c r="G5" s="57"/>
      <c r="H5" s="57"/>
      <c r="I5" s="57"/>
      <c r="J5" s="57"/>
    </row>
    <row r="6" spans="1:10" x14ac:dyDescent="0.25">
      <c r="A6" s="55"/>
      <c r="B6" s="13"/>
    </row>
    <row r="7" spans="1:10" x14ac:dyDescent="0.25">
      <c r="A7" s="56" t="s">
        <v>78</v>
      </c>
      <c r="B7" s="48">
        <f>ROUND('Complete Streets'!E23/1000000,0)*1000000</f>
        <v>5970000000</v>
      </c>
      <c r="G7" s="52"/>
      <c r="H7" s="52"/>
      <c r="I7" s="52"/>
      <c r="J7" s="52"/>
    </row>
    <row r="8" spans="1:10" x14ac:dyDescent="0.25">
      <c r="G8" s="13"/>
      <c r="H8" s="13"/>
      <c r="I8" s="13"/>
      <c r="J8" s="13"/>
    </row>
    <row r="9" spans="1:10" x14ac:dyDescent="0.25">
      <c r="A9" s="56" t="s">
        <v>79</v>
      </c>
      <c r="B9" s="48">
        <f>'Complete Streets'!E25</f>
        <v>0</v>
      </c>
      <c r="G9" s="48"/>
      <c r="H9" s="48"/>
      <c r="I9" s="48"/>
      <c r="J9" s="48"/>
    </row>
    <row r="10" spans="1:10" x14ac:dyDescent="0.25">
      <c r="G10" s="13"/>
      <c r="H10" s="13"/>
      <c r="I10" s="13"/>
      <c r="J10" s="13"/>
    </row>
    <row r="11" spans="1:10" x14ac:dyDescent="0.25">
      <c r="A11" s="56" t="s">
        <v>26</v>
      </c>
      <c r="B11" s="48">
        <f>ROUND('Complete Streets'!E33/1000000,0)*1000000</f>
        <v>250000000</v>
      </c>
      <c r="G11" s="48"/>
      <c r="H11" s="48"/>
      <c r="I11" s="48"/>
      <c r="J11" s="48"/>
    </row>
    <row r="12" spans="1:10" x14ac:dyDescent="0.25">
      <c r="A12" s="55"/>
      <c r="B12" s="13"/>
      <c r="G12" s="13"/>
      <c r="H12" s="13"/>
      <c r="I12" s="13"/>
      <c r="J12" s="13"/>
    </row>
    <row r="13" spans="1:10" x14ac:dyDescent="0.25">
      <c r="A13" s="56" t="s">
        <v>29</v>
      </c>
      <c r="B13" s="13">
        <v>0</v>
      </c>
      <c r="G13" s="13"/>
      <c r="H13" s="13"/>
      <c r="I13" s="13"/>
      <c r="J13" s="13"/>
    </row>
    <row r="14" spans="1:10" x14ac:dyDescent="0.25">
      <c r="A14" s="55"/>
      <c r="B14" s="13"/>
      <c r="G14" s="13"/>
      <c r="H14" s="13"/>
      <c r="I14" s="13"/>
      <c r="J14" s="13"/>
    </row>
    <row r="15" spans="1:10" x14ac:dyDescent="0.25">
      <c r="A15" s="56" t="s">
        <v>28</v>
      </c>
      <c r="B15" s="52">
        <v>0</v>
      </c>
      <c r="G15" s="52"/>
      <c r="H15" s="52"/>
      <c r="I15" s="52"/>
      <c r="J15" s="52"/>
    </row>
    <row r="16" spans="1:10" x14ac:dyDescent="0.25">
      <c r="A16" s="55"/>
      <c r="B16" s="52"/>
      <c r="G16" s="52"/>
      <c r="H16" s="52"/>
      <c r="I16" s="52"/>
      <c r="J16" s="52"/>
    </row>
    <row r="17" spans="1:10" x14ac:dyDescent="0.25">
      <c r="A17" s="56" t="s">
        <v>27</v>
      </c>
      <c r="B17" s="52">
        <v>0</v>
      </c>
      <c r="G17" s="52"/>
      <c r="H17" s="52"/>
      <c r="I17" s="52"/>
      <c r="J17" s="52"/>
    </row>
    <row r="18" spans="1:10" x14ac:dyDescent="0.25">
      <c r="A18" s="55"/>
      <c r="B18" s="13"/>
      <c r="G18" s="13"/>
      <c r="H18" s="13"/>
      <c r="I18" s="13"/>
      <c r="J18" s="13"/>
    </row>
    <row r="19" spans="1:10" x14ac:dyDescent="0.25">
      <c r="A19" s="99" t="s">
        <v>105</v>
      </c>
      <c r="B19" s="100">
        <v>25755.667777712602</v>
      </c>
    </row>
    <row r="20" spans="1:10" x14ac:dyDescent="0.25">
      <c r="A20" s="97"/>
      <c r="B20" s="96"/>
    </row>
    <row r="21" spans="1:10" x14ac:dyDescent="0.25">
      <c r="A21" s="6" t="s">
        <v>108</v>
      </c>
      <c r="B21" s="98">
        <f>ROUND(-PMT(0.03375,50,B5)/B19/100,0)*100</f>
        <v>19400</v>
      </c>
    </row>
    <row r="23" spans="1:10" x14ac:dyDescent="0.25">
      <c r="A23" s="99" t="s">
        <v>106</v>
      </c>
      <c r="B23" s="100">
        <f>'Complete Streets'!E35</f>
        <v>31476.646381659004</v>
      </c>
    </row>
    <row r="24" spans="1:10" x14ac:dyDescent="0.25">
      <c r="A24" s="15"/>
      <c r="B24" s="15"/>
    </row>
    <row r="25" spans="1:10" x14ac:dyDescent="0.25">
      <c r="A25" s="6" t="s">
        <v>108</v>
      </c>
      <c r="B25" s="101">
        <f>ROUND('Complete Streets'!E37/100,0)*100</f>
        <v>15800</v>
      </c>
    </row>
    <row r="27" spans="1:10" x14ac:dyDescent="0.25">
      <c r="A27" s="99" t="s">
        <v>107</v>
      </c>
      <c r="B27" s="100">
        <v>36909.194974145939</v>
      </c>
    </row>
    <row r="28" spans="1:10" x14ac:dyDescent="0.25">
      <c r="A28" s="15"/>
      <c r="B28" s="15"/>
    </row>
    <row r="29" spans="1:10" x14ac:dyDescent="0.25">
      <c r="A29" s="6" t="s">
        <v>108</v>
      </c>
      <c r="B29" s="98">
        <f>ROUND(-PMT(0.03375,50,B5)/B27/100,0)*100</f>
        <v>13500</v>
      </c>
    </row>
  </sheetData>
  <pageMargins left="0.7" right="0.7" top="0.75" bottom="0.75" header="0.3" footer="0.3"/>
  <pageSetup orientation="portrait"/>
  <headerFooter>
    <oddFooter>&amp;LLA Basin Stormwater Conservation Study_Project Costs&amp;R&amp;D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51"/>
  <sheetViews>
    <sheetView view="pageBreakPreview" zoomScale="80" zoomScaleNormal="100" zoomScaleSheetLayoutView="80" workbookViewId="0">
      <selection activeCell="F43" sqref="F43"/>
    </sheetView>
  </sheetViews>
  <sheetFormatPr defaultRowHeight="13.2" x14ac:dyDescent="0.25"/>
  <cols>
    <col min="1" max="1" width="54.6640625" customWidth="1"/>
    <col min="4" max="4" width="14.6640625" customWidth="1"/>
    <col min="5" max="5" width="16.88671875" customWidth="1"/>
    <col min="7" max="7" width="8.44140625" customWidth="1"/>
    <col min="9" max="9" width="10.109375" customWidth="1"/>
    <col min="10" max="12" width="0" hidden="1" customWidth="1"/>
    <col min="13" max="13" width="17" customWidth="1"/>
    <col min="14" max="14" width="14" customWidth="1"/>
    <col min="15" max="15" width="11.88671875" customWidth="1"/>
    <col min="16" max="16" width="14.44140625" customWidth="1"/>
    <col min="17" max="17" width="14.88671875" customWidth="1"/>
    <col min="20" max="20" width="15" customWidth="1"/>
    <col min="21" max="21" width="26.33203125" customWidth="1"/>
    <col min="23" max="23" width="28.6640625" customWidth="1"/>
  </cols>
  <sheetData>
    <row r="1" spans="1:21" x14ac:dyDescent="0.25">
      <c r="A1" s="1" t="s">
        <v>9</v>
      </c>
    </row>
    <row r="2" spans="1:21" x14ac:dyDescent="0.25">
      <c r="A2" s="1" t="s">
        <v>64</v>
      </c>
    </row>
    <row r="3" spans="1:21" x14ac:dyDescent="0.25">
      <c r="A3" s="16">
        <v>42276</v>
      </c>
    </row>
    <row r="5" spans="1:21" ht="13.8" thickBot="1" x14ac:dyDescent="0.3">
      <c r="A5" s="19" t="s">
        <v>48</v>
      </c>
      <c r="B5" s="20"/>
      <c r="C5" s="20"/>
      <c r="D5" s="20"/>
      <c r="E5" s="20"/>
    </row>
    <row r="6" spans="1:21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21" x14ac:dyDescent="0.25">
      <c r="A7" s="73" t="s">
        <v>0</v>
      </c>
      <c r="B7" s="76" t="s">
        <v>1</v>
      </c>
      <c r="C7" s="76" t="s">
        <v>2</v>
      </c>
      <c r="D7" s="77" t="s">
        <v>3</v>
      </c>
      <c r="E7" s="77" t="s">
        <v>4</v>
      </c>
      <c r="F7" s="61"/>
      <c r="G7" s="61"/>
      <c r="H7" s="61"/>
      <c r="I7" s="61"/>
    </row>
    <row r="8" spans="1:21" x14ac:dyDescent="0.25">
      <c r="A8" s="73"/>
      <c r="B8" s="73"/>
      <c r="C8" s="73"/>
      <c r="D8" s="78"/>
      <c r="E8" s="78"/>
      <c r="F8" s="61"/>
      <c r="G8" s="61"/>
      <c r="H8" s="61"/>
      <c r="I8" s="61"/>
    </row>
    <row r="9" spans="1:21" x14ac:dyDescent="0.25">
      <c r="A9" s="17" t="s">
        <v>32</v>
      </c>
      <c r="B9" s="7"/>
      <c r="C9" s="7"/>
      <c r="D9" s="8"/>
      <c r="E9" s="8"/>
      <c r="F9" s="61" t="s">
        <v>110</v>
      </c>
      <c r="G9" s="61"/>
      <c r="H9" s="61"/>
      <c r="I9" s="61"/>
    </row>
    <row r="10" spans="1:21" ht="12.75" customHeight="1" x14ac:dyDescent="0.25">
      <c r="A10" s="12" t="s">
        <v>46</v>
      </c>
      <c r="B10" s="60">
        <v>1209.6522228438489</v>
      </c>
      <c r="C10" s="10" t="s">
        <v>33</v>
      </c>
      <c r="D10" s="62">
        <f>(15.8*0.25+18*0.17+30*0.08+44.8*0.5)*43560</f>
        <v>1385643.5999999999</v>
      </c>
      <c r="E10" s="63">
        <f>+B10*D10</f>
        <v>1676146860.8093529</v>
      </c>
      <c r="F10" s="32" t="s">
        <v>111</v>
      </c>
      <c r="G10" s="61"/>
      <c r="H10" s="61"/>
      <c r="I10" s="61"/>
    </row>
    <row r="11" spans="1:21" x14ac:dyDescent="0.25">
      <c r="A11" s="12" t="s">
        <v>47</v>
      </c>
      <c r="B11" s="60">
        <v>3099.0555216473772</v>
      </c>
      <c r="C11" s="10" t="s">
        <v>33</v>
      </c>
      <c r="D11" s="62">
        <f>(15.8*0.25+18*0.17+30*0.08+44.8*0.5)*43560</f>
        <v>1385643.5999999999</v>
      </c>
      <c r="E11" s="63">
        <f>+B11*D11</f>
        <v>4294186449.6153493</v>
      </c>
      <c r="F11" s="32" t="s">
        <v>111</v>
      </c>
      <c r="G11" s="61"/>
      <c r="H11" s="61"/>
      <c r="I11" s="61"/>
      <c r="T11" s="32"/>
      <c r="U11" s="41"/>
    </row>
    <row r="12" spans="1:21" x14ac:dyDescent="0.25">
      <c r="A12" s="86" t="s">
        <v>6</v>
      </c>
      <c r="B12" s="87"/>
      <c r="C12" s="87"/>
      <c r="D12" s="39"/>
      <c r="E12" s="39">
        <f>SUM(E10:E11)</f>
        <v>5970333310.4247017</v>
      </c>
      <c r="G12" s="61"/>
      <c r="H12" s="61"/>
      <c r="I12" s="61"/>
      <c r="Q12" s="42"/>
      <c r="T12" s="13"/>
      <c r="U12" s="48"/>
    </row>
    <row r="13" spans="1:21" x14ac:dyDescent="0.25">
      <c r="A13" s="12"/>
      <c r="B13" s="60"/>
      <c r="C13" s="59"/>
      <c r="D13" s="62"/>
      <c r="E13" s="63"/>
      <c r="F13" s="65"/>
      <c r="G13" s="61"/>
      <c r="H13" s="61"/>
      <c r="I13" s="61"/>
      <c r="Q13" s="42"/>
      <c r="T13" s="13"/>
      <c r="U13" s="48"/>
    </row>
    <row r="14" spans="1:21" x14ac:dyDescent="0.25">
      <c r="A14" s="31" t="s">
        <v>66</v>
      </c>
      <c r="B14" s="67"/>
      <c r="C14" s="59"/>
      <c r="D14" s="62"/>
      <c r="E14" s="62"/>
      <c r="T14" s="13"/>
      <c r="U14" s="48"/>
    </row>
    <row r="15" spans="1:21" x14ac:dyDescent="0.25">
      <c r="A15" s="18" t="s">
        <v>15</v>
      </c>
      <c r="B15" s="58">
        <v>0</v>
      </c>
      <c r="C15" s="29" t="s">
        <v>11</v>
      </c>
      <c r="D15" s="30">
        <v>500000</v>
      </c>
      <c r="E15" s="30">
        <f t="shared" ref="E15" si="0">+B15*D15</f>
        <v>0</v>
      </c>
      <c r="F15" s="32" t="s">
        <v>82</v>
      </c>
      <c r="G15" s="42"/>
      <c r="J15" s="61"/>
      <c r="K15" s="61"/>
      <c r="L15" s="61"/>
      <c r="T15" s="13"/>
      <c r="U15" s="48"/>
    </row>
    <row r="16" spans="1:21" x14ac:dyDescent="0.25">
      <c r="A16" s="61" t="s">
        <v>6</v>
      </c>
      <c r="B16" s="68"/>
      <c r="C16" s="68"/>
      <c r="D16" s="63"/>
      <c r="E16" s="63">
        <f>SUM(E15:E15)</f>
        <v>0</v>
      </c>
      <c r="G16" s="42"/>
      <c r="T16" s="13"/>
      <c r="U16" s="48"/>
    </row>
    <row r="17" spans="1:21" x14ac:dyDescent="0.25">
      <c r="T17" s="13"/>
      <c r="U17" s="48"/>
    </row>
    <row r="18" spans="1:21" x14ac:dyDescent="0.25">
      <c r="A18" s="94" t="s">
        <v>89</v>
      </c>
      <c r="B18" s="80"/>
      <c r="C18" s="80"/>
      <c r="D18" s="69"/>
      <c r="E18" s="69"/>
      <c r="F18" s="61" t="s">
        <v>110</v>
      </c>
      <c r="G18" s="61"/>
      <c r="H18" s="61"/>
      <c r="T18" s="13"/>
      <c r="U18" s="48"/>
    </row>
    <row r="19" spans="1:21" x14ac:dyDescent="0.25">
      <c r="A19" s="12" t="s">
        <v>46</v>
      </c>
      <c r="B19" s="60">
        <v>1209.6522228438489</v>
      </c>
      <c r="C19" s="10" t="s">
        <v>33</v>
      </c>
      <c r="D19" s="62">
        <f>(16.8*0.25+21.3*0.17+46*0.08+40.8*0.5)*43560</f>
        <v>1389607.56</v>
      </c>
      <c r="E19" s="63">
        <f>+B19*D19</f>
        <v>1680941873.8346171</v>
      </c>
      <c r="F19" s="32" t="s">
        <v>111</v>
      </c>
      <c r="G19" s="61"/>
      <c r="H19" s="61"/>
      <c r="T19" s="13"/>
      <c r="U19" s="48"/>
    </row>
    <row r="20" spans="1:21" x14ac:dyDescent="0.25">
      <c r="A20" s="12" t="s">
        <v>47</v>
      </c>
      <c r="B20" s="60">
        <v>3099.0555216473772</v>
      </c>
      <c r="C20" s="10" t="s">
        <v>33</v>
      </c>
      <c r="D20" s="62">
        <f>(16.8*0.25+21.3*0.17+46*0.08+40.8*0.5)*43560</f>
        <v>1389607.56</v>
      </c>
      <c r="E20" s="63">
        <f>+B20*D20</f>
        <v>4306470981.7409391</v>
      </c>
      <c r="F20" s="32" t="s">
        <v>111</v>
      </c>
      <c r="G20" s="61"/>
      <c r="H20" s="61"/>
      <c r="T20" s="13"/>
      <c r="U20" s="48"/>
    </row>
    <row r="21" spans="1:21" x14ac:dyDescent="0.25">
      <c r="A21" s="91" t="s">
        <v>6</v>
      </c>
      <c r="B21" s="92"/>
      <c r="C21" s="92"/>
      <c r="D21" s="93"/>
      <c r="E21" s="93">
        <f>SUM(E19:E20)</f>
        <v>5987412855.5755558</v>
      </c>
      <c r="F21" s="65" t="s">
        <v>91</v>
      </c>
      <c r="T21" s="13"/>
      <c r="U21" s="48"/>
    </row>
    <row r="22" spans="1:21" x14ac:dyDescent="0.25">
      <c r="T22" s="13"/>
      <c r="U22" s="48"/>
    </row>
    <row r="23" spans="1:21" x14ac:dyDescent="0.25">
      <c r="A23" s="70" t="s">
        <v>67</v>
      </c>
      <c r="E23" s="2">
        <f>E12</f>
        <v>5970333310.4247017</v>
      </c>
      <c r="T23" s="13"/>
      <c r="U23" s="48"/>
    </row>
    <row r="24" spans="1:21" x14ac:dyDescent="0.25">
      <c r="T24" s="13"/>
      <c r="U24" s="48"/>
    </row>
    <row r="25" spans="1:21" x14ac:dyDescent="0.25">
      <c r="A25" s="70" t="s">
        <v>68</v>
      </c>
      <c r="E25" s="2">
        <f>E16</f>
        <v>0</v>
      </c>
      <c r="T25" s="13"/>
      <c r="U25" s="48"/>
    </row>
    <row r="26" spans="1:21" x14ac:dyDescent="0.25">
      <c r="A26" s="61"/>
      <c r="T26" s="13"/>
      <c r="U26" s="48"/>
    </row>
    <row r="27" spans="1:21" x14ac:dyDescent="0.25">
      <c r="A27" s="70" t="s">
        <v>85</v>
      </c>
      <c r="E27" s="2">
        <f>E21</f>
        <v>5987412855.5755558</v>
      </c>
      <c r="T27" s="13"/>
      <c r="U27" s="48"/>
    </row>
    <row r="28" spans="1:21" x14ac:dyDescent="0.25">
      <c r="A28" s="61"/>
      <c r="B28" s="59"/>
      <c r="C28" s="59"/>
      <c r="D28" s="62"/>
      <c r="E28" s="62"/>
      <c r="F28" s="61"/>
      <c r="G28" s="61"/>
      <c r="H28" s="61"/>
      <c r="I28" s="61"/>
      <c r="T28" s="13"/>
      <c r="U28" s="48"/>
    </row>
    <row r="29" spans="1:21" x14ac:dyDescent="0.25">
      <c r="A29" s="70" t="s">
        <v>21</v>
      </c>
      <c r="B29" s="59"/>
      <c r="C29" s="59"/>
      <c r="D29" s="62"/>
      <c r="E29" s="72">
        <f>SUM(E23:E27)</f>
        <v>11957746166.000257</v>
      </c>
      <c r="F29" s="61" t="s">
        <v>92</v>
      </c>
      <c r="G29" s="61"/>
      <c r="H29" s="61"/>
      <c r="I29" s="61"/>
      <c r="Q29" s="42"/>
      <c r="T29" s="13"/>
      <c r="U29" s="48"/>
    </row>
    <row r="30" spans="1:21" x14ac:dyDescent="0.25">
      <c r="A30" s="12"/>
      <c r="B30" s="59"/>
      <c r="C30" s="59"/>
      <c r="D30" s="62"/>
      <c r="E30" s="62"/>
      <c r="F30" s="61"/>
      <c r="G30" s="61"/>
      <c r="H30" s="61"/>
      <c r="I30" s="61"/>
      <c r="T30" s="13"/>
      <c r="U30" s="48"/>
    </row>
    <row r="31" spans="1:21" x14ac:dyDescent="0.25">
      <c r="A31" s="70" t="s">
        <v>83</v>
      </c>
      <c r="B31" s="74"/>
      <c r="C31" s="59"/>
      <c r="D31" s="62"/>
      <c r="E31" s="75">
        <f>+PMT(0.03375,50,-E23-E25,0)</f>
        <v>248827124.07568792</v>
      </c>
      <c r="F31" s="65" t="s">
        <v>84</v>
      </c>
      <c r="G31" s="61"/>
      <c r="H31" s="61"/>
      <c r="I31" s="61"/>
      <c r="T31" s="13"/>
      <c r="U31" s="48"/>
    </row>
    <row r="32" spans="1:21" x14ac:dyDescent="0.25">
      <c r="A32" s="61"/>
      <c r="B32" s="59"/>
      <c r="C32" s="59"/>
      <c r="D32" s="62"/>
      <c r="E32" s="62"/>
      <c r="G32" s="61"/>
      <c r="H32" s="61"/>
      <c r="I32" s="61"/>
      <c r="T32" s="13"/>
      <c r="U32" s="48"/>
    </row>
    <row r="33" spans="1:21" x14ac:dyDescent="0.25">
      <c r="A33" s="73" t="s">
        <v>23</v>
      </c>
      <c r="B33" s="81"/>
      <c r="C33" s="81"/>
      <c r="D33" s="62"/>
      <c r="E33" s="75">
        <f>+PMT(0.03375,50,-E27,0)</f>
        <v>249538952.69218865</v>
      </c>
      <c r="F33" s="65" t="s">
        <v>84</v>
      </c>
      <c r="G33" s="61"/>
      <c r="H33" s="61"/>
      <c r="I33" s="61"/>
      <c r="T33" s="13"/>
      <c r="U33" s="48"/>
    </row>
    <row r="34" spans="1:21" x14ac:dyDescent="0.25">
      <c r="A34" s="70"/>
      <c r="B34" s="59"/>
      <c r="C34" s="59"/>
      <c r="D34" s="62"/>
      <c r="E34" s="62"/>
      <c r="F34" s="61"/>
      <c r="G34" s="61"/>
      <c r="H34" s="61"/>
      <c r="I34" s="61"/>
      <c r="T34" s="13"/>
      <c r="U34" s="48"/>
    </row>
    <row r="35" spans="1:21" x14ac:dyDescent="0.25">
      <c r="A35" s="73" t="s">
        <v>109</v>
      </c>
      <c r="B35" s="61"/>
      <c r="C35" s="61"/>
      <c r="D35" s="61"/>
      <c r="E35" s="82">
        <v>31476.646381659004</v>
      </c>
      <c r="F35" s="61"/>
      <c r="G35" s="61"/>
      <c r="H35" s="61"/>
      <c r="I35" s="61"/>
      <c r="T35" s="13"/>
      <c r="U35" s="48"/>
    </row>
    <row r="36" spans="1:21" x14ac:dyDescent="0.25">
      <c r="A36" s="15"/>
      <c r="B36" s="10"/>
      <c r="C36" s="10"/>
      <c r="D36" s="11"/>
      <c r="E36" s="11"/>
      <c r="T36" s="13"/>
      <c r="U36" s="48"/>
    </row>
    <row r="37" spans="1:21" x14ac:dyDescent="0.25">
      <c r="A37" s="22" t="s">
        <v>87</v>
      </c>
      <c r="B37" s="10"/>
      <c r="C37" s="10"/>
      <c r="D37" s="11"/>
      <c r="E37" s="11">
        <f>+(E31+E33)/E35</f>
        <v>15832.883551986892</v>
      </c>
      <c r="G37" s="83"/>
      <c r="H37" s="84"/>
      <c r="T37" s="13"/>
      <c r="U37" s="48"/>
    </row>
    <row r="38" spans="1:21" x14ac:dyDescent="0.25">
      <c r="T38" s="13"/>
      <c r="U38" s="48"/>
    </row>
    <row r="39" spans="1:21" x14ac:dyDescent="0.25">
      <c r="T39" s="13"/>
      <c r="U39" s="48"/>
    </row>
    <row r="40" spans="1:21" x14ac:dyDescent="0.25">
      <c r="T40" s="13"/>
      <c r="U40" s="48"/>
    </row>
    <row r="41" spans="1:21" x14ac:dyDescent="0.25">
      <c r="T41" s="13"/>
      <c r="U41" s="48"/>
    </row>
    <row r="42" spans="1:21" x14ac:dyDescent="0.25">
      <c r="T42" s="13"/>
      <c r="U42" s="48"/>
    </row>
    <row r="43" spans="1:21" x14ac:dyDescent="0.25">
      <c r="T43" s="13"/>
      <c r="U43" s="48"/>
    </row>
    <row r="44" spans="1:21" x14ac:dyDescent="0.25">
      <c r="T44" s="13"/>
      <c r="U44" s="48"/>
    </row>
    <row r="45" spans="1:21" x14ac:dyDescent="0.25">
      <c r="T45" s="13"/>
      <c r="U45" s="48"/>
    </row>
    <row r="46" spans="1:21" x14ac:dyDescent="0.25">
      <c r="T46" s="13"/>
      <c r="U46" s="48"/>
    </row>
    <row r="47" spans="1:21" x14ac:dyDescent="0.25">
      <c r="T47" s="13"/>
      <c r="U47" s="48"/>
    </row>
    <row r="48" spans="1:21" x14ac:dyDescent="0.25">
      <c r="T48" s="13"/>
      <c r="U48" s="48"/>
    </row>
    <row r="49" spans="20:21" x14ac:dyDescent="0.25">
      <c r="T49" s="13"/>
      <c r="U49" s="48"/>
    </row>
    <row r="50" spans="20:21" x14ac:dyDescent="0.25">
      <c r="T50" s="13"/>
      <c r="U50" s="48"/>
    </row>
    <row r="51" spans="20:21" x14ac:dyDescent="0.25">
      <c r="T51" s="13"/>
      <c r="U51" s="48"/>
    </row>
  </sheetData>
  <pageMargins left="0.7" right="0.7" top="0.75" bottom="0.75" header="0.3" footer="0.3"/>
  <pageSetup scale="63" orientation="landscape"/>
  <headerFooter>
    <oddFooter>&amp;LLA Basin Stormwater Conservation Study_Project Costs&amp;R&amp;D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1"/>
  <sheetViews>
    <sheetView view="pageLayout" zoomScaleNormal="100" workbookViewId="0">
      <selection activeCell="B32" sqref="B32"/>
    </sheetView>
  </sheetViews>
  <sheetFormatPr defaultRowHeight="13.2" x14ac:dyDescent="0.25"/>
  <cols>
    <col min="1" max="1" width="54" bestFit="1" customWidth="1"/>
    <col min="2" max="2" width="19" customWidth="1"/>
    <col min="4" max="4" width="56.109375" bestFit="1" customWidth="1"/>
    <col min="5" max="6" width="18.88671875" customWidth="1"/>
    <col min="7" max="7" width="17.88671875" customWidth="1"/>
    <col min="8" max="8" width="17.5546875" customWidth="1"/>
    <col min="9" max="9" width="24.33203125" customWidth="1"/>
    <col min="10" max="10" width="20.6640625" customWidth="1"/>
  </cols>
  <sheetData>
    <row r="1" spans="1:10" ht="17.399999999999999" x14ac:dyDescent="0.3">
      <c r="A1" s="64" t="s">
        <v>58</v>
      </c>
    </row>
    <row r="3" spans="1:10" x14ac:dyDescent="0.25">
      <c r="A3" s="54"/>
      <c r="B3" s="57" t="str">
        <f>'Stormwater Policies'!A5</f>
        <v>Stormwater Policies</v>
      </c>
    </row>
    <row r="5" spans="1:10" x14ac:dyDescent="0.25">
      <c r="G5" s="57"/>
      <c r="H5" s="57"/>
      <c r="I5" s="57"/>
      <c r="J5" s="57"/>
    </row>
    <row r="6" spans="1:10" x14ac:dyDescent="0.25">
      <c r="A6" s="55"/>
      <c r="B6" s="13"/>
    </row>
    <row r="7" spans="1:10" x14ac:dyDescent="0.25">
      <c r="A7" s="56" t="s">
        <v>53</v>
      </c>
      <c r="B7" s="48">
        <f>ROUND('Stormwater Policies'!E43/1000000,0)*1000000</f>
        <v>42320000000</v>
      </c>
      <c r="G7" s="52"/>
      <c r="H7" s="52"/>
      <c r="I7" s="52"/>
      <c r="J7" s="52"/>
    </row>
    <row r="8" spans="1:10" x14ac:dyDescent="0.25">
      <c r="A8" s="55"/>
      <c r="B8" s="13"/>
      <c r="G8" s="13"/>
      <c r="H8" s="13"/>
      <c r="I8" s="13"/>
      <c r="J8" s="13"/>
    </row>
    <row r="9" spans="1:10" x14ac:dyDescent="0.25">
      <c r="A9" s="56" t="s">
        <v>78</v>
      </c>
      <c r="B9" s="48">
        <f>ROUND('Stormwater Policies'!E37/1000000,0)*1000000</f>
        <v>20443000000</v>
      </c>
      <c r="G9" s="48"/>
      <c r="H9" s="48"/>
      <c r="I9" s="48"/>
      <c r="J9" s="48"/>
    </row>
    <row r="10" spans="1:10" x14ac:dyDescent="0.25">
      <c r="G10" s="13"/>
      <c r="H10" s="13"/>
      <c r="I10" s="13"/>
      <c r="J10" s="13"/>
    </row>
    <row r="11" spans="1:10" x14ac:dyDescent="0.25">
      <c r="A11" s="56" t="s">
        <v>79</v>
      </c>
      <c r="B11" s="48">
        <f>'Stormwater Policies'!E39</f>
        <v>0</v>
      </c>
      <c r="G11" s="48"/>
      <c r="H11" s="48"/>
      <c r="I11" s="48"/>
      <c r="J11" s="48"/>
    </row>
    <row r="12" spans="1:10" x14ac:dyDescent="0.25">
      <c r="G12" s="13"/>
      <c r="H12" s="13"/>
      <c r="I12" s="13"/>
      <c r="J12" s="13"/>
    </row>
    <row r="13" spans="1:10" x14ac:dyDescent="0.25">
      <c r="A13" s="56" t="s">
        <v>26</v>
      </c>
      <c r="B13" s="48">
        <f>ROUND('Stormwater Policies'!E47/1000000,0)*1000000</f>
        <v>912000000</v>
      </c>
      <c r="G13" s="13"/>
      <c r="H13" s="13"/>
      <c r="I13" s="13"/>
      <c r="J13" s="13"/>
    </row>
    <row r="14" spans="1:10" x14ac:dyDescent="0.25">
      <c r="A14" s="55"/>
      <c r="B14" s="13"/>
      <c r="G14" s="13"/>
      <c r="H14" s="13"/>
      <c r="I14" s="13"/>
      <c r="J14" s="13"/>
    </row>
    <row r="15" spans="1:10" x14ac:dyDescent="0.25">
      <c r="A15" s="56" t="s">
        <v>29</v>
      </c>
      <c r="B15" s="13">
        <v>0</v>
      </c>
      <c r="G15" s="52"/>
      <c r="H15" s="52"/>
      <c r="I15" s="52"/>
      <c r="J15" s="52"/>
    </row>
    <row r="16" spans="1:10" x14ac:dyDescent="0.25">
      <c r="A16" s="55"/>
      <c r="B16" s="13"/>
      <c r="G16" s="52"/>
      <c r="H16" s="52"/>
      <c r="I16" s="52"/>
      <c r="J16" s="52"/>
    </row>
    <row r="17" spans="1:10" x14ac:dyDescent="0.25">
      <c r="A17" s="56" t="s">
        <v>28</v>
      </c>
      <c r="B17" s="52">
        <v>0</v>
      </c>
      <c r="G17" s="52"/>
      <c r="H17" s="52"/>
      <c r="I17" s="52"/>
      <c r="J17" s="52"/>
    </row>
    <row r="18" spans="1:10" x14ac:dyDescent="0.25">
      <c r="A18" s="55"/>
      <c r="B18" s="52"/>
      <c r="G18" s="13"/>
      <c r="H18" s="13"/>
      <c r="I18" s="13"/>
      <c r="J18" s="13"/>
    </row>
    <row r="19" spans="1:10" x14ac:dyDescent="0.25">
      <c r="A19" s="56" t="s">
        <v>27</v>
      </c>
      <c r="B19" s="52">
        <v>0</v>
      </c>
      <c r="G19" s="48"/>
      <c r="H19" s="48"/>
      <c r="I19" s="48"/>
      <c r="J19" s="48"/>
    </row>
    <row r="20" spans="1:10" x14ac:dyDescent="0.25">
      <c r="A20" s="55"/>
      <c r="B20" s="13"/>
    </row>
    <row r="21" spans="1:10" x14ac:dyDescent="0.25">
      <c r="A21" s="99" t="s">
        <v>25</v>
      </c>
      <c r="B21" s="100">
        <v>153072.93714790989</v>
      </c>
    </row>
    <row r="22" spans="1:10" x14ac:dyDescent="0.25">
      <c r="A22" s="15"/>
      <c r="B22" s="15"/>
    </row>
    <row r="23" spans="1:10" x14ac:dyDescent="0.25">
      <c r="A23" s="6" t="s">
        <v>90</v>
      </c>
      <c r="B23" s="101">
        <f>ROUND(-PMT(0.03375,50,$B$7)/B21/100,0)*100</f>
        <v>11500</v>
      </c>
    </row>
    <row r="25" spans="1:10" x14ac:dyDescent="0.25">
      <c r="A25" s="99" t="s">
        <v>25</v>
      </c>
      <c r="B25" s="100">
        <f>'Stormwater Policies'!E49</f>
        <v>191096.06527219637</v>
      </c>
    </row>
    <row r="26" spans="1:10" x14ac:dyDescent="0.25">
      <c r="A26" s="15"/>
      <c r="B26" s="15"/>
    </row>
    <row r="27" spans="1:10" x14ac:dyDescent="0.25">
      <c r="A27" s="6" t="s">
        <v>90</v>
      </c>
      <c r="B27" s="101">
        <f>ROUND('Stormwater Policies'!E51/100,0)*100</f>
        <v>9200</v>
      </c>
    </row>
    <row r="29" spans="1:10" x14ac:dyDescent="0.25">
      <c r="A29" s="99" t="s">
        <v>25</v>
      </c>
      <c r="B29" s="100">
        <v>225800.46718867513</v>
      </c>
    </row>
    <row r="30" spans="1:10" x14ac:dyDescent="0.25">
      <c r="A30" s="15"/>
      <c r="B30" s="15"/>
    </row>
    <row r="31" spans="1:10" x14ac:dyDescent="0.25">
      <c r="A31" s="6" t="s">
        <v>90</v>
      </c>
      <c r="B31" s="101">
        <f>ROUND(-PMT(0.03375,50,$B$7)/B29/100,0)*100</f>
        <v>7800</v>
      </c>
    </row>
  </sheetData>
  <pageMargins left="0.7" right="0.7" top="0.75" bottom="0.75" header="0.3" footer="0.3"/>
  <pageSetup orientation="portrait"/>
  <headerFooter>
    <oddFooter>&amp;LLA Basin Stormwater Conservation Study_Project Costs&amp;R&amp;D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51"/>
  <sheetViews>
    <sheetView view="pageBreakPreview" topLeftCell="A22" zoomScaleNormal="100" zoomScaleSheetLayoutView="100" workbookViewId="0">
      <selection activeCell="E51" sqref="E51"/>
    </sheetView>
  </sheetViews>
  <sheetFormatPr defaultRowHeight="13.2" x14ac:dyDescent="0.25"/>
  <cols>
    <col min="1" max="1" width="54.6640625" customWidth="1"/>
    <col min="4" max="4" width="14.6640625" customWidth="1"/>
    <col min="5" max="5" width="16.88671875" customWidth="1"/>
    <col min="7" max="7" width="8.44140625" customWidth="1"/>
    <col min="9" max="9" width="10.109375" customWidth="1"/>
    <col min="10" max="12" width="0" hidden="1" customWidth="1"/>
    <col min="13" max="13" width="17" customWidth="1"/>
    <col min="14" max="14" width="14" customWidth="1"/>
    <col min="15" max="15" width="11.88671875" customWidth="1"/>
    <col min="16" max="16" width="15.33203125" customWidth="1"/>
    <col min="17" max="17" width="14.88671875" customWidth="1"/>
    <col min="20" max="20" width="15" customWidth="1"/>
    <col min="21" max="21" width="26.33203125" customWidth="1"/>
    <col min="23" max="23" width="28.6640625" customWidth="1"/>
  </cols>
  <sheetData>
    <row r="1" spans="1:21" x14ac:dyDescent="0.25">
      <c r="A1" s="1" t="s">
        <v>9</v>
      </c>
    </row>
    <row r="2" spans="1:21" x14ac:dyDescent="0.25">
      <c r="A2" s="1" t="s">
        <v>64</v>
      </c>
    </row>
    <row r="3" spans="1:21" x14ac:dyDescent="0.25">
      <c r="A3" s="16">
        <v>42277</v>
      </c>
    </row>
    <row r="5" spans="1:21" ht="13.8" thickBot="1" x14ac:dyDescent="0.3">
      <c r="A5" s="19" t="s">
        <v>51</v>
      </c>
      <c r="B5" s="20"/>
      <c r="C5" s="20"/>
      <c r="D5" s="20"/>
      <c r="E5" s="20"/>
    </row>
    <row r="6" spans="1:21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21" x14ac:dyDescent="0.25">
      <c r="A7" s="73" t="s">
        <v>0</v>
      </c>
      <c r="B7" s="76" t="s">
        <v>1</v>
      </c>
      <c r="C7" s="76" t="s">
        <v>2</v>
      </c>
      <c r="D7" s="77" t="s">
        <v>3</v>
      </c>
      <c r="E7" s="77" t="s">
        <v>4</v>
      </c>
      <c r="F7" s="61"/>
      <c r="G7" s="61"/>
      <c r="H7" s="61"/>
      <c r="I7" s="61"/>
    </row>
    <row r="8" spans="1:21" x14ac:dyDescent="0.25">
      <c r="A8" s="73"/>
      <c r="B8" s="73"/>
      <c r="C8" s="73"/>
      <c r="D8" s="78"/>
      <c r="E8" s="78"/>
      <c r="F8" s="61"/>
      <c r="G8" s="61"/>
      <c r="H8" s="61"/>
      <c r="I8" s="61"/>
    </row>
    <row r="9" spans="1:21" x14ac:dyDescent="0.25">
      <c r="A9" s="17" t="s">
        <v>32</v>
      </c>
      <c r="B9" s="7"/>
      <c r="C9" s="7"/>
      <c r="D9" s="8"/>
      <c r="E9" s="8"/>
      <c r="F9" s="61" t="s">
        <v>110</v>
      </c>
      <c r="G9" s="61"/>
      <c r="H9" s="61"/>
      <c r="I9" s="61"/>
    </row>
    <row r="10" spans="1:21" ht="12.75" customHeight="1" x14ac:dyDescent="0.25">
      <c r="A10" s="9" t="s">
        <v>93</v>
      </c>
      <c r="B10" s="60">
        <v>2363.5352586656622</v>
      </c>
      <c r="C10" s="10" t="s">
        <v>33</v>
      </c>
      <c r="D10" s="11">
        <f>(41.25*0.25+18*0.4+22.1875*0.35)*43560</f>
        <v>1101115.125</v>
      </c>
      <c r="E10" s="2">
        <f>+B10*D10</f>
        <v>2602524421.7875481</v>
      </c>
      <c r="F10" t="s">
        <v>37</v>
      </c>
      <c r="G10" s="61"/>
      <c r="H10" s="61"/>
      <c r="I10" s="61"/>
    </row>
    <row r="11" spans="1:21" x14ac:dyDescent="0.25">
      <c r="A11" s="9" t="s">
        <v>94</v>
      </c>
      <c r="B11" s="60">
        <v>50.234402199734411</v>
      </c>
      <c r="C11" s="10" t="s">
        <v>33</v>
      </c>
      <c r="D11" s="11">
        <f>(41.25*0.17+18*0.4+22.1875*0.43)*43560</f>
        <v>1034686.125</v>
      </c>
      <c r="E11" s="2">
        <f>+B11*D11</f>
        <v>51976838.953734674</v>
      </c>
      <c r="F11" s="32" t="s">
        <v>39</v>
      </c>
      <c r="G11" s="61"/>
      <c r="H11" s="61"/>
      <c r="I11" s="61"/>
      <c r="T11" s="32"/>
      <c r="U11" s="41"/>
    </row>
    <row r="12" spans="1:21" x14ac:dyDescent="0.25">
      <c r="A12" s="9" t="s">
        <v>95</v>
      </c>
      <c r="B12" s="60">
        <v>8.0393754628760075</v>
      </c>
      <c r="C12" s="10" t="s">
        <v>33</v>
      </c>
      <c r="D12" s="11">
        <f>(41.25*0.17+18*0.4+22.1875*0.43)*43560</f>
        <v>1034686.125</v>
      </c>
      <c r="E12" s="2">
        <f t="shared" ref="E12:E15" si="0">+B12*D12</f>
        <v>8318230.2451032577</v>
      </c>
      <c r="F12" s="32" t="s">
        <v>39</v>
      </c>
      <c r="G12" s="61"/>
      <c r="H12" s="61"/>
      <c r="I12" s="61"/>
      <c r="T12" s="32"/>
      <c r="U12" s="41"/>
    </row>
    <row r="13" spans="1:21" x14ac:dyDescent="0.25">
      <c r="A13" s="9" t="s">
        <v>96</v>
      </c>
      <c r="B13" s="60">
        <v>1328.2097167428904</v>
      </c>
      <c r="C13" s="10" t="s">
        <v>33</v>
      </c>
      <c r="D13" s="11">
        <f>(41.25*0.25+18*0.4+22.1875*0.35)*43560</f>
        <v>1101115.125</v>
      </c>
      <c r="E13" s="2">
        <f t="shared" si="0"/>
        <v>1462511808.2775624</v>
      </c>
      <c r="F13" t="s">
        <v>37</v>
      </c>
      <c r="G13" s="61"/>
      <c r="H13" s="61"/>
      <c r="I13" s="61"/>
      <c r="Q13" s="42"/>
      <c r="T13" s="13"/>
      <c r="U13" s="48"/>
    </row>
    <row r="14" spans="1:21" x14ac:dyDescent="0.25">
      <c r="A14" s="12" t="s">
        <v>97</v>
      </c>
      <c r="B14" s="60">
        <v>1889.1709241930546</v>
      </c>
      <c r="C14" s="10" t="s">
        <v>33</v>
      </c>
      <c r="D14" s="11">
        <f>(41.25*0.22+30*0.45+22.1875*0.33)*43560</f>
        <v>1302307.875</v>
      </c>
      <c r="E14" s="2">
        <f t="shared" si="0"/>
        <v>2460282171.7976432</v>
      </c>
      <c r="F14" s="32" t="s">
        <v>43</v>
      </c>
      <c r="G14" s="61"/>
      <c r="H14" s="61"/>
      <c r="I14" s="61"/>
      <c r="Q14" s="42"/>
      <c r="T14" s="13"/>
      <c r="U14" s="48"/>
    </row>
    <row r="15" spans="1:21" x14ac:dyDescent="0.25">
      <c r="A15" s="12" t="s">
        <v>98</v>
      </c>
      <c r="B15" s="60">
        <v>1916.0447886555203</v>
      </c>
      <c r="C15" s="10" t="s">
        <v>33</v>
      </c>
      <c r="D15" s="11">
        <f>(41.25*0.02+30*0.03+22.1875*0.47+18*0.48)*43560</f>
        <v>905748.52500000002</v>
      </c>
      <c r="E15" s="2">
        <f t="shared" si="0"/>
        <v>1735454741.1586742</v>
      </c>
      <c r="F15" s="32" t="s">
        <v>45</v>
      </c>
      <c r="G15" s="61"/>
      <c r="H15" s="61"/>
      <c r="I15" s="61"/>
      <c r="T15" s="13"/>
      <c r="U15" s="48"/>
    </row>
    <row r="16" spans="1:21" x14ac:dyDescent="0.25">
      <c r="A16" s="12" t="s">
        <v>99</v>
      </c>
      <c r="B16" s="60">
        <v>3510.6760311032335</v>
      </c>
      <c r="C16" s="59" t="s">
        <v>33</v>
      </c>
      <c r="D16" s="62">
        <f>(41.25*0.25+30*0.45+22.1875*0.3)*43560</f>
        <v>1327218.75</v>
      </c>
      <c r="E16" s="63">
        <f>+B16*D16</f>
        <v>4659435053.6557951</v>
      </c>
      <c r="F16" s="32" t="s">
        <v>50</v>
      </c>
      <c r="G16" s="61"/>
      <c r="H16" s="61"/>
      <c r="I16" s="61"/>
      <c r="J16" s="61"/>
      <c r="K16" s="61"/>
      <c r="L16" s="61"/>
      <c r="T16" s="13"/>
      <c r="U16" s="48"/>
    </row>
    <row r="17" spans="1:21" x14ac:dyDescent="0.25">
      <c r="A17" s="12" t="s">
        <v>100</v>
      </c>
      <c r="B17" s="60">
        <v>1512.0652785548136</v>
      </c>
      <c r="C17" s="10" t="s">
        <v>33</v>
      </c>
      <c r="D17" s="62">
        <f>(15.8*0.25+18*0.17+30*0.08+44.8*0.5)*43560</f>
        <v>1385643.5999999999</v>
      </c>
      <c r="E17" s="2">
        <f>+B17*D17</f>
        <v>2095183576.0116944</v>
      </c>
      <c r="F17" s="32" t="s">
        <v>111</v>
      </c>
      <c r="G17" s="61"/>
      <c r="H17" s="61"/>
      <c r="I17" s="61"/>
      <c r="T17" s="13"/>
      <c r="U17" s="48"/>
    </row>
    <row r="18" spans="1:21" x14ac:dyDescent="0.25">
      <c r="A18" s="12" t="s">
        <v>101</v>
      </c>
      <c r="B18" s="60">
        <v>3873.8194020592177</v>
      </c>
      <c r="C18" s="10" t="s">
        <v>33</v>
      </c>
      <c r="D18" s="62">
        <f>(15.8*0.25+18*0.17+30*0.08+44.8*0.5)*43560</f>
        <v>1385643.5999999999</v>
      </c>
      <c r="E18" s="2">
        <f>+B18*D18</f>
        <v>5367733062.0191813</v>
      </c>
      <c r="F18" s="32" t="s">
        <v>111</v>
      </c>
      <c r="T18" s="13"/>
      <c r="U18" s="48"/>
    </row>
    <row r="19" spans="1:21" x14ac:dyDescent="0.25">
      <c r="A19" s="86" t="s">
        <v>6</v>
      </c>
      <c r="B19" s="87"/>
      <c r="C19" s="87"/>
      <c r="D19" s="39"/>
      <c r="E19" s="39">
        <f>SUM(E10:E18)</f>
        <v>20443419903.906937</v>
      </c>
      <c r="T19" s="13"/>
      <c r="U19" s="48"/>
    </row>
    <row r="20" spans="1:21" x14ac:dyDescent="0.25">
      <c r="T20" s="13"/>
      <c r="U20" s="48"/>
    </row>
    <row r="21" spans="1:21" x14ac:dyDescent="0.25">
      <c r="A21" s="31" t="s">
        <v>66</v>
      </c>
      <c r="B21" s="67"/>
      <c r="C21" s="59"/>
      <c r="D21" s="62"/>
      <c r="E21" s="62"/>
      <c r="T21" s="13"/>
      <c r="U21" s="48"/>
    </row>
    <row r="22" spans="1:21" x14ac:dyDescent="0.25">
      <c r="A22" s="18" t="s">
        <v>15</v>
      </c>
      <c r="B22" s="58">
        <v>0</v>
      </c>
      <c r="C22" s="29" t="s">
        <v>11</v>
      </c>
      <c r="D22" s="30">
        <v>500000</v>
      </c>
      <c r="E22" s="30">
        <f t="shared" ref="E22" si="1">+B22*D22</f>
        <v>0</v>
      </c>
      <c r="F22" s="32" t="s">
        <v>82</v>
      </c>
      <c r="G22" s="42"/>
      <c r="T22" s="13"/>
      <c r="U22" s="48"/>
    </row>
    <row r="23" spans="1:21" x14ac:dyDescent="0.25">
      <c r="A23" s="61" t="s">
        <v>6</v>
      </c>
      <c r="B23" s="68"/>
      <c r="C23" s="68"/>
      <c r="D23" s="63"/>
      <c r="E23" s="63">
        <f>SUM(E22:E22)</f>
        <v>0</v>
      </c>
      <c r="G23" s="42"/>
      <c r="T23" s="13"/>
      <c r="U23" s="48"/>
    </row>
    <row r="24" spans="1:21" x14ac:dyDescent="0.25">
      <c r="T24" s="13"/>
      <c r="U24" s="48"/>
    </row>
    <row r="25" spans="1:21" x14ac:dyDescent="0.25">
      <c r="A25" s="55" t="s">
        <v>89</v>
      </c>
      <c r="B25" s="80"/>
      <c r="C25" s="80"/>
      <c r="D25" s="69"/>
      <c r="E25" s="69"/>
      <c r="F25" s="61" t="s">
        <v>110</v>
      </c>
      <c r="T25" s="13"/>
      <c r="U25" s="48"/>
    </row>
    <row r="26" spans="1:21" x14ac:dyDescent="0.25">
      <c r="A26" s="85" t="s">
        <v>93</v>
      </c>
      <c r="B26" s="60">
        <v>2363.5352586656622</v>
      </c>
      <c r="C26" s="10" t="s">
        <v>33</v>
      </c>
      <c r="D26" s="11">
        <f>(20*0.25+21.25*0.4+30.625*0.35)*43560</f>
        <v>1054968.75</v>
      </c>
      <c r="E26" s="2">
        <f>+B26*D26</f>
        <v>2493455837.4154406</v>
      </c>
      <c r="F26" t="s">
        <v>37</v>
      </c>
      <c r="T26" s="13"/>
      <c r="U26" s="48"/>
    </row>
    <row r="27" spans="1:21" x14ac:dyDescent="0.25">
      <c r="A27" s="9" t="s">
        <v>94</v>
      </c>
      <c r="B27" s="60">
        <v>50.234402199734411</v>
      </c>
      <c r="C27" s="10" t="s">
        <v>33</v>
      </c>
      <c r="D27" s="11">
        <f>(20*0.17+21.25*0.4+30.625*0.43)*43560</f>
        <v>1091994.75</v>
      </c>
      <c r="E27" s="2">
        <f>+B27*D27</f>
        <v>54855703.47149843</v>
      </c>
      <c r="F27" s="32" t="s">
        <v>39</v>
      </c>
      <c r="T27" s="13"/>
      <c r="U27" s="48"/>
    </row>
    <row r="28" spans="1:21" x14ac:dyDescent="0.25">
      <c r="A28" s="9" t="s">
        <v>95</v>
      </c>
      <c r="B28" s="60">
        <v>8.0393754628760075</v>
      </c>
      <c r="C28" s="10" t="s">
        <v>33</v>
      </c>
      <c r="D28" s="11">
        <f>(20*0.17+21.25*0.4+30.625*0.43)*43560</f>
        <v>1091994.75</v>
      </c>
      <c r="E28" s="2">
        <f t="shared" ref="E28:E31" si="2">+B28*D28</f>
        <v>8778955.7987394203</v>
      </c>
      <c r="F28" s="32" t="s">
        <v>39</v>
      </c>
      <c r="T28" s="13"/>
      <c r="U28" s="48"/>
    </row>
    <row r="29" spans="1:21" x14ac:dyDescent="0.25">
      <c r="A29" s="9" t="s">
        <v>96</v>
      </c>
      <c r="B29" s="60">
        <v>1328.2097167428904</v>
      </c>
      <c r="C29" s="10" t="s">
        <v>33</v>
      </c>
      <c r="D29" s="11">
        <f>(20*0.25+21.25*0.4+30.625*0.35)*43560</f>
        <v>1054968.75</v>
      </c>
      <c r="E29" s="2">
        <f t="shared" si="2"/>
        <v>1401219744.6101012</v>
      </c>
      <c r="F29" t="s">
        <v>37</v>
      </c>
      <c r="T29" s="13"/>
      <c r="U29" s="48"/>
    </row>
    <row r="30" spans="1:21" x14ac:dyDescent="0.25">
      <c r="A30" s="12" t="s">
        <v>97</v>
      </c>
      <c r="B30" s="60">
        <v>1889.1709241930546</v>
      </c>
      <c r="C30" s="10" t="s">
        <v>33</v>
      </c>
      <c r="D30" s="11">
        <f>(20*0.22+46*0.45+30.625*0.33)*43560</f>
        <v>1533584.2500000002</v>
      </c>
      <c r="E30" s="2">
        <f t="shared" si="2"/>
        <v>2897202774.900413</v>
      </c>
      <c r="F30" s="32" t="s">
        <v>43</v>
      </c>
      <c r="Q30" s="42"/>
      <c r="T30" s="13"/>
      <c r="U30" s="48"/>
    </row>
    <row r="31" spans="1:21" x14ac:dyDescent="0.25">
      <c r="A31" s="12" t="s">
        <v>98</v>
      </c>
      <c r="B31" s="60">
        <v>1916.0447886555203</v>
      </c>
      <c r="C31" s="10" t="s">
        <v>33</v>
      </c>
      <c r="D31" s="11">
        <f>(20*0.02+46*0.03+30.625*0.47+21.25*0.48)*43560</f>
        <v>1148840.5499999998</v>
      </c>
      <c r="E31" s="2">
        <f t="shared" si="2"/>
        <v>2201229948.8236413</v>
      </c>
      <c r="F31" s="32" t="s">
        <v>45</v>
      </c>
      <c r="T31" s="13"/>
      <c r="U31" s="48"/>
    </row>
    <row r="32" spans="1:21" x14ac:dyDescent="0.25">
      <c r="A32" s="12" t="s">
        <v>99</v>
      </c>
      <c r="B32" s="60">
        <v>3510.6760311032335</v>
      </c>
      <c r="C32" s="59" t="s">
        <v>33</v>
      </c>
      <c r="D32" s="62">
        <f>(20*0.25+46*0.45+30.625*0.3)*43560</f>
        <v>1519699.5000000002</v>
      </c>
      <c r="E32" s="63">
        <f>+B32*D32</f>
        <v>5335172609.1295691</v>
      </c>
      <c r="F32" s="32" t="s">
        <v>50</v>
      </c>
      <c r="T32" s="13"/>
      <c r="U32" s="48"/>
    </row>
    <row r="33" spans="1:21" x14ac:dyDescent="0.25">
      <c r="A33" s="12" t="s">
        <v>100</v>
      </c>
      <c r="B33" s="60">
        <v>1512.0652785548136</v>
      </c>
      <c r="C33" s="10" t="s">
        <v>33</v>
      </c>
      <c r="D33" s="62">
        <f>(16.8*0.25+21.3*0.17+46*0.08+40.8*0.5)*43560</f>
        <v>1389607.56</v>
      </c>
      <c r="E33" s="2">
        <f>+B33*D33</f>
        <v>2101177342.2932749</v>
      </c>
      <c r="F33" s="32" t="s">
        <v>111</v>
      </c>
      <c r="T33" s="13"/>
      <c r="U33" s="48"/>
    </row>
    <row r="34" spans="1:21" x14ac:dyDescent="0.25">
      <c r="A34" s="12" t="s">
        <v>101</v>
      </c>
      <c r="B34" s="60">
        <v>3873.8194020592177</v>
      </c>
      <c r="C34" s="10" t="s">
        <v>33</v>
      </c>
      <c r="D34" s="62">
        <f>(16.8*0.25+21.3*0.17+46*0.08+40.8*0.5)*43560</f>
        <v>1389607.56</v>
      </c>
      <c r="E34" s="2">
        <f>+B34*D34</f>
        <v>5383088727.1761684</v>
      </c>
      <c r="F34" s="32" t="s">
        <v>111</v>
      </c>
      <c r="T34" s="13"/>
      <c r="U34" s="48"/>
    </row>
    <row r="35" spans="1:21" x14ac:dyDescent="0.25">
      <c r="A35" s="86" t="s">
        <v>6</v>
      </c>
      <c r="B35" s="87"/>
      <c r="C35" s="87"/>
      <c r="D35" s="39"/>
      <c r="E35" s="39">
        <f>SUM(E26:E34)</f>
        <v>21876181643.618843</v>
      </c>
      <c r="T35" s="13"/>
      <c r="U35" s="48"/>
    </row>
    <row r="36" spans="1:21" x14ac:dyDescent="0.25">
      <c r="T36" s="13"/>
      <c r="U36" s="48"/>
    </row>
    <row r="37" spans="1:21" x14ac:dyDescent="0.25">
      <c r="A37" s="70" t="s">
        <v>67</v>
      </c>
      <c r="E37" s="2">
        <f>E19</f>
        <v>20443419903.906937</v>
      </c>
      <c r="T37" s="13"/>
      <c r="U37" s="48"/>
    </row>
    <row r="38" spans="1:21" x14ac:dyDescent="0.25">
      <c r="T38" s="13"/>
      <c r="U38" s="48"/>
    </row>
    <row r="39" spans="1:21" x14ac:dyDescent="0.25">
      <c r="A39" s="70" t="s">
        <v>68</v>
      </c>
      <c r="E39" s="2">
        <f>E23</f>
        <v>0</v>
      </c>
      <c r="T39" s="13"/>
      <c r="U39" s="48"/>
    </row>
    <row r="40" spans="1:21" x14ac:dyDescent="0.25">
      <c r="A40" s="61"/>
      <c r="T40" s="13"/>
      <c r="U40" s="48"/>
    </row>
    <row r="41" spans="1:21" x14ac:dyDescent="0.25">
      <c r="A41" s="70" t="s">
        <v>85</v>
      </c>
      <c r="E41" s="2">
        <f>E35</f>
        <v>21876181643.618843</v>
      </c>
      <c r="T41" s="13"/>
      <c r="U41" s="48"/>
    </row>
    <row r="42" spans="1:21" x14ac:dyDescent="0.25">
      <c r="A42" s="61"/>
      <c r="B42" s="59"/>
      <c r="C42" s="59"/>
      <c r="D42" s="62"/>
      <c r="E42" s="62"/>
      <c r="F42" s="61"/>
      <c r="G42" s="61"/>
      <c r="H42" s="61"/>
      <c r="I42" s="61"/>
      <c r="T42" s="13"/>
      <c r="U42" s="48"/>
    </row>
    <row r="43" spans="1:21" x14ac:dyDescent="0.25">
      <c r="A43" s="70" t="s">
        <v>21</v>
      </c>
      <c r="B43" s="59"/>
      <c r="C43" s="59"/>
      <c r="D43" s="62"/>
      <c r="E43" s="72">
        <f>SUM(E37:E41)</f>
        <v>42319601547.52578</v>
      </c>
      <c r="F43" s="61" t="s">
        <v>92</v>
      </c>
      <c r="G43" s="61"/>
      <c r="H43" s="61"/>
      <c r="I43" s="61"/>
      <c r="T43" s="13"/>
      <c r="U43" s="48"/>
    </row>
    <row r="44" spans="1:21" x14ac:dyDescent="0.25">
      <c r="A44" s="12"/>
      <c r="B44" s="59"/>
      <c r="C44" s="59"/>
      <c r="D44" s="62"/>
      <c r="E44" s="62"/>
      <c r="F44" s="61"/>
      <c r="G44" s="61"/>
      <c r="H44" s="61"/>
      <c r="I44" s="61"/>
      <c r="T44" s="13"/>
      <c r="U44" s="48"/>
    </row>
    <row r="45" spans="1:21" x14ac:dyDescent="0.25">
      <c r="A45" s="70" t="s">
        <v>83</v>
      </c>
      <c r="B45" s="74"/>
      <c r="C45" s="59"/>
      <c r="D45" s="62"/>
      <c r="E45" s="75">
        <f>+PMT(0.03375,50,-E37-E39,0)</f>
        <v>852025693.78810477</v>
      </c>
      <c r="F45" s="65" t="s">
        <v>84</v>
      </c>
      <c r="G45" s="61"/>
      <c r="H45" s="61"/>
      <c r="I45" s="61"/>
      <c r="T45" s="13"/>
      <c r="U45" s="48"/>
    </row>
    <row r="46" spans="1:21" x14ac:dyDescent="0.25">
      <c r="A46" s="61"/>
      <c r="B46" s="59"/>
      <c r="C46" s="59"/>
      <c r="D46" s="62"/>
      <c r="E46" s="62"/>
      <c r="G46" s="61"/>
      <c r="H46" s="61"/>
      <c r="I46" s="61"/>
      <c r="T46" s="13"/>
      <c r="U46" s="48"/>
    </row>
    <row r="47" spans="1:21" x14ac:dyDescent="0.25">
      <c r="A47" s="73" t="s">
        <v>23</v>
      </c>
      <c r="B47" s="81"/>
      <c r="C47" s="81"/>
      <c r="D47" s="62"/>
      <c r="E47" s="75">
        <f>+PMT(0.03375,50,-E41,0)</f>
        <v>911739275.03082979</v>
      </c>
      <c r="F47" s="65" t="s">
        <v>84</v>
      </c>
      <c r="G47" s="61"/>
      <c r="H47" s="61"/>
      <c r="I47" s="61"/>
      <c r="T47" s="13"/>
      <c r="U47" s="48"/>
    </row>
    <row r="48" spans="1:21" x14ac:dyDescent="0.25">
      <c r="A48" s="70"/>
      <c r="B48" s="59"/>
      <c r="C48" s="59"/>
      <c r="D48" s="62"/>
      <c r="E48" s="62"/>
      <c r="F48" s="61"/>
      <c r="G48" s="61"/>
      <c r="H48" s="61"/>
      <c r="I48" s="61"/>
      <c r="T48" s="13"/>
      <c r="U48" s="48"/>
    </row>
    <row r="49" spans="1:21" x14ac:dyDescent="0.25">
      <c r="A49" s="73" t="s">
        <v>88</v>
      </c>
      <c r="B49" s="61"/>
      <c r="C49" s="61"/>
      <c r="D49" s="61"/>
      <c r="E49" s="82">
        <v>191096.06527219637</v>
      </c>
      <c r="F49" s="61"/>
      <c r="G49" s="61"/>
      <c r="H49" s="61"/>
      <c r="I49" s="61"/>
      <c r="T49" s="13"/>
      <c r="U49" s="48"/>
    </row>
    <row r="50" spans="1:21" x14ac:dyDescent="0.25">
      <c r="A50" s="15"/>
      <c r="B50" s="10"/>
      <c r="C50" s="10"/>
      <c r="D50" s="11"/>
      <c r="E50" s="11"/>
      <c r="T50" s="13"/>
      <c r="U50" s="48"/>
    </row>
    <row r="51" spans="1:21" x14ac:dyDescent="0.25">
      <c r="A51" s="22" t="s">
        <v>87</v>
      </c>
      <c r="B51" s="10"/>
      <c r="C51" s="10"/>
      <c r="D51" s="11"/>
      <c r="E51" s="11">
        <f>+(E45+E47)/E49</f>
        <v>9229.7293840489892</v>
      </c>
      <c r="G51" s="83"/>
      <c r="H51" s="84"/>
      <c r="T51" s="13"/>
      <c r="U51" s="48"/>
    </row>
  </sheetData>
  <pageMargins left="0.7" right="0.7" top="0.75" bottom="0.75" header="0.3" footer="0.3"/>
  <pageSetup scale="61" orientation="landscape"/>
  <headerFooter>
    <oddFooter>&amp;LLA Basin Stormwater Conservation Study_Project Costs&amp;R&amp;D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Summary L1</vt:lpstr>
      <vt:lpstr>Local Stormwater Capture 1</vt:lpstr>
      <vt:lpstr>Local Stormwater Capture 2</vt:lpstr>
      <vt:lpstr>Summary L2</vt:lpstr>
      <vt:lpstr>Low Impact Development</vt:lpstr>
      <vt:lpstr>Summary L3</vt:lpstr>
      <vt:lpstr>Complete Streets</vt:lpstr>
      <vt:lpstr>Summary M1</vt:lpstr>
      <vt:lpstr>Stormwater Policies</vt:lpstr>
      <vt:lpstr>Summary M2</vt:lpstr>
      <vt:lpstr>Green Infrastructure Programs</vt:lpstr>
      <vt:lpstr>Summary M3</vt:lpstr>
      <vt:lpstr>Regional Impact Programs 1</vt:lpstr>
      <vt:lpstr>Regional Impact Programs 2</vt:lpstr>
      <vt:lpstr>Sheet1</vt:lpstr>
      <vt:lpstr>'Complete Streets'!Print_Area</vt:lpstr>
      <vt:lpstr>'Green Infrastructure Programs'!Print_Area</vt:lpstr>
      <vt:lpstr>'Local Stormwater Capture 1'!Print_Area</vt:lpstr>
      <vt:lpstr>'Local Stormwater Capture 2'!Print_Area</vt:lpstr>
      <vt:lpstr>'Low Impact Development'!Print_Area</vt:lpstr>
      <vt:lpstr>'Regional Impact Programs 1'!Print_Area</vt:lpstr>
      <vt:lpstr>'Regional Impact Programs 2'!Print_Area</vt:lpstr>
      <vt:lpstr>'Stormwater Policies'!Print_Area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Bral</dc:creator>
  <cp:lastModifiedBy>Summerville, Nathaniel/SCO</cp:lastModifiedBy>
  <cp:lastPrinted>2015-11-23T20:00:07Z</cp:lastPrinted>
  <dcterms:created xsi:type="dcterms:W3CDTF">2002-10-09T16:06:11Z</dcterms:created>
  <dcterms:modified xsi:type="dcterms:W3CDTF">2015-12-08T15:44:29Z</dcterms:modified>
</cp:coreProperties>
</file>